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harts/chart2.xml" ContentType="application/vnd.openxmlformats-officedocument.drawingml.chart+xml"/>
  <Override PartName="/xl/drawings/drawing4.xml" ContentType="application/vnd.openxmlformats-officedocument.drawing+xml"/>
  <Override PartName="/xl/ctrlProps/ctrlProp5.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1340" windowHeight="6540"/>
  </bookViews>
  <sheets>
    <sheet name="Map" sheetId="31" r:id="rId1"/>
    <sheet name="HPL MAP" sheetId="7875" r:id="rId2"/>
    <sheet name="Summary" sheetId="3102" r:id="rId3"/>
    <sheet name="System Detail" sheetId="16537" r:id="rId4"/>
  </sheets>
  <externalReferences>
    <externalReference r:id="rId5"/>
  </externalReferences>
  <definedNames>
    <definedName name="_xlnm._FilterDatabase" localSheetId="3" hidden="1">'System Detail'!$A$4:$Y$314</definedName>
    <definedName name="_act11159">'System Detail'!$I$251</definedName>
    <definedName name="_act16058">'System Detail'!$I$126</definedName>
    <definedName name="act16058hpl">'System Detail'!$N$126</definedName>
    <definedName name="_act16066">'System Detail'!$I$31</definedName>
    <definedName name="_act16069">'System Detail'!$I$50</definedName>
    <definedName name="act16069hpl">'System Detail'!$N$50</definedName>
    <definedName name="_act16088">'System Detail'!$I$114</definedName>
    <definedName name="_act16127">'System Detail'!$I$28</definedName>
    <definedName name="_act16130">'System Detail'!$I$37</definedName>
    <definedName name="_act16151">'System Detail'!$I$90</definedName>
    <definedName name="act16151hpl">'System Detail'!$N$90</definedName>
    <definedName name="_act16168">'System Detail'!$I$187</definedName>
    <definedName name="act16168hpl">'System Detail'!$N$187</definedName>
    <definedName name="_act16179">'System Detail'!$I$221</definedName>
    <definedName name="_act16210">'System Detail'!$I$67</definedName>
    <definedName name="act16210hpl">'System Detail'!$N$67</definedName>
    <definedName name="_act16222">'System Detail'!$I$49</definedName>
    <definedName name="act16222hpl">'System Detail'!$N$49</definedName>
    <definedName name="_act16244">'System Detail'!$I$36</definedName>
    <definedName name="act16244hpl">'System Detail'!$N$36</definedName>
    <definedName name="_act16247">'System Detail'!$I$97</definedName>
    <definedName name="act16247hpl">'System Detail'!$N$97</definedName>
    <definedName name="_act16273">'System Detail'!$I$113</definedName>
    <definedName name="act16273hpl">'System Detail'!$N$113</definedName>
    <definedName name="_act16290">'System Detail'!$I$71</definedName>
    <definedName name="act16290hpl">'System Detail'!$N$71</definedName>
    <definedName name="_act16296">'System Detail'!$I$119</definedName>
    <definedName name="act16296hpl">'System Detail'!$N$119</definedName>
    <definedName name="_act16297">'System Detail'!$I$179</definedName>
    <definedName name="_act16335">'System Detail'!$I$196</definedName>
    <definedName name="act16335hpl">'System Detail'!$N$196</definedName>
    <definedName name="_act16338">'System Detail'!$I$252</definedName>
    <definedName name="_act16347">'System Detail'!$I$12</definedName>
    <definedName name="_act16354">'System Detail'!$I$91</definedName>
    <definedName name="_act16355">'System Detail'!$I$167</definedName>
    <definedName name="_act26006">'System Detail'!$I$164</definedName>
    <definedName name="_act26018">'System Detail'!$I$118</definedName>
    <definedName name="act26018hpl">'System Detail'!$N$118</definedName>
    <definedName name="_act26021">'System Detail'!$I$193</definedName>
    <definedName name="act26021hpl">'System Detail'!$N$193</definedName>
    <definedName name="_act26026">'System Detail'!$I$173</definedName>
    <definedName name="act26026hpl">'System Detail'!$N$173</definedName>
    <definedName name="_act26073">'System Detail'!$I$81</definedName>
    <definedName name="act26073hpl">'System Detail'!$N$81</definedName>
    <definedName name="_act26081">'System Detail'!$I$33</definedName>
    <definedName name="_act26084">'System Detail'!$I$168</definedName>
    <definedName name="act26084hpl">'System Detail'!$N$168</definedName>
    <definedName name="_act26091">'System Detail'!$I$30</definedName>
    <definedName name="_act26106">'System Detail'!$I$169</definedName>
    <definedName name="_act26126">'System Detail'!$I$203</definedName>
    <definedName name="act26126hpl">'System Detail'!$N$203</definedName>
    <definedName name="_act26150">'System Detail'!$I$129</definedName>
    <definedName name="_act26160">'System Detail'!$I$106</definedName>
    <definedName name="act26160hpl">'System Detail'!$N$106</definedName>
    <definedName name="_act26167">'System Detail'!$I$210</definedName>
    <definedName name="_act26169">'System Detail'!$I$211</definedName>
    <definedName name="_act26184">'System Detail'!$I$77</definedName>
    <definedName name="_act26191">'System Detail'!$I$59</definedName>
    <definedName name="_act26205">'System Detail'!$I$35</definedName>
    <definedName name="act402C">'System Detail'!$I$13</definedName>
    <definedName name="_act56015">'System Detail'!$I$253</definedName>
    <definedName name="_act56032">'System Detail'!$I$254</definedName>
    <definedName name="_act6148">'System Detail'!$I$250</definedName>
    <definedName name="_act802">'System Detail'!$L$51</definedName>
    <definedName name="act802cig">'System Detail'!$V$51</definedName>
    <definedName name="act802hpl">'System Detail'!$Q$51</definedName>
    <definedName name="_act804">'System Detail'!$L$64</definedName>
    <definedName name="act804cig">'System Detail'!$V$64</definedName>
    <definedName name="act804hpl">'System Detail'!$Q$64</definedName>
    <definedName name="_act806">'System Detail'!$L$73</definedName>
    <definedName name="act806cig">'System Detail'!$V$73</definedName>
    <definedName name="act806hpl">'System Detail'!$Q$73</definedName>
    <definedName name="_act809">'System Detail'!$L$98</definedName>
    <definedName name="act809cig">'System Detail'!$V$98</definedName>
    <definedName name="act809hpl">'System Detail'!$Q$98</definedName>
    <definedName name="_act812">'System Detail'!$L$116</definedName>
    <definedName name="act812cig">'System Detail'!$V$116</definedName>
    <definedName name="act812hpl">'System Detail'!$Q$116</definedName>
    <definedName name="_act813">'System Detail'!$L$121</definedName>
    <definedName name="act813cig">'System Detail'!$V$121</definedName>
    <definedName name="act813hpl">'System Detail'!$Q$121</definedName>
    <definedName name="_act814">'System Detail'!$L$126</definedName>
    <definedName name="act8141a">'System Detail'!$L$164</definedName>
    <definedName name="act8141acig">'System Detail'!$V$164</definedName>
    <definedName name="act8141ahpl">'System Detail'!$Q$164</definedName>
    <definedName name="act814cig">'System Detail'!$V$126</definedName>
    <definedName name="act814hpl">'System Detail'!$Q$126</definedName>
    <definedName name="_act816">'System Detail'!$L$178</definedName>
    <definedName name="act816cig">'System Detail'!$V$178</definedName>
    <definedName name="act816hpl">'System Detail'!$Q$178</definedName>
    <definedName name="_act820">'System Detail'!$L$223</definedName>
    <definedName name="act820cig">'System Detail'!$V$223</definedName>
    <definedName name="act820hpl">'System Detail'!$Q$223</definedName>
    <definedName name="actcedar">Map!$B$52</definedName>
    <definedName name="actflow">'System Detail'!$I$5:$I$254</definedName>
    <definedName name="acthoest">Map!$B$44</definedName>
    <definedName name="actHPLAD">Map!$B$46</definedName>
    <definedName name="actHPLADhpl">'HPL MAP'!$B$43</definedName>
    <definedName name="actHPLGreg">Map!$B$48</definedName>
    <definedName name="actHPLGreghpl">'HPL MAP'!$B$45</definedName>
    <definedName name="actKR">'System Detail'!$L$14</definedName>
    <definedName name="actkrcig">'System Detail'!$V$14</definedName>
    <definedName name="actkrhpl">'System Detail'!$Q$14</definedName>
    <definedName name="actMB">Map!$B$39</definedName>
    <definedName name="actMBhpl">'HPL MAP'!$B$38</definedName>
    <definedName name="actSCTTL">Map!$B$56</definedName>
    <definedName name="actSCTTLhpl">'HPL MAP'!$B$49</definedName>
    <definedName name="actSeahawk">Map!$B$50</definedName>
    <definedName name="actST">'System Detail'!$L$31</definedName>
    <definedName name="actSTcig">'System Detail'!$V$31</definedName>
    <definedName name="actSThpl">'System Detail'!$Q$31</definedName>
    <definedName name="ActTGPAD">Map!$B$42</definedName>
    <definedName name="actTGPADhpl">'HPL MAP'!$B$41</definedName>
    <definedName name="actTGPSAB">Map!$B$54</definedName>
    <definedName name="actTGPSABhpl">'HPL MAP'!$B$47</definedName>
    <definedName name="ActualsOk">[1]Extracts!$S$1</definedName>
    <definedName name="autoupdateflag">[1]Extracts!$R$3</definedName>
    <definedName name="avail4021A">'System Detail'!$I$294</definedName>
    <definedName name="avail4022A">'System Detail'!$I$296</definedName>
    <definedName name="avail8041A">'System Detail'!$I$298</definedName>
    <definedName name="avail8042A">'System Detail'!$I$300</definedName>
    <definedName name="avail8061A">'System Detail'!$I$302</definedName>
    <definedName name="avail8062A">'System Detail'!$I$304</definedName>
    <definedName name="avail8063A">'System Detail'!$I$306</definedName>
    <definedName name="avail8091A">'System Detail'!#REF!</definedName>
    <definedName name="avail8091B">'System Detail'!$I$312</definedName>
    <definedName name="avail8092A">'System Detail'!$I$308</definedName>
    <definedName name="avail8093A">'System Detail'!$I$310</definedName>
    <definedName name="avail8121A">'System Detail'!$I$314</definedName>
    <definedName name="avail8122A">'System Detail'!$I$316</definedName>
    <definedName name="avail8123A">'System Detail'!$I$318</definedName>
    <definedName name="BTU">[1]Extracts!$L$7:$M$389</definedName>
    <definedName name="BTUDefault">1.025</definedName>
    <definedName name="CheckMeters">'System Detail'!$D$246:$D$249</definedName>
    <definedName name="Cigsch">[1]Cigsch!$A$1:$C$236</definedName>
    <definedName name="comErrorRange">'System Detail'!$H$4:$H$223</definedName>
    <definedName name="critbtu">[1]Extracts!$L$1:$L$2</definedName>
    <definedName name="critcomm">[1]Extracts!$W$7:$W$8</definedName>
    <definedName name="critfuel">[1]Extracts!$U$7:$V$8</definedName>
    <definedName name="critmisc">[1]Extracts!$O$1:$O$4</definedName>
    <definedName name="critspotdata">[1]Extracts!$A$1:$A$2</definedName>
    <definedName name="crittotalvolume">[1]Extracts!$F$1:$F$2</definedName>
    <definedName name="critttldel">[1]Extracts!$S$7:$T$8</definedName>
    <definedName name="critttlrec">[1]Extracts!$R$7:$R$8</definedName>
    <definedName name="currentsetting">'System Detail'!$I$2</definedName>
    <definedName name="datawinflow">'[1]Winflow data'!$A$2:$D$237</definedName>
    <definedName name="datetext">'System Detail'!$D$1</definedName>
    <definedName name="delcig">'System Detail'!$S$231</definedName>
    <definedName name="delcigsch">'System Detail'!$T$231</definedName>
    <definedName name="delhpl">'System Detail'!$N$231</definedName>
    <definedName name="delhplsch">'System Detail'!$O$231</definedName>
    <definedName name="delttl">'System Detail'!$I$231</definedName>
    <definedName name="delttlsch">'System Detail'!$J$231</definedName>
    <definedName name="errordata">[1]Extracts!$A$7:$D$396</definedName>
    <definedName name="errorflags">[1]Extracts!$S$1:$S$3</definedName>
    <definedName name="errorrange">'System Detail'!$H$5:$H$319</definedName>
    <definedName name="finalData">'System Detail'!$B$5:$B$223,'System Detail'!$B$230,'System Detail'!$B$233,'System Detail'!$B$235:$B$318,'System Detail'!$G$5:$I$223,'System Detail'!$G$230:$I$230,'System Detail'!$G$233:$I$233,'System Detail'!$G$235:$I$318</definedName>
    <definedName name="finaldatatest">'System Detail'!$B$5:$B$26,'System Detail'!$B$28:$B$223,'System Detail'!$B$236:$B$318,'System Detail'!$G$5:$I$26,'System Detail'!$G$28:$I$223,'System Detail'!$G$236:$I$318</definedName>
    <definedName name="flowDate">'System Detail'!$D$2</definedName>
    <definedName name="Fuel">'System Detail'!$I$230</definedName>
    <definedName name="graph">Summary!$B$19</definedName>
    <definedName name="LAUF">'System Detail'!$I$234</definedName>
    <definedName name="_LP802">'[1]AS Line Pack (MCF)'!$K$4</definedName>
    <definedName name="LP802b">Summary!$C$8</definedName>
    <definedName name="_LP804">'[1]AS Line Pack (MCF)'!$K$5</definedName>
    <definedName name="LP804b">Summary!$C$9</definedName>
    <definedName name="_LP806">'[1]AS Line Pack (MCF)'!$K$6</definedName>
    <definedName name="LP806b">Summary!$C$10</definedName>
    <definedName name="_LP809">'[1]AS Line Pack (MCF)'!$K$7</definedName>
    <definedName name="LP809b">Summary!$C$11</definedName>
    <definedName name="_LP812">'[1]AS Line Pack (MCF)'!$K$8</definedName>
    <definedName name="LP812b">Summary!$C$12</definedName>
    <definedName name="LP8141A">'[1]AS Line Pack (MCF)'!$K$9</definedName>
    <definedName name="LP8141Ab">Summary!$C$14</definedName>
    <definedName name="_LP820">'[1]AS Line Pack (MCF)'!$K$10</definedName>
    <definedName name="LPack">Summary!$C$16</definedName>
    <definedName name="LPChange">Summary!$D$16</definedName>
    <definedName name="LPSabine">'[1]AS Line Pack (MCF)'!$K$11</definedName>
    <definedName name="LPsabineb">Summary!$C$15</definedName>
    <definedName name="MAP" localSheetId="0">Map!$A$1:$M$36</definedName>
    <definedName name="MAPHPL">'HPL MAP'!$A$1:$M$36</definedName>
    <definedName name="masterlist">'System Detail'!$A$4:$Y$318</definedName>
    <definedName name="MBBAL">Map!$B$38</definedName>
    <definedName name="meterdata">'System Detail'!$B$4:$Y$223</definedName>
    <definedName name="meterdataAS">'System Detail'!$B$27:$Y$223</definedName>
    <definedName name="misc">[1]Extracts!$O$7:$P$78</definedName>
    <definedName name="NewData">[1]cig_out!$A$1:$H$1233</definedName>
    <definedName name="nomsok">[1]Extracts!$S$2</definedName>
    <definedName name="_PD26114">'System Detail'!$I$270</definedName>
    <definedName name="_PD26153">'System Detail'!$I$271</definedName>
    <definedName name="_PD26156">'System Detail'!$I$275</definedName>
    <definedName name="_PD26157">'System Detail'!$I$274</definedName>
    <definedName name="_PD26164">'System Detail'!$I$272</definedName>
    <definedName name="_PD26167">'System Detail'!$I$273</definedName>
    <definedName name="_PD56015">'System Detail'!$I$277</definedName>
    <definedName name="_PD6148">'System Detail'!$I$276</definedName>
    <definedName name="_PD802">'System Detail'!$I$280</definedName>
    <definedName name="_PD804">'System Detail'!$I$282</definedName>
    <definedName name="_PD806">'System Detail'!$I$284</definedName>
    <definedName name="_PD809">'System Detail'!$I$286</definedName>
    <definedName name="_PD812">'System Detail'!$I$288</definedName>
    <definedName name="PD8121A">'System Detail'!$I$291</definedName>
    <definedName name="_PD813">'System Detail'!$I$289</definedName>
    <definedName name="PDAD">'System Detail'!$I$269</definedName>
    <definedName name="PDBLESS">'System Detail'!$I$268</definedName>
    <definedName name="POLLHOUR">TIME(HOUR(readingtime),MINUTE(readingtime),0)</definedName>
    <definedName name="PollHourRange">[1]Extracts!$G$1</definedName>
    <definedName name="POLLHOURSFLOWED">'System Detail'!$D$3-'System Detail'!$D$2</definedName>
    <definedName name="POLLHOURSTOTAL">1</definedName>
    <definedName name="pomsdata">'[1]Poms Data'!$B$1:$B$9</definedName>
    <definedName name="pomsok">[1]Extracts!$S$3</definedName>
    <definedName name="_xlnm.Print_Area" localSheetId="1">'HPL MAP'!$A$1:$M$36</definedName>
    <definedName name="_xlnm.Print_Area" localSheetId="0">Map!$A$1:$M$37</definedName>
    <definedName name="_xlnm.Print_Titles" localSheetId="3">'System Detail'!$A:$H,'System Detail'!$1:$4</definedName>
    <definedName name="printdetail">[1]Extracts!$R$2</definedName>
    <definedName name="printhplmap">[1]Extracts!$T$1</definedName>
    <definedName name="printmap">[1]Extracts!$R$1</definedName>
    <definedName name="printsummary">[1]Extracts!$T$2</definedName>
    <definedName name="projectedvolume">[1]Extracts!$I$7:$J$396</definedName>
    <definedName name="_PS16297">'System Detail'!$I$266</definedName>
    <definedName name="_PS800">'System Detail'!$I$278</definedName>
    <definedName name="_PS802">'System Detail'!$I$279</definedName>
    <definedName name="_PS804">'System Detail'!$I$281</definedName>
    <definedName name="_PS806">'System Detail'!$I$283</definedName>
    <definedName name="_PS809">'System Detail'!$I$285</definedName>
    <definedName name="_PS812">'System Detail'!$I$287</definedName>
    <definedName name="PS8121A">'System Detail'!$I$290</definedName>
    <definedName name="PSBLESS">'System Detail'!$I$267</definedName>
    <definedName name="PSLomax">'System Detail'!$I$292</definedName>
    <definedName name="readingtime">'System Detail'!$D$3</definedName>
    <definedName name="reccig">'System Detail'!$S$227</definedName>
    <definedName name="reccigsch">'System Detail'!$T$227</definedName>
    <definedName name="rechpl">'System Detail'!$N$227</definedName>
    <definedName name="rechplsch">'System Detail'!$O$227</definedName>
    <definedName name="recttl">'System Detail'!$I$227</definedName>
    <definedName name="recttlsch">'System Detail'!$J$227</definedName>
    <definedName name="rngCmdBarLeft">[1]Extracts!$C$1</definedName>
    <definedName name="rngCmdBarTop">[1]Extracts!$C$2</definedName>
    <definedName name="rngPomsData">'[1]Poms Data'!$A$1:$B$14</definedName>
    <definedName name="Run4021A">'System Detail'!$I$293</definedName>
    <definedName name="Run4022A">'System Detail'!$I$295</definedName>
    <definedName name="Run8041A">'System Detail'!$I$297</definedName>
    <definedName name="run8042A">'System Detail'!$I$299</definedName>
    <definedName name="run8061A">'System Detail'!$I$301</definedName>
    <definedName name="run8062A">'System Detail'!$I$303</definedName>
    <definedName name="run8063A">'System Detail'!$I$305</definedName>
    <definedName name="run8091A">'System Detail'!#REF!</definedName>
    <definedName name="run8091B">'System Detail'!$I$311</definedName>
    <definedName name="run8092A">'System Detail'!$I$307</definedName>
    <definedName name="run8093A">'System Detail'!$I$309</definedName>
    <definedName name="run8121A">'System Detail'!$I$313</definedName>
    <definedName name="run8122A">'System Detail'!$I$315</definedName>
    <definedName name="run8123A">'System Detail'!$I$317</definedName>
    <definedName name="savedailydata">[1]Extracts!$R$4</definedName>
    <definedName name="_sch11159">'System Detail'!$J$251</definedName>
    <definedName name="_sch16058">'System Detail'!$J$126</definedName>
    <definedName name="sch16058hpl">'System Detail'!$O$126</definedName>
    <definedName name="_sch16066">'System Detail'!$J$31</definedName>
    <definedName name="_sch16069">'System Detail'!$J$50</definedName>
    <definedName name="sch16069hpl">'System Detail'!$O$50</definedName>
    <definedName name="_sch16088">'System Detail'!$J$114</definedName>
    <definedName name="_sch16127">'System Detail'!$J$28</definedName>
    <definedName name="_sch16130">'System Detail'!$J$37</definedName>
    <definedName name="_sch16151">'System Detail'!$J$90</definedName>
    <definedName name="sch16151hpl">'System Detail'!$O$90</definedName>
    <definedName name="_sch16168">'System Detail'!$J$187</definedName>
    <definedName name="sch16168hpl">'System Detail'!$O$187</definedName>
    <definedName name="_sch16210">'System Detail'!$J$67</definedName>
    <definedName name="sch16210hpl">'System Detail'!$O$67</definedName>
    <definedName name="_sch16222">'System Detail'!$J$49</definedName>
    <definedName name="sch16222hpl">'System Detail'!$O$49</definedName>
    <definedName name="_sch16244">'System Detail'!$J$36</definedName>
    <definedName name="sch16244hpl">'System Detail'!$O$36</definedName>
    <definedName name="_sch16247">'System Detail'!$J$97</definedName>
    <definedName name="sch16247hpl">'System Detail'!$O$97</definedName>
    <definedName name="_sch16273">'System Detail'!$J$113</definedName>
    <definedName name="sch16273hpl">'System Detail'!$O$113</definedName>
    <definedName name="_sch16290">'System Detail'!$J$71</definedName>
    <definedName name="sch16290hpl">'System Detail'!$O$71</definedName>
    <definedName name="_sch16296">'System Detail'!$J$119</definedName>
    <definedName name="sch16296hpl">'System Detail'!$O$119</definedName>
    <definedName name="_sch16335">'System Detail'!$J$196</definedName>
    <definedName name="sch16335hpl">'System Detail'!$O$196</definedName>
    <definedName name="_sch16347">'System Detail'!$J$12</definedName>
    <definedName name="_sch16354">'System Detail'!$J$91</definedName>
    <definedName name="_sch16355">'System Detail'!$J$167</definedName>
    <definedName name="_sch26018">'System Detail'!$J$118</definedName>
    <definedName name="sch26018hpl">'System Detail'!$O$118</definedName>
    <definedName name="_sch26021">'System Detail'!$J$193</definedName>
    <definedName name="sch26021hpl">'System Detail'!$O$193</definedName>
    <definedName name="_sch26026">'System Detail'!$J$173</definedName>
    <definedName name="sch26026hpl">'System Detail'!$O$173</definedName>
    <definedName name="_sch26073">'System Detail'!$J$81</definedName>
    <definedName name="sch26073hpl">'System Detail'!$O$81</definedName>
    <definedName name="_sch26084">'System Detail'!$J$168</definedName>
    <definedName name="sch26084hpl">'System Detail'!$O$168</definedName>
    <definedName name="_sch26106">'System Detail'!$J$169</definedName>
    <definedName name="_sch26126">'System Detail'!$J$203</definedName>
    <definedName name="sch26126hpl">'System Detail'!$O$203</definedName>
    <definedName name="_sch26150">'System Detail'!$J$129</definedName>
    <definedName name="_sch26160">'System Detail'!$J$106</definedName>
    <definedName name="sch26160hpl">'System Detail'!$O$106</definedName>
    <definedName name="_sch26167">'System Detail'!$J$210</definedName>
    <definedName name="_sch26169">'System Detail'!$J$211</definedName>
    <definedName name="_sch26184">'System Detail'!$J$77</definedName>
    <definedName name="_sch6148">'System Detail'!$J$250</definedName>
    <definedName name="_sch802">'System Detail'!$M$51</definedName>
    <definedName name="sch802cig">'System Detail'!$W$51</definedName>
    <definedName name="sch802hpl">'System Detail'!$R$51</definedName>
    <definedName name="_sch804">'System Detail'!$M$64</definedName>
    <definedName name="sch804cig">'System Detail'!$W$64</definedName>
    <definedName name="sch804hpl">'System Detail'!$R$64</definedName>
    <definedName name="_sch806">'System Detail'!$M$73</definedName>
    <definedName name="sch806cig">'System Detail'!$W$73</definedName>
    <definedName name="sch806hpl">'System Detail'!$R$73</definedName>
    <definedName name="_sch809">'System Detail'!$M$98</definedName>
    <definedName name="sch809cig">'System Detail'!$W$98</definedName>
    <definedName name="sch809hpl">'System Detail'!$R$98</definedName>
    <definedName name="_sch812">'System Detail'!$M$116</definedName>
    <definedName name="sch812cig">'System Detail'!$W$116</definedName>
    <definedName name="sch812hpl">'System Detail'!$R$116</definedName>
    <definedName name="_sch813">'System Detail'!$M$121</definedName>
    <definedName name="sch813cig">'System Detail'!$W$121</definedName>
    <definedName name="sch813hpl">'System Detail'!$R$121</definedName>
    <definedName name="_sch814">'System Detail'!$M$126</definedName>
    <definedName name="sch8141a">'System Detail'!$M$164</definedName>
    <definedName name="sch8141acig">'System Detail'!$W$164</definedName>
    <definedName name="sch8141ahpl">'System Detail'!$R$164</definedName>
    <definedName name="sch814cig">'System Detail'!$W$126</definedName>
    <definedName name="sch814hpl">'System Detail'!$R$126</definedName>
    <definedName name="_sch816">'System Detail'!$M$178</definedName>
    <definedName name="sch816cig">'System Detail'!$W$178</definedName>
    <definedName name="sch816hpl">'System Detail'!$R$178</definedName>
    <definedName name="_sch820">'System Detail'!$M$223</definedName>
    <definedName name="sch820cig">'System Detail'!$W$223</definedName>
    <definedName name="sch820hpl">'System Detail'!$R$223</definedName>
    <definedName name="schcedar">Map!$B$51</definedName>
    <definedName name="schhoest">Map!$B$43</definedName>
    <definedName name="schHPLAD">Map!$B$45</definedName>
    <definedName name="schHPLADhpl">'HPL MAP'!$B$42</definedName>
    <definedName name="schHPLGreg">Map!$B$47</definedName>
    <definedName name="schHPLGreghpl">'HPL MAP'!$B$44</definedName>
    <definedName name="schKR">'System Detail'!$M$14</definedName>
    <definedName name="schkrcig">'System Detail'!$W$14</definedName>
    <definedName name="schkrhpl">'System Detail'!$R$14</definedName>
    <definedName name="schMB">Map!$B$40</definedName>
    <definedName name="schMBhpl">'HPL MAP'!$B$39</definedName>
    <definedName name="schSCTTL">Map!$B$55</definedName>
    <definedName name="schSCTTLhpl">'HPL MAP'!$B$48</definedName>
    <definedName name="schSeahawk">Map!$B$49</definedName>
    <definedName name="schST">'System Detail'!$M$31</definedName>
    <definedName name="schSTcig">'System Detail'!$W$31</definedName>
    <definedName name="schSThpl">'System Detail'!$R$31</definedName>
    <definedName name="SchTGPAD">Map!$B$41</definedName>
    <definedName name="schTGPADhpl">'HPL MAP'!$B$40</definedName>
    <definedName name="schTGPSAB">Map!$B$53</definedName>
    <definedName name="schTGPSABhpl">'HPL MAP'!$B$46</definedName>
    <definedName name="spotdata">[1]Extracts!$A$7:$D$396</definedName>
    <definedName name="startedUpdate">[1]Extracts!$W$1</definedName>
    <definedName name="switchview">[1]Extracts!$U$1</definedName>
    <definedName name="switchviewaccum">[1]Extracts!$U$2</definedName>
    <definedName name="switchviewproject">[1]Extracts!$U$4</definedName>
    <definedName name="switchviewspot">[1]Extracts!$U$3</definedName>
    <definedName name="tablewinflowlookup">'System Detail'!$B$4:$J$314</definedName>
    <definedName name="_TD804">'System Detail'!$I$257</definedName>
    <definedName name="_TD806">'System Detail'!$I$259</definedName>
    <definedName name="_TD809">'System Detail'!$I$261</definedName>
    <definedName name="_TG16088">'System Detail'!$I$262</definedName>
    <definedName name="_TG16179">'System Detail'!$I$265</definedName>
    <definedName name="_TG16340">'System Detail'!$I$256</definedName>
    <definedName name="_TG26006">'System Detail'!$I$263</definedName>
    <definedName name="_TG26083">'System Detail'!$I$255</definedName>
    <definedName name="_TG26157">'System Detail'!$I$264</definedName>
    <definedName name="totalvolume">[1]Extracts!$F$7:$G$396</definedName>
    <definedName name="_TS806">'System Detail'!$I$258</definedName>
    <definedName name="_TS809">'System Detail'!$I$260</definedName>
    <definedName name="TTLCHK800South">'System Detail'!$I$246</definedName>
    <definedName name="TTLCHK804">'System Detail'!$I$249</definedName>
    <definedName name="TTLCHK812">'System Detail'!$I$247</definedName>
    <definedName name="TTLCHK816">'System Detail'!$I$248</definedName>
    <definedName name="uafcig">reccig/recttl</definedName>
    <definedName name="uafhpl">rechpl/recttl</definedName>
  </definedNames>
  <calcPr calcId="0" fullCalcOnLoad="1"/>
</workbook>
</file>

<file path=xl/calcChain.xml><?xml version="1.0" encoding="utf-8"?>
<calcChain xmlns="http://schemas.openxmlformats.org/spreadsheetml/2006/main">
  <c r="E2" i="7875" l="1"/>
  <c r="F2" i="7875"/>
  <c r="G2" i="7875"/>
  <c r="E3" i="7875"/>
  <c r="F3" i="7875"/>
  <c r="G3" i="7875"/>
  <c r="E4" i="7875"/>
  <c r="F4" i="7875"/>
  <c r="G4" i="7875"/>
  <c r="B5" i="7875"/>
  <c r="E5" i="7875"/>
  <c r="F5" i="7875"/>
  <c r="G5" i="7875"/>
  <c r="B6" i="7875"/>
  <c r="E6" i="7875"/>
  <c r="F6" i="7875"/>
  <c r="G6" i="7875"/>
  <c r="A7" i="7875"/>
  <c r="E7" i="7875"/>
  <c r="F7" i="7875"/>
  <c r="G7" i="7875"/>
  <c r="A8" i="7875"/>
  <c r="E8" i="7875"/>
  <c r="F8" i="7875"/>
  <c r="G8" i="7875"/>
  <c r="A9" i="7875"/>
  <c r="C9" i="7875"/>
  <c r="E9" i="7875"/>
  <c r="F9" i="7875"/>
  <c r="G9" i="7875"/>
  <c r="H31" i="7875"/>
  <c r="I31" i="7875"/>
  <c r="J31" i="7875"/>
  <c r="K31" i="7875"/>
  <c r="L31" i="7875"/>
  <c r="M31" i="7875"/>
  <c r="H32" i="7875"/>
  <c r="I32" i="7875"/>
  <c r="J32" i="7875"/>
  <c r="K32" i="7875"/>
  <c r="L32" i="7875"/>
  <c r="M32" i="7875"/>
  <c r="H33" i="7875"/>
  <c r="I33" i="7875"/>
  <c r="J33" i="7875"/>
  <c r="K33" i="7875"/>
  <c r="L33" i="7875"/>
  <c r="M33" i="7875"/>
  <c r="H34" i="7875"/>
  <c r="H35" i="7875"/>
  <c r="I35" i="7875"/>
  <c r="H36" i="7875"/>
  <c r="B38" i="7875"/>
  <c r="B39" i="7875"/>
  <c r="B40" i="7875"/>
  <c r="B41" i="7875"/>
  <c r="B42" i="7875"/>
  <c r="B43" i="7875"/>
  <c r="B44" i="7875"/>
  <c r="B45" i="7875"/>
  <c r="B46" i="7875"/>
  <c r="B47" i="7875"/>
  <c r="B48" i="7875"/>
  <c r="B49" i="7875"/>
  <c r="F2" i="31"/>
  <c r="G2" i="31"/>
  <c r="D3" i="31"/>
  <c r="D4" i="31"/>
  <c r="B5" i="31"/>
  <c r="D5" i="31"/>
  <c r="B6" i="31"/>
  <c r="A7" i="31"/>
  <c r="A8" i="31"/>
  <c r="A9" i="31"/>
  <c r="C9" i="31"/>
  <c r="H31" i="31"/>
  <c r="I31" i="31"/>
  <c r="J31" i="31"/>
  <c r="K31" i="31"/>
  <c r="L31" i="31"/>
  <c r="M31" i="31"/>
  <c r="H32" i="31"/>
  <c r="I32" i="31"/>
  <c r="J32" i="31"/>
  <c r="K32" i="31"/>
  <c r="L32" i="31"/>
  <c r="M32" i="31"/>
  <c r="H33" i="31"/>
  <c r="I33" i="31"/>
  <c r="J33" i="31"/>
  <c r="K33" i="31"/>
  <c r="L33" i="31"/>
  <c r="M33" i="31"/>
  <c r="H34" i="31"/>
  <c r="H35" i="31"/>
  <c r="I35" i="31"/>
  <c r="H36" i="31"/>
  <c r="B38" i="31"/>
  <c r="B39" i="31"/>
  <c r="B40" i="31"/>
  <c r="B41" i="31"/>
  <c r="B42" i="31"/>
  <c r="B43" i="31"/>
  <c r="B44" i="31"/>
  <c r="B45" i="31"/>
  <c r="B46" i="31"/>
  <c r="B47" i="31"/>
  <c r="B48" i="31"/>
  <c r="B49" i="31"/>
  <c r="B50" i="31"/>
  <c r="B51" i="31"/>
  <c r="B52" i="31"/>
  <c r="B53" i="31"/>
  <c r="B54" i="31"/>
  <c r="B55" i="31"/>
  <c r="B56" i="31"/>
  <c r="C2" i="3102"/>
  <c r="C3" i="3102"/>
  <c r="B4" i="3102"/>
  <c r="E6" i="3102"/>
  <c r="F6" i="3102"/>
  <c r="G6" i="3102"/>
  <c r="H6" i="3102"/>
  <c r="I6" i="3102"/>
  <c r="J6" i="3102"/>
  <c r="K6" i="3102"/>
  <c r="L6" i="3102"/>
  <c r="M6" i="3102"/>
  <c r="E7" i="3102"/>
  <c r="F7" i="3102"/>
  <c r="G7" i="3102"/>
  <c r="H7" i="3102"/>
  <c r="I7" i="3102"/>
  <c r="J7" i="3102"/>
  <c r="K7" i="3102"/>
  <c r="L7" i="3102"/>
  <c r="M7" i="3102"/>
  <c r="C8" i="3102"/>
  <c r="D8" i="3102"/>
  <c r="E8" i="3102"/>
  <c r="F8" i="3102"/>
  <c r="G8" i="3102"/>
  <c r="H8" i="3102"/>
  <c r="I8" i="3102"/>
  <c r="J8" i="3102"/>
  <c r="K8" i="3102"/>
  <c r="L8" i="3102"/>
  <c r="M8" i="3102"/>
  <c r="C9" i="3102"/>
  <c r="D9" i="3102"/>
  <c r="E9" i="3102"/>
  <c r="F9" i="3102"/>
  <c r="G9" i="3102"/>
  <c r="H9" i="3102"/>
  <c r="I9" i="3102"/>
  <c r="J9" i="3102"/>
  <c r="K9" i="3102"/>
  <c r="L9" i="3102"/>
  <c r="M9" i="3102"/>
  <c r="C10" i="3102"/>
  <c r="D10" i="3102"/>
  <c r="E10" i="3102"/>
  <c r="F10" i="3102"/>
  <c r="G10" i="3102"/>
  <c r="H10" i="3102"/>
  <c r="I10" i="3102"/>
  <c r="J10" i="3102"/>
  <c r="K10" i="3102"/>
  <c r="L10" i="3102"/>
  <c r="M10" i="3102"/>
  <c r="C11" i="3102"/>
  <c r="D11" i="3102"/>
  <c r="E11" i="3102"/>
  <c r="F11" i="3102"/>
  <c r="G11" i="3102"/>
  <c r="H11" i="3102"/>
  <c r="I11" i="3102"/>
  <c r="J11" i="3102"/>
  <c r="K11" i="3102"/>
  <c r="L11" i="3102"/>
  <c r="M11" i="3102"/>
  <c r="C12" i="3102"/>
  <c r="D12" i="3102"/>
  <c r="E12" i="3102"/>
  <c r="F12" i="3102"/>
  <c r="G12" i="3102"/>
  <c r="H12" i="3102"/>
  <c r="I12" i="3102"/>
  <c r="J12" i="3102"/>
  <c r="K12" i="3102"/>
  <c r="L12" i="3102"/>
  <c r="M12" i="3102"/>
  <c r="E13" i="3102"/>
  <c r="F13" i="3102"/>
  <c r="G13" i="3102"/>
  <c r="H13" i="3102"/>
  <c r="I13" i="3102"/>
  <c r="J13" i="3102"/>
  <c r="K13" i="3102"/>
  <c r="L13" i="3102"/>
  <c r="M13" i="3102"/>
  <c r="C14" i="3102"/>
  <c r="D14" i="3102"/>
  <c r="E14" i="3102"/>
  <c r="F14" i="3102"/>
  <c r="G14" i="3102"/>
  <c r="H14" i="3102"/>
  <c r="I14" i="3102"/>
  <c r="J14" i="3102"/>
  <c r="K14" i="3102"/>
  <c r="L14" i="3102"/>
  <c r="M14" i="3102"/>
  <c r="C15" i="3102"/>
  <c r="D15" i="3102"/>
  <c r="E15" i="3102"/>
  <c r="F15" i="3102"/>
  <c r="G15" i="3102"/>
  <c r="H15" i="3102"/>
  <c r="I15" i="3102"/>
  <c r="J15" i="3102"/>
  <c r="K15" i="3102"/>
  <c r="L15" i="3102"/>
  <c r="M15" i="3102"/>
  <c r="C16" i="3102"/>
  <c r="D16" i="3102"/>
  <c r="C18" i="3102"/>
  <c r="C19" i="3102"/>
  <c r="C20" i="3102"/>
  <c r="C21" i="3102"/>
  <c r="C22" i="3102"/>
  <c r="C23" i="3102"/>
  <c r="C24" i="3102"/>
  <c r="C25" i="3102"/>
  <c r="C26" i="3102"/>
  <c r="C27" i="3102"/>
  <c r="C28" i="3102"/>
  <c r="C29" i="3102"/>
  <c r="C30" i="3102"/>
  <c r="C31" i="3102"/>
  <c r="C32" i="3102"/>
  <c r="C33" i="3102"/>
  <c r="D1" i="16537"/>
  <c r="L1" i="16537"/>
  <c r="O1" i="16537"/>
  <c r="D2" i="16537"/>
  <c r="D3" i="16537"/>
  <c r="G5" i="16537"/>
  <c r="H5" i="16537"/>
  <c r="I5" i="16537"/>
  <c r="J5" i="16537"/>
  <c r="K5" i="16537"/>
  <c r="L5" i="16537"/>
  <c r="M5" i="16537"/>
  <c r="S5" i="16537"/>
  <c r="T5" i="16537"/>
  <c r="U5" i="16537"/>
  <c r="V5" i="16537"/>
  <c r="W5" i="16537"/>
  <c r="X5" i="16537"/>
  <c r="Y5" i="16537"/>
  <c r="G6" i="16537"/>
  <c r="H6" i="16537"/>
  <c r="I6" i="16537"/>
  <c r="J6" i="16537"/>
  <c r="K6" i="16537"/>
  <c r="L6" i="16537"/>
  <c r="M6" i="16537"/>
  <c r="S6" i="16537"/>
  <c r="T6" i="16537"/>
  <c r="U6" i="16537"/>
  <c r="V6" i="16537"/>
  <c r="W6" i="16537"/>
  <c r="X6" i="16537"/>
  <c r="Y6" i="16537"/>
  <c r="G7" i="16537"/>
  <c r="H7" i="16537"/>
  <c r="I7" i="16537"/>
  <c r="J7" i="16537"/>
  <c r="K7" i="16537"/>
  <c r="L7" i="16537"/>
  <c r="M7" i="16537"/>
  <c r="S7" i="16537"/>
  <c r="T7" i="16537"/>
  <c r="U7" i="16537"/>
  <c r="V7" i="16537"/>
  <c r="W7" i="16537"/>
  <c r="X7" i="16537"/>
  <c r="Y7" i="16537"/>
  <c r="G8" i="16537"/>
  <c r="H8" i="16537"/>
  <c r="I8" i="16537"/>
  <c r="J8" i="16537"/>
  <c r="K8" i="16537"/>
  <c r="L8" i="16537"/>
  <c r="M8" i="16537"/>
  <c r="S8" i="16537"/>
  <c r="T8" i="16537"/>
  <c r="U8" i="16537"/>
  <c r="V8" i="16537"/>
  <c r="W8" i="16537"/>
  <c r="X8" i="16537"/>
  <c r="Y8" i="16537"/>
  <c r="G9" i="16537"/>
  <c r="H9" i="16537"/>
  <c r="I9" i="16537"/>
  <c r="J9" i="16537"/>
  <c r="K9" i="16537"/>
  <c r="L9" i="16537"/>
  <c r="M9" i="16537"/>
  <c r="S9" i="16537"/>
  <c r="T9" i="16537"/>
  <c r="U9" i="16537"/>
  <c r="V9" i="16537"/>
  <c r="W9" i="16537"/>
  <c r="X9" i="16537"/>
  <c r="Y9" i="16537"/>
  <c r="G10" i="16537"/>
  <c r="H10" i="16537"/>
  <c r="I10" i="16537"/>
  <c r="J10" i="16537"/>
  <c r="K10" i="16537"/>
  <c r="L10" i="16537"/>
  <c r="M10" i="16537"/>
  <c r="S10" i="16537"/>
  <c r="T10" i="16537"/>
  <c r="U10" i="16537"/>
  <c r="V10" i="16537"/>
  <c r="W10" i="16537"/>
  <c r="X10" i="16537"/>
  <c r="Y10" i="16537"/>
  <c r="G11" i="16537"/>
  <c r="H11" i="16537"/>
  <c r="I11" i="16537"/>
  <c r="J11" i="16537"/>
  <c r="K11" i="16537"/>
  <c r="L11" i="16537"/>
  <c r="M11" i="16537"/>
  <c r="S11" i="16537"/>
  <c r="T11" i="16537"/>
  <c r="U11" i="16537"/>
  <c r="V11" i="16537"/>
  <c r="W11" i="16537"/>
  <c r="X11" i="16537"/>
  <c r="Y11" i="16537"/>
  <c r="G12" i="16537"/>
  <c r="H12" i="16537"/>
  <c r="I12" i="16537"/>
  <c r="J12" i="16537"/>
  <c r="K12" i="16537"/>
  <c r="L12" i="16537"/>
  <c r="M12" i="16537"/>
  <c r="S12" i="16537"/>
  <c r="T12" i="16537"/>
  <c r="U12" i="16537"/>
  <c r="V12" i="16537"/>
  <c r="W12" i="16537"/>
  <c r="X12" i="16537"/>
  <c r="Y12" i="16537"/>
  <c r="G13" i="16537"/>
  <c r="H13" i="16537"/>
  <c r="I13" i="16537"/>
  <c r="J13" i="16537"/>
  <c r="K13" i="16537"/>
  <c r="L13" i="16537"/>
  <c r="M13" i="16537"/>
  <c r="S13" i="16537"/>
  <c r="T13" i="16537"/>
  <c r="U13" i="16537"/>
  <c r="V13" i="16537"/>
  <c r="W13" i="16537"/>
  <c r="X13" i="16537"/>
  <c r="Y13" i="16537"/>
  <c r="G14" i="16537"/>
  <c r="H14" i="16537"/>
  <c r="I14" i="16537"/>
  <c r="J14" i="16537"/>
  <c r="K14" i="16537"/>
  <c r="L14" i="16537"/>
  <c r="M14" i="16537"/>
  <c r="S14" i="16537"/>
  <c r="T14" i="16537"/>
  <c r="U14" i="16537"/>
  <c r="V14" i="16537"/>
  <c r="W14" i="16537"/>
  <c r="X14" i="16537"/>
  <c r="Y14" i="16537"/>
  <c r="H15" i="16537"/>
  <c r="I15" i="16537"/>
  <c r="J15" i="16537"/>
  <c r="K15" i="16537"/>
  <c r="L15" i="16537"/>
  <c r="M15" i="16537"/>
  <c r="S15" i="16537"/>
  <c r="T15" i="16537"/>
  <c r="U15" i="16537"/>
  <c r="V15" i="16537"/>
  <c r="W15" i="16537"/>
  <c r="X15" i="16537"/>
  <c r="Y15" i="16537"/>
  <c r="G16" i="16537"/>
  <c r="H16" i="16537"/>
  <c r="I16" i="16537"/>
  <c r="J16" i="16537"/>
  <c r="K16" i="16537"/>
  <c r="L16" i="16537"/>
  <c r="M16" i="16537"/>
  <c r="S16" i="16537"/>
  <c r="T16" i="16537"/>
  <c r="U16" i="16537"/>
  <c r="V16" i="16537"/>
  <c r="W16" i="16537"/>
  <c r="X16" i="16537"/>
  <c r="Y16" i="16537"/>
  <c r="G17" i="16537"/>
  <c r="H17" i="16537"/>
  <c r="I17" i="16537"/>
  <c r="J17" i="16537"/>
  <c r="K17" i="16537"/>
  <c r="L17" i="16537"/>
  <c r="M17" i="16537"/>
  <c r="S17" i="16537"/>
  <c r="T17" i="16537"/>
  <c r="U17" i="16537"/>
  <c r="V17" i="16537"/>
  <c r="W17" i="16537"/>
  <c r="X17" i="16537"/>
  <c r="Y17" i="16537"/>
  <c r="G18" i="16537"/>
  <c r="H18" i="16537"/>
  <c r="I18" i="16537"/>
  <c r="J18" i="16537"/>
  <c r="K18" i="16537"/>
  <c r="L18" i="16537"/>
  <c r="M18" i="16537"/>
  <c r="S18" i="16537"/>
  <c r="T18" i="16537"/>
  <c r="U18" i="16537"/>
  <c r="V18" i="16537"/>
  <c r="W18" i="16537"/>
  <c r="X18" i="16537"/>
  <c r="Y18" i="16537"/>
  <c r="G19" i="16537"/>
  <c r="H19" i="16537"/>
  <c r="I19" i="16537"/>
  <c r="J19" i="16537"/>
  <c r="K19" i="16537"/>
  <c r="L19" i="16537"/>
  <c r="M19" i="16537"/>
  <c r="S19" i="16537"/>
  <c r="T19" i="16537"/>
  <c r="U19" i="16537"/>
  <c r="V19" i="16537"/>
  <c r="W19" i="16537"/>
  <c r="X19" i="16537"/>
  <c r="Y19" i="16537"/>
  <c r="G20" i="16537"/>
  <c r="H20" i="16537"/>
  <c r="I20" i="16537"/>
  <c r="J20" i="16537"/>
  <c r="K20" i="16537"/>
  <c r="L20" i="16537"/>
  <c r="M20" i="16537"/>
  <c r="S20" i="16537"/>
  <c r="T20" i="16537"/>
  <c r="U20" i="16537"/>
  <c r="V20" i="16537"/>
  <c r="W20" i="16537"/>
  <c r="X20" i="16537"/>
  <c r="Y20" i="16537"/>
  <c r="G21" i="16537"/>
  <c r="H21" i="16537"/>
  <c r="I21" i="16537"/>
  <c r="J21" i="16537"/>
  <c r="K21" i="16537"/>
  <c r="L21" i="16537"/>
  <c r="M21" i="16537"/>
  <c r="S21" i="16537"/>
  <c r="T21" i="16537"/>
  <c r="U21" i="16537"/>
  <c r="V21" i="16537"/>
  <c r="W21" i="16537"/>
  <c r="X21" i="16537"/>
  <c r="Y21" i="16537"/>
  <c r="G22" i="16537"/>
  <c r="H22" i="16537"/>
  <c r="I22" i="16537"/>
  <c r="J22" i="16537"/>
  <c r="K22" i="16537"/>
  <c r="L22" i="16537"/>
  <c r="M22" i="16537"/>
  <c r="S22" i="16537"/>
  <c r="T22" i="16537"/>
  <c r="U22" i="16537"/>
  <c r="V22" i="16537"/>
  <c r="W22" i="16537"/>
  <c r="X22" i="16537"/>
  <c r="Y22" i="16537"/>
  <c r="G23" i="16537"/>
  <c r="H23" i="16537"/>
  <c r="I23" i="16537"/>
  <c r="J23" i="16537"/>
  <c r="K23" i="16537"/>
  <c r="L23" i="16537"/>
  <c r="M23" i="16537"/>
  <c r="S23" i="16537"/>
  <c r="T23" i="16537"/>
  <c r="U23" i="16537"/>
  <c r="V23" i="16537"/>
  <c r="W23" i="16537"/>
  <c r="X23" i="16537"/>
  <c r="Y23" i="16537"/>
  <c r="G24" i="16537"/>
  <c r="H24" i="16537"/>
  <c r="I24" i="16537"/>
  <c r="J24" i="16537"/>
  <c r="K24" i="16537"/>
  <c r="L24" i="16537"/>
  <c r="M24" i="16537"/>
  <c r="S24" i="16537"/>
  <c r="T24" i="16537"/>
  <c r="U24" i="16537"/>
  <c r="V24" i="16537"/>
  <c r="W24" i="16537"/>
  <c r="X24" i="16537"/>
  <c r="Y24" i="16537"/>
  <c r="G25" i="16537"/>
  <c r="H25" i="16537"/>
  <c r="I25" i="16537"/>
  <c r="J25" i="16537"/>
  <c r="K25" i="16537"/>
  <c r="L25" i="16537"/>
  <c r="M25" i="16537"/>
  <c r="S25" i="16537"/>
  <c r="T25" i="16537"/>
  <c r="U25" i="16537"/>
  <c r="V25" i="16537"/>
  <c r="W25" i="16537"/>
  <c r="X25" i="16537"/>
  <c r="Y25" i="16537"/>
  <c r="G26" i="16537"/>
  <c r="H26" i="16537"/>
  <c r="I26" i="16537"/>
  <c r="J26" i="16537"/>
  <c r="K26" i="16537"/>
  <c r="L26" i="16537"/>
  <c r="M26" i="16537"/>
  <c r="S26" i="16537"/>
  <c r="T26" i="16537"/>
  <c r="U26" i="16537"/>
  <c r="V26" i="16537"/>
  <c r="W26" i="16537"/>
  <c r="X26" i="16537"/>
  <c r="Y26" i="16537"/>
  <c r="G28" i="16537"/>
  <c r="H28" i="16537"/>
  <c r="I28" i="16537"/>
  <c r="J28" i="16537"/>
  <c r="K28" i="16537"/>
  <c r="L28" i="16537"/>
  <c r="M28" i="16537"/>
  <c r="Q28" i="16537"/>
  <c r="R28" i="16537"/>
  <c r="S28" i="16537"/>
  <c r="T28" i="16537"/>
  <c r="U28" i="16537"/>
  <c r="V28" i="16537"/>
  <c r="W28" i="16537"/>
  <c r="X28" i="16537"/>
  <c r="Y28" i="16537"/>
  <c r="G29" i="16537"/>
  <c r="H29" i="16537"/>
  <c r="I29" i="16537"/>
  <c r="J29" i="16537"/>
  <c r="K29" i="16537"/>
  <c r="L29" i="16537"/>
  <c r="M29" i="16537"/>
  <c r="Q29" i="16537"/>
  <c r="R29" i="16537"/>
  <c r="S29" i="16537"/>
  <c r="T29" i="16537"/>
  <c r="U29" i="16537"/>
  <c r="V29" i="16537"/>
  <c r="W29" i="16537"/>
  <c r="X29" i="16537"/>
  <c r="Y29" i="16537"/>
  <c r="G30" i="16537"/>
  <c r="H30" i="16537"/>
  <c r="I30" i="16537"/>
  <c r="J30" i="16537"/>
  <c r="K30" i="16537"/>
  <c r="L30" i="16537"/>
  <c r="M30" i="16537"/>
  <c r="Q30" i="16537"/>
  <c r="R30" i="16537"/>
  <c r="S30" i="16537"/>
  <c r="T30" i="16537"/>
  <c r="U30" i="16537"/>
  <c r="V30" i="16537"/>
  <c r="W30" i="16537"/>
  <c r="X30" i="16537"/>
  <c r="Y30" i="16537"/>
  <c r="G31" i="16537"/>
  <c r="H31" i="16537"/>
  <c r="I31" i="16537"/>
  <c r="J31" i="16537"/>
  <c r="K31" i="16537"/>
  <c r="L31" i="16537"/>
  <c r="M31" i="16537"/>
  <c r="Q31" i="16537"/>
  <c r="R31" i="16537"/>
  <c r="S31" i="16537"/>
  <c r="T31" i="16537"/>
  <c r="U31" i="16537"/>
  <c r="V31" i="16537"/>
  <c r="W31" i="16537"/>
  <c r="X31" i="16537"/>
  <c r="Y31" i="16537"/>
  <c r="G32" i="16537"/>
  <c r="H32" i="16537"/>
  <c r="I32" i="16537"/>
  <c r="J32" i="16537"/>
  <c r="K32" i="16537"/>
  <c r="L32" i="16537"/>
  <c r="M32" i="16537"/>
  <c r="N32" i="16537"/>
  <c r="O32" i="16537"/>
  <c r="P32" i="16537"/>
  <c r="Q32" i="16537"/>
  <c r="R32" i="16537"/>
  <c r="S32" i="16537"/>
  <c r="T32" i="16537"/>
  <c r="U32" i="16537"/>
  <c r="V32" i="16537"/>
  <c r="W32" i="16537"/>
  <c r="X32" i="16537"/>
  <c r="Y32" i="16537"/>
  <c r="G33" i="16537"/>
  <c r="H33" i="16537"/>
  <c r="I33" i="16537"/>
  <c r="J33" i="16537"/>
  <c r="K33" i="16537"/>
  <c r="L33" i="16537"/>
  <c r="M33" i="16537"/>
  <c r="N33" i="16537"/>
  <c r="O33" i="16537"/>
  <c r="P33" i="16537"/>
  <c r="Q33" i="16537"/>
  <c r="R33" i="16537"/>
  <c r="S33" i="16537"/>
  <c r="T33" i="16537"/>
  <c r="U33" i="16537"/>
  <c r="V33" i="16537"/>
  <c r="W33" i="16537"/>
  <c r="X33" i="16537"/>
  <c r="Y33" i="16537"/>
  <c r="G34" i="16537"/>
  <c r="H34" i="16537"/>
  <c r="I34" i="16537"/>
  <c r="J34" i="16537"/>
  <c r="K34" i="16537"/>
  <c r="L34" i="16537"/>
  <c r="M34" i="16537"/>
  <c r="N34" i="16537"/>
  <c r="O34" i="16537"/>
  <c r="P34" i="16537"/>
  <c r="Q34" i="16537"/>
  <c r="R34" i="16537"/>
  <c r="S34" i="16537"/>
  <c r="T34" i="16537"/>
  <c r="U34" i="16537"/>
  <c r="V34" i="16537"/>
  <c r="W34" i="16537"/>
  <c r="X34" i="16537"/>
  <c r="Y34" i="16537"/>
  <c r="G35" i="16537"/>
  <c r="H35" i="16537"/>
  <c r="I35" i="16537"/>
  <c r="J35" i="16537"/>
  <c r="K35" i="16537"/>
  <c r="L35" i="16537"/>
  <c r="M35" i="16537"/>
  <c r="N35" i="16537"/>
  <c r="O35" i="16537"/>
  <c r="P35" i="16537"/>
  <c r="Q35" i="16537"/>
  <c r="R35" i="16537"/>
  <c r="S35" i="16537"/>
  <c r="T35" i="16537"/>
  <c r="U35" i="16537"/>
  <c r="V35" i="16537"/>
  <c r="W35" i="16537"/>
  <c r="X35" i="16537"/>
  <c r="Y35" i="16537"/>
  <c r="G36" i="16537"/>
  <c r="H36" i="16537"/>
  <c r="I36" i="16537"/>
  <c r="J36" i="16537"/>
  <c r="K36" i="16537"/>
  <c r="L36" i="16537"/>
  <c r="M36" i="16537"/>
  <c r="N36" i="16537"/>
  <c r="O36" i="16537"/>
  <c r="P36" i="16537"/>
  <c r="Q36" i="16537"/>
  <c r="R36" i="16537"/>
  <c r="S36" i="16537"/>
  <c r="T36" i="16537"/>
  <c r="U36" i="16537"/>
  <c r="V36" i="16537"/>
  <c r="W36" i="16537"/>
  <c r="X36" i="16537"/>
  <c r="Y36" i="16537"/>
  <c r="G37" i="16537"/>
  <c r="H37" i="16537"/>
  <c r="I37" i="16537"/>
  <c r="J37" i="16537"/>
  <c r="K37" i="16537"/>
  <c r="L37" i="16537"/>
  <c r="M37" i="16537"/>
  <c r="N37" i="16537"/>
  <c r="O37" i="16537"/>
  <c r="P37" i="16537"/>
  <c r="Q37" i="16537"/>
  <c r="R37" i="16537"/>
  <c r="S37" i="16537"/>
  <c r="T37" i="16537"/>
  <c r="U37" i="16537"/>
  <c r="V37" i="16537"/>
  <c r="W37" i="16537"/>
  <c r="X37" i="16537"/>
  <c r="Y37" i="16537"/>
  <c r="G38" i="16537"/>
  <c r="H38" i="16537"/>
  <c r="I38" i="16537"/>
  <c r="J38" i="16537"/>
  <c r="K38" i="16537"/>
  <c r="L38" i="16537"/>
  <c r="M38" i="16537"/>
  <c r="N38" i="16537"/>
  <c r="O38" i="16537"/>
  <c r="P38" i="16537"/>
  <c r="Q38" i="16537"/>
  <c r="R38" i="16537"/>
  <c r="S38" i="16537"/>
  <c r="T38" i="16537"/>
  <c r="U38" i="16537"/>
  <c r="V38" i="16537"/>
  <c r="W38" i="16537"/>
  <c r="X38" i="16537"/>
  <c r="Y38" i="16537"/>
  <c r="G39" i="16537"/>
  <c r="H39" i="16537"/>
  <c r="I39" i="16537"/>
  <c r="J39" i="16537"/>
  <c r="K39" i="16537"/>
  <c r="L39" i="16537"/>
  <c r="M39" i="16537"/>
  <c r="N39" i="16537"/>
  <c r="O39" i="16537"/>
  <c r="P39" i="16537"/>
  <c r="Q39" i="16537"/>
  <c r="R39" i="16537"/>
  <c r="S39" i="16537"/>
  <c r="T39" i="16537"/>
  <c r="U39" i="16537"/>
  <c r="V39" i="16537"/>
  <c r="W39" i="16537"/>
  <c r="X39" i="16537"/>
  <c r="Y39" i="16537"/>
  <c r="G40" i="16537"/>
  <c r="H40" i="16537"/>
  <c r="I40" i="16537"/>
  <c r="J40" i="16537"/>
  <c r="K40" i="16537"/>
  <c r="L40" i="16537"/>
  <c r="M40" i="16537"/>
  <c r="N40" i="16537"/>
  <c r="O40" i="16537"/>
  <c r="P40" i="16537"/>
  <c r="Q40" i="16537"/>
  <c r="R40" i="16537"/>
  <c r="S40" i="16537"/>
  <c r="T40" i="16537"/>
  <c r="U40" i="16537"/>
  <c r="V40" i="16537"/>
  <c r="W40" i="16537"/>
  <c r="X40" i="16537"/>
  <c r="Y40" i="16537"/>
  <c r="G41" i="16537"/>
  <c r="H41" i="16537"/>
  <c r="I41" i="16537"/>
  <c r="J41" i="16537"/>
  <c r="K41" i="16537"/>
  <c r="L41" i="16537"/>
  <c r="M41" i="16537"/>
  <c r="N41" i="16537"/>
  <c r="O41" i="16537"/>
  <c r="P41" i="16537"/>
  <c r="Q41" i="16537"/>
  <c r="R41" i="16537"/>
  <c r="S41" i="16537"/>
  <c r="T41" i="16537"/>
  <c r="U41" i="16537"/>
  <c r="V41" i="16537"/>
  <c r="W41" i="16537"/>
  <c r="X41" i="16537"/>
  <c r="Y41" i="16537"/>
  <c r="G42" i="16537"/>
  <c r="H42" i="16537"/>
  <c r="I42" i="16537"/>
  <c r="J42" i="16537"/>
  <c r="K42" i="16537"/>
  <c r="L42" i="16537"/>
  <c r="M42" i="16537"/>
  <c r="N42" i="16537"/>
  <c r="O42" i="16537"/>
  <c r="P42" i="16537"/>
  <c r="Q42" i="16537"/>
  <c r="R42" i="16537"/>
  <c r="S42" i="16537"/>
  <c r="T42" i="16537"/>
  <c r="U42" i="16537"/>
  <c r="V42" i="16537"/>
  <c r="W42" i="16537"/>
  <c r="X42" i="16537"/>
  <c r="Y42" i="16537"/>
  <c r="G43" i="16537"/>
  <c r="H43" i="16537"/>
  <c r="I43" i="16537"/>
  <c r="J43" i="16537"/>
  <c r="K43" i="16537"/>
  <c r="L43" i="16537"/>
  <c r="M43" i="16537"/>
  <c r="N43" i="16537"/>
  <c r="O43" i="16537"/>
  <c r="P43" i="16537"/>
  <c r="Q43" i="16537"/>
  <c r="R43" i="16537"/>
  <c r="S43" i="16537"/>
  <c r="T43" i="16537"/>
  <c r="U43" i="16537"/>
  <c r="V43" i="16537"/>
  <c r="W43" i="16537"/>
  <c r="X43" i="16537"/>
  <c r="Y43" i="16537"/>
  <c r="G44" i="16537"/>
  <c r="H44" i="16537"/>
  <c r="I44" i="16537"/>
  <c r="J44" i="16537"/>
  <c r="K44" i="16537"/>
  <c r="L44" i="16537"/>
  <c r="M44" i="16537"/>
  <c r="N44" i="16537"/>
  <c r="O44" i="16537"/>
  <c r="P44" i="16537"/>
  <c r="Q44" i="16537"/>
  <c r="R44" i="16537"/>
  <c r="S44" i="16537"/>
  <c r="T44" i="16537"/>
  <c r="U44" i="16537"/>
  <c r="V44" i="16537"/>
  <c r="W44" i="16537"/>
  <c r="X44" i="16537"/>
  <c r="Y44" i="16537"/>
  <c r="G45" i="16537"/>
  <c r="H45" i="16537"/>
  <c r="I45" i="16537"/>
  <c r="J45" i="16537"/>
  <c r="K45" i="16537"/>
  <c r="L45" i="16537"/>
  <c r="M45" i="16537"/>
  <c r="N45" i="16537"/>
  <c r="O45" i="16537"/>
  <c r="P45" i="16537"/>
  <c r="Q45" i="16537"/>
  <c r="R45" i="16537"/>
  <c r="S45" i="16537"/>
  <c r="T45" i="16537"/>
  <c r="U45" i="16537"/>
  <c r="V45" i="16537"/>
  <c r="W45" i="16537"/>
  <c r="X45" i="16537"/>
  <c r="Y45" i="16537"/>
  <c r="G46" i="16537"/>
  <c r="H46" i="16537"/>
  <c r="I46" i="16537"/>
  <c r="J46" i="16537"/>
  <c r="K46" i="16537"/>
  <c r="L46" i="16537"/>
  <c r="M46" i="16537"/>
  <c r="N46" i="16537"/>
  <c r="O46" i="16537"/>
  <c r="P46" i="16537"/>
  <c r="Q46" i="16537"/>
  <c r="R46" i="16537"/>
  <c r="S46" i="16537"/>
  <c r="T46" i="16537"/>
  <c r="U46" i="16537"/>
  <c r="V46" i="16537"/>
  <c r="W46" i="16537"/>
  <c r="X46" i="16537"/>
  <c r="Y46" i="16537"/>
  <c r="G47" i="16537"/>
  <c r="H47" i="16537"/>
  <c r="I47" i="16537"/>
  <c r="J47" i="16537"/>
  <c r="K47" i="16537"/>
  <c r="L47" i="16537"/>
  <c r="M47" i="16537"/>
  <c r="N47" i="16537"/>
  <c r="O47" i="16537"/>
  <c r="P47" i="16537"/>
  <c r="Q47" i="16537"/>
  <c r="R47" i="16537"/>
  <c r="S47" i="16537"/>
  <c r="T47" i="16537"/>
  <c r="U47" i="16537"/>
  <c r="V47" i="16537"/>
  <c r="W47" i="16537"/>
  <c r="X47" i="16537"/>
  <c r="Y47" i="16537"/>
  <c r="G48" i="16537"/>
  <c r="H48" i="16537"/>
  <c r="I48" i="16537"/>
  <c r="J48" i="16537"/>
  <c r="K48" i="16537"/>
  <c r="L48" i="16537"/>
  <c r="M48" i="16537"/>
  <c r="N48" i="16537"/>
  <c r="O48" i="16537"/>
  <c r="P48" i="16537"/>
  <c r="Q48" i="16537"/>
  <c r="R48" i="16537"/>
  <c r="S48" i="16537"/>
  <c r="T48" i="16537"/>
  <c r="U48" i="16537"/>
  <c r="V48" i="16537"/>
  <c r="W48" i="16537"/>
  <c r="X48" i="16537"/>
  <c r="Y48" i="16537"/>
  <c r="G49" i="16537"/>
  <c r="H49" i="16537"/>
  <c r="I49" i="16537"/>
  <c r="J49" i="16537"/>
  <c r="K49" i="16537"/>
  <c r="L49" i="16537"/>
  <c r="M49" i="16537"/>
  <c r="N49" i="16537"/>
  <c r="O49" i="16537"/>
  <c r="P49" i="16537"/>
  <c r="Q49" i="16537"/>
  <c r="R49" i="16537"/>
  <c r="S49" i="16537"/>
  <c r="T49" i="16537"/>
  <c r="U49" i="16537"/>
  <c r="V49" i="16537"/>
  <c r="W49" i="16537"/>
  <c r="X49" i="16537"/>
  <c r="Y49" i="16537"/>
  <c r="G50" i="16537"/>
  <c r="H50" i="16537"/>
  <c r="I50" i="16537"/>
  <c r="J50" i="16537"/>
  <c r="K50" i="16537"/>
  <c r="L50" i="16537"/>
  <c r="M50" i="16537"/>
  <c r="N50" i="16537"/>
  <c r="O50" i="16537"/>
  <c r="P50" i="16537"/>
  <c r="Q50" i="16537"/>
  <c r="R50" i="16537"/>
  <c r="S50" i="16537"/>
  <c r="T50" i="16537"/>
  <c r="U50" i="16537"/>
  <c r="V50" i="16537"/>
  <c r="W50" i="16537"/>
  <c r="X50" i="16537"/>
  <c r="Y50" i="16537"/>
  <c r="G51" i="16537"/>
  <c r="H51" i="16537"/>
  <c r="I51" i="16537"/>
  <c r="J51" i="16537"/>
  <c r="K51" i="16537"/>
  <c r="L51" i="16537"/>
  <c r="M51" i="16537"/>
  <c r="N51" i="16537"/>
  <c r="O51" i="16537"/>
  <c r="P51" i="16537"/>
  <c r="Q51" i="16537"/>
  <c r="R51" i="16537"/>
  <c r="S51" i="16537"/>
  <c r="T51" i="16537"/>
  <c r="U51" i="16537"/>
  <c r="V51" i="16537"/>
  <c r="W51" i="16537"/>
  <c r="X51" i="16537"/>
  <c r="Y51" i="16537"/>
  <c r="G52" i="16537"/>
  <c r="H52" i="16537"/>
  <c r="I52" i="16537"/>
  <c r="J52" i="16537"/>
  <c r="K52" i="16537"/>
  <c r="L52" i="16537"/>
  <c r="M52" i="16537"/>
  <c r="N52" i="16537"/>
  <c r="O52" i="16537"/>
  <c r="P52" i="16537"/>
  <c r="Q52" i="16537"/>
  <c r="R52" i="16537"/>
  <c r="S52" i="16537"/>
  <c r="T52" i="16537"/>
  <c r="U52" i="16537"/>
  <c r="V52" i="16537"/>
  <c r="W52" i="16537"/>
  <c r="X52" i="16537"/>
  <c r="Y52" i="16537"/>
  <c r="G53" i="16537"/>
  <c r="H53" i="16537"/>
  <c r="I53" i="16537"/>
  <c r="J53" i="16537"/>
  <c r="K53" i="16537"/>
  <c r="L53" i="16537"/>
  <c r="M53" i="16537"/>
  <c r="N53" i="16537"/>
  <c r="O53" i="16537"/>
  <c r="P53" i="16537"/>
  <c r="Q53" i="16537"/>
  <c r="R53" i="16537"/>
  <c r="S53" i="16537"/>
  <c r="T53" i="16537"/>
  <c r="U53" i="16537"/>
  <c r="V53" i="16537"/>
  <c r="W53" i="16537"/>
  <c r="X53" i="16537"/>
  <c r="Y53" i="16537"/>
  <c r="G54" i="16537"/>
  <c r="H54" i="16537"/>
  <c r="I54" i="16537"/>
  <c r="J54" i="16537"/>
  <c r="K54" i="16537"/>
  <c r="L54" i="16537"/>
  <c r="M54" i="16537"/>
  <c r="N54" i="16537"/>
  <c r="O54" i="16537"/>
  <c r="P54" i="16537"/>
  <c r="Q54" i="16537"/>
  <c r="R54" i="16537"/>
  <c r="S54" i="16537"/>
  <c r="T54" i="16537"/>
  <c r="U54" i="16537"/>
  <c r="V54" i="16537"/>
  <c r="W54" i="16537"/>
  <c r="X54" i="16537"/>
  <c r="Y54" i="16537"/>
  <c r="G55" i="16537"/>
  <c r="H55" i="16537"/>
  <c r="I55" i="16537"/>
  <c r="J55" i="16537"/>
  <c r="K55" i="16537"/>
  <c r="L55" i="16537"/>
  <c r="M55" i="16537"/>
  <c r="N55" i="16537"/>
  <c r="O55" i="16537"/>
  <c r="P55" i="16537"/>
  <c r="Q55" i="16537"/>
  <c r="R55" i="16537"/>
  <c r="S55" i="16537"/>
  <c r="T55" i="16537"/>
  <c r="U55" i="16537"/>
  <c r="V55" i="16537"/>
  <c r="W55" i="16537"/>
  <c r="X55" i="16537"/>
  <c r="Y55" i="16537"/>
  <c r="G56" i="16537"/>
  <c r="H56" i="16537"/>
  <c r="I56" i="16537"/>
  <c r="J56" i="16537"/>
  <c r="K56" i="16537"/>
  <c r="L56" i="16537"/>
  <c r="M56" i="16537"/>
  <c r="N56" i="16537"/>
  <c r="O56" i="16537"/>
  <c r="P56" i="16537"/>
  <c r="Q56" i="16537"/>
  <c r="R56" i="16537"/>
  <c r="S56" i="16537"/>
  <c r="T56" i="16537"/>
  <c r="U56" i="16537"/>
  <c r="V56" i="16537"/>
  <c r="W56" i="16537"/>
  <c r="X56" i="16537"/>
  <c r="Y56" i="16537"/>
  <c r="G57" i="16537"/>
  <c r="H57" i="16537"/>
  <c r="I57" i="16537"/>
  <c r="J57" i="16537"/>
  <c r="K57" i="16537"/>
  <c r="L57" i="16537"/>
  <c r="M57" i="16537"/>
  <c r="N57" i="16537"/>
  <c r="O57" i="16537"/>
  <c r="P57" i="16537"/>
  <c r="Q57" i="16537"/>
  <c r="R57" i="16537"/>
  <c r="S57" i="16537"/>
  <c r="T57" i="16537"/>
  <c r="U57" i="16537"/>
  <c r="V57" i="16537"/>
  <c r="W57" i="16537"/>
  <c r="X57" i="16537"/>
  <c r="Y57" i="16537"/>
  <c r="G58" i="16537"/>
  <c r="H58" i="16537"/>
  <c r="I58" i="16537"/>
  <c r="J58" i="16537"/>
  <c r="K58" i="16537"/>
  <c r="L58" i="16537"/>
  <c r="M58" i="16537"/>
  <c r="N58" i="16537"/>
  <c r="O58" i="16537"/>
  <c r="P58" i="16537"/>
  <c r="Q58" i="16537"/>
  <c r="R58" i="16537"/>
  <c r="S58" i="16537"/>
  <c r="T58" i="16537"/>
  <c r="U58" i="16537"/>
  <c r="V58" i="16537"/>
  <c r="W58" i="16537"/>
  <c r="X58" i="16537"/>
  <c r="Y58" i="16537"/>
  <c r="G59" i="16537"/>
  <c r="H59" i="16537"/>
  <c r="I59" i="16537"/>
  <c r="J59" i="16537"/>
  <c r="K59" i="16537"/>
  <c r="L59" i="16537"/>
  <c r="M59" i="16537"/>
  <c r="N59" i="16537"/>
  <c r="O59" i="16537"/>
  <c r="P59" i="16537"/>
  <c r="Q59" i="16537"/>
  <c r="R59" i="16537"/>
  <c r="S59" i="16537"/>
  <c r="T59" i="16537"/>
  <c r="U59" i="16537"/>
  <c r="V59" i="16537"/>
  <c r="W59" i="16537"/>
  <c r="X59" i="16537"/>
  <c r="Y59" i="16537"/>
  <c r="G60" i="16537"/>
  <c r="H60" i="16537"/>
  <c r="I60" i="16537"/>
  <c r="J60" i="16537"/>
  <c r="K60" i="16537"/>
  <c r="L60" i="16537"/>
  <c r="M60" i="16537"/>
  <c r="N60" i="16537"/>
  <c r="O60" i="16537"/>
  <c r="P60" i="16537"/>
  <c r="Q60" i="16537"/>
  <c r="R60" i="16537"/>
  <c r="S60" i="16537"/>
  <c r="T60" i="16537"/>
  <c r="U60" i="16537"/>
  <c r="V60" i="16537"/>
  <c r="W60" i="16537"/>
  <c r="X60" i="16537"/>
  <c r="Y60" i="16537"/>
  <c r="G61" i="16537"/>
  <c r="H61" i="16537"/>
  <c r="I61" i="16537"/>
  <c r="J61" i="16537"/>
  <c r="K61" i="16537"/>
  <c r="L61" i="16537"/>
  <c r="M61" i="16537"/>
  <c r="N61" i="16537"/>
  <c r="O61" i="16537"/>
  <c r="P61" i="16537"/>
  <c r="Q61" i="16537"/>
  <c r="R61" i="16537"/>
  <c r="S61" i="16537"/>
  <c r="T61" i="16537"/>
  <c r="U61" i="16537"/>
  <c r="V61" i="16537"/>
  <c r="W61" i="16537"/>
  <c r="X61" i="16537"/>
  <c r="Y61" i="16537"/>
  <c r="G62" i="16537"/>
  <c r="H62" i="16537"/>
  <c r="I62" i="16537"/>
  <c r="J62" i="16537"/>
  <c r="K62" i="16537"/>
  <c r="L62" i="16537"/>
  <c r="M62" i="16537"/>
  <c r="N62" i="16537"/>
  <c r="O62" i="16537"/>
  <c r="P62" i="16537"/>
  <c r="Q62" i="16537"/>
  <c r="R62" i="16537"/>
  <c r="S62" i="16537"/>
  <c r="T62" i="16537"/>
  <c r="U62" i="16537"/>
  <c r="V62" i="16537"/>
  <c r="W62" i="16537"/>
  <c r="X62" i="16537"/>
  <c r="Y62" i="16537"/>
  <c r="G63" i="16537"/>
  <c r="H63" i="16537"/>
  <c r="I63" i="16537"/>
  <c r="J63" i="16537"/>
  <c r="K63" i="16537"/>
  <c r="L63" i="16537"/>
  <c r="M63" i="16537"/>
  <c r="N63" i="16537"/>
  <c r="O63" i="16537"/>
  <c r="P63" i="16537"/>
  <c r="Q63" i="16537"/>
  <c r="R63" i="16537"/>
  <c r="S63" i="16537"/>
  <c r="T63" i="16537"/>
  <c r="U63" i="16537"/>
  <c r="V63" i="16537"/>
  <c r="W63" i="16537"/>
  <c r="X63" i="16537"/>
  <c r="Y63" i="16537"/>
  <c r="G64" i="16537"/>
  <c r="H64" i="16537"/>
  <c r="I64" i="16537"/>
  <c r="J64" i="16537"/>
  <c r="K64" i="16537"/>
  <c r="L64" i="16537"/>
  <c r="M64" i="16537"/>
  <c r="N64" i="16537"/>
  <c r="O64" i="16537"/>
  <c r="P64" i="16537"/>
  <c r="Q64" i="16537"/>
  <c r="R64" i="16537"/>
  <c r="S64" i="16537"/>
  <c r="T64" i="16537"/>
  <c r="U64" i="16537"/>
  <c r="V64" i="16537"/>
  <c r="W64" i="16537"/>
  <c r="X64" i="16537"/>
  <c r="Y64" i="16537"/>
  <c r="G65" i="16537"/>
  <c r="H65" i="16537"/>
  <c r="I65" i="16537"/>
  <c r="J65" i="16537"/>
  <c r="K65" i="16537"/>
  <c r="L65" i="16537"/>
  <c r="M65" i="16537"/>
  <c r="N65" i="16537"/>
  <c r="O65" i="16537"/>
  <c r="P65" i="16537"/>
  <c r="Q65" i="16537"/>
  <c r="R65" i="16537"/>
  <c r="S65" i="16537"/>
  <c r="T65" i="16537"/>
  <c r="U65" i="16537"/>
  <c r="V65" i="16537"/>
  <c r="W65" i="16537"/>
  <c r="X65" i="16537"/>
  <c r="Y65" i="16537"/>
  <c r="G66" i="16537"/>
  <c r="H66" i="16537"/>
  <c r="I66" i="16537"/>
  <c r="J66" i="16537"/>
  <c r="K66" i="16537"/>
  <c r="L66" i="16537"/>
  <c r="M66" i="16537"/>
  <c r="N66" i="16537"/>
  <c r="O66" i="16537"/>
  <c r="P66" i="16537"/>
  <c r="Q66" i="16537"/>
  <c r="R66" i="16537"/>
  <c r="S66" i="16537"/>
  <c r="T66" i="16537"/>
  <c r="U66" i="16537"/>
  <c r="V66" i="16537"/>
  <c r="W66" i="16537"/>
  <c r="X66" i="16537"/>
  <c r="Y66" i="16537"/>
  <c r="G67" i="16537"/>
  <c r="H67" i="16537"/>
  <c r="I67" i="16537"/>
  <c r="J67" i="16537"/>
  <c r="K67" i="16537"/>
  <c r="L67" i="16537"/>
  <c r="M67" i="16537"/>
  <c r="N67" i="16537"/>
  <c r="O67" i="16537"/>
  <c r="P67" i="16537"/>
  <c r="Q67" i="16537"/>
  <c r="R67" i="16537"/>
  <c r="S67" i="16537"/>
  <c r="T67" i="16537"/>
  <c r="U67" i="16537"/>
  <c r="V67" i="16537"/>
  <c r="W67" i="16537"/>
  <c r="X67" i="16537"/>
  <c r="Y67" i="16537"/>
  <c r="G68" i="16537"/>
  <c r="H68" i="16537"/>
  <c r="I68" i="16537"/>
  <c r="J68" i="16537"/>
  <c r="K68" i="16537"/>
  <c r="L68" i="16537"/>
  <c r="M68" i="16537"/>
  <c r="N68" i="16537"/>
  <c r="O68" i="16537"/>
  <c r="P68" i="16537"/>
  <c r="Q68" i="16537"/>
  <c r="R68" i="16537"/>
  <c r="S68" i="16537"/>
  <c r="T68" i="16537"/>
  <c r="U68" i="16537"/>
  <c r="V68" i="16537"/>
  <c r="W68" i="16537"/>
  <c r="X68" i="16537"/>
  <c r="Y68" i="16537"/>
  <c r="G69" i="16537"/>
  <c r="H69" i="16537"/>
  <c r="I69" i="16537"/>
  <c r="J69" i="16537"/>
  <c r="K69" i="16537"/>
  <c r="L69" i="16537"/>
  <c r="M69" i="16537"/>
  <c r="N69" i="16537"/>
  <c r="O69" i="16537"/>
  <c r="P69" i="16537"/>
  <c r="Q69" i="16537"/>
  <c r="R69" i="16537"/>
  <c r="S69" i="16537"/>
  <c r="T69" i="16537"/>
  <c r="U69" i="16537"/>
  <c r="V69" i="16537"/>
  <c r="W69" i="16537"/>
  <c r="X69" i="16537"/>
  <c r="Y69" i="16537"/>
  <c r="G70" i="16537"/>
  <c r="H70" i="16537"/>
  <c r="I70" i="16537"/>
  <c r="J70" i="16537"/>
  <c r="K70" i="16537"/>
  <c r="L70" i="16537"/>
  <c r="M70" i="16537"/>
  <c r="N70" i="16537"/>
  <c r="O70" i="16537"/>
  <c r="P70" i="16537"/>
  <c r="Q70" i="16537"/>
  <c r="R70" i="16537"/>
  <c r="S70" i="16537"/>
  <c r="T70" i="16537"/>
  <c r="U70" i="16537"/>
  <c r="V70" i="16537"/>
  <c r="W70" i="16537"/>
  <c r="X70" i="16537"/>
  <c r="Y70" i="16537"/>
  <c r="G71" i="16537"/>
  <c r="H71" i="16537"/>
  <c r="I71" i="16537"/>
  <c r="J71" i="16537"/>
  <c r="K71" i="16537"/>
  <c r="L71" i="16537"/>
  <c r="M71" i="16537"/>
  <c r="N71" i="16537"/>
  <c r="O71" i="16537"/>
  <c r="P71" i="16537"/>
  <c r="Q71" i="16537"/>
  <c r="R71" i="16537"/>
  <c r="S71" i="16537"/>
  <c r="T71" i="16537"/>
  <c r="U71" i="16537"/>
  <c r="V71" i="16537"/>
  <c r="W71" i="16537"/>
  <c r="X71" i="16537"/>
  <c r="Y71" i="16537"/>
  <c r="G72" i="16537"/>
  <c r="H72" i="16537"/>
  <c r="I72" i="16537"/>
  <c r="J72" i="16537"/>
  <c r="K72" i="16537"/>
  <c r="L72" i="16537"/>
  <c r="M72" i="16537"/>
  <c r="N72" i="16537"/>
  <c r="O72" i="16537"/>
  <c r="P72" i="16537"/>
  <c r="Q72" i="16537"/>
  <c r="R72" i="16537"/>
  <c r="S72" i="16537"/>
  <c r="T72" i="16537"/>
  <c r="U72" i="16537"/>
  <c r="V72" i="16537"/>
  <c r="W72" i="16537"/>
  <c r="X72" i="16537"/>
  <c r="Y72" i="16537"/>
  <c r="G73" i="16537"/>
  <c r="H73" i="16537"/>
  <c r="I73" i="16537"/>
  <c r="J73" i="16537"/>
  <c r="K73" i="16537"/>
  <c r="L73" i="16537"/>
  <c r="M73" i="16537"/>
  <c r="N73" i="16537"/>
  <c r="O73" i="16537"/>
  <c r="P73" i="16537"/>
  <c r="Q73" i="16537"/>
  <c r="R73" i="16537"/>
  <c r="S73" i="16537"/>
  <c r="T73" i="16537"/>
  <c r="U73" i="16537"/>
  <c r="V73" i="16537"/>
  <c r="W73" i="16537"/>
  <c r="X73" i="16537"/>
  <c r="Y73" i="16537"/>
  <c r="G74" i="16537"/>
  <c r="H74" i="16537"/>
  <c r="I74" i="16537"/>
  <c r="J74" i="16537"/>
  <c r="K74" i="16537"/>
  <c r="L74" i="16537"/>
  <c r="M74" i="16537"/>
  <c r="N74" i="16537"/>
  <c r="O74" i="16537"/>
  <c r="P74" i="16537"/>
  <c r="Q74" i="16537"/>
  <c r="R74" i="16537"/>
  <c r="S74" i="16537"/>
  <c r="T74" i="16537"/>
  <c r="U74" i="16537"/>
  <c r="V74" i="16537"/>
  <c r="W74" i="16537"/>
  <c r="X74" i="16537"/>
  <c r="Y74" i="16537"/>
  <c r="G75" i="16537"/>
  <c r="H75" i="16537"/>
  <c r="I75" i="16537"/>
  <c r="J75" i="16537"/>
  <c r="K75" i="16537"/>
  <c r="L75" i="16537"/>
  <c r="M75" i="16537"/>
  <c r="N75" i="16537"/>
  <c r="O75" i="16537"/>
  <c r="P75" i="16537"/>
  <c r="Q75" i="16537"/>
  <c r="R75" i="16537"/>
  <c r="S75" i="16537"/>
  <c r="T75" i="16537"/>
  <c r="U75" i="16537"/>
  <c r="V75" i="16537"/>
  <c r="W75" i="16537"/>
  <c r="X75" i="16537"/>
  <c r="Y75" i="16537"/>
  <c r="G76" i="16537"/>
  <c r="H76" i="16537"/>
  <c r="I76" i="16537"/>
  <c r="J76" i="16537"/>
  <c r="K76" i="16537"/>
  <c r="L76" i="16537"/>
  <c r="M76" i="16537"/>
  <c r="N76" i="16537"/>
  <c r="O76" i="16537"/>
  <c r="P76" i="16537"/>
  <c r="Q76" i="16537"/>
  <c r="R76" i="16537"/>
  <c r="S76" i="16537"/>
  <c r="T76" i="16537"/>
  <c r="U76" i="16537"/>
  <c r="V76" i="16537"/>
  <c r="W76" i="16537"/>
  <c r="X76" i="16537"/>
  <c r="Y76" i="16537"/>
  <c r="G77" i="16537"/>
  <c r="H77" i="16537"/>
  <c r="I77" i="16537"/>
  <c r="J77" i="16537"/>
  <c r="K77" i="16537"/>
  <c r="L77" i="16537"/>
  <c r="M77" i="16537"/>
  <c r="N77" i="16537"/>
  <c r="O77" i="16537"/>
  <c r="P77" i="16537"/>
  <c r="Q77" i="16537"/>
  <c r="R77" i="16537"/>
  <c r="S77" i="16537"/>
  <c r="T77" i="16537"/>
  <c r="U77" i="16537"/>
  <c r="V77" i="16537"/>
  <c r="W77" i="16537"/>
  <c r="X77" i="16537"/>
  <c r="Y77" i="16537"/>
  <c r="G78" i="16537"/>
  <c r="H78" i="16537"/>
  <c r="I78" i="16537"/>
  <c r="J78" i="16537"/>
  <c r="K78" i="16537"/>
  <c r="L78" i="16537"/>
  <c r="M78" i="16537"/>
  <c r="N78" i="16537"/>
  <c r="O78" i="16537"/>
  <c r="P78" i="16537"/>
  <c r="Q78" i="16537"/>
  <c r="R78" i="16537"/>
  <c r="S78" i="16537"/>
  <c r="T78" i="16537"/>
  <c r="U78" i="16537"/>
  <c r="V78" i="16537"/>
  <c r="W78" i="16537"/>
  <c r="X78" i="16537"/>
  <c r="Y78" i="16537"/>
  <c r="G79" i="16537"/>
  <c r="H79" i="16537"/>
  <c r="I79" i="16537"/>
  <c r="J79" i="16537"/>
  <c r="K79" i="16537"/>
  <c r="L79" i="16537"/>
  <c r="M79" i="16537"/>
  <c r="N79" i="16537"/>
  <c r="O79" i="16537"/>
  <c r="P79" i="16537"/>
  <c r="Q79" i="16537"/>
  <c r="R79" i="16537"/>
  <c r="S79" i="16537"/>
  <c r="T79" i="16537"/>
  <c r="U79" i="16537"/>
  <c r="V79" i="16537"/>
  <c r="W79" i="16537"/>
  <c r="X79" i="16537"/>
  <c r="Y79" i="16537"/>
  <c r="G80" i="16537"/>
  <c r="H80" i="16537"/>
  <c r="I80" i="16537"/>
  <c r="J80" i="16537"/>
  <c r="K80" i="16537"/>
  <c r="L80" i="16537"/>
  <c r="M80" i="16537"/>
  <c r="N80" i="16537"/>
  <c r="O80" i="16537"/>
  <c r="P80" i="16537"/>
  <c r="Q80" i="16537"/>
  <c r="R80" i="16537"/>
  <c r="S80" i="16537"/>
  <c r="T80" i="16537"/>
  <c r="U80" i="16537"/>
  <c r="V80" i="16537"/>
  <c r="W80" i="16537"/>
  <c r="X80" i="16537"/>
  <c r="Y80" i="16537"/>
  <c r="G81" i="16537"/>
  <c r="H81" i="16537"/>
  <c r="I81" i="16537"/>
  <c r="J81" i="16537"/>
  <c r="K81" i="16537"/>
  <c r="L81" i="16537"/>
  <c r="M81" i="16537"/>
  <c r="N81" i="16537"/>
  <c r="O81" i="16537"/>
  <c r="P81" i="16537"/>
  <c r="Q81" i="16537"/>
  <c r="R81" i="16537"/>
  <c r="S81" i="16537"/>
  <c r="T81" i="16537"/>
  <c r="U81" i="16537"/>
  <c r="V81" i="16537"/>
  <c r="W81" i="16537"/>
  <c r="X81" i="16537"/>
  <c r="Y81" i="16537"/>
  <c r="G82" i="16537"/>
  <c r="H82" i="16537"/>
  <c r="I82" i="16537"/>
  <c r="J82" i="16537"/>
  <c r="K82" i="16537"/>
  <c r="L82" i="16537"/>
  <c r="M82" i="16537"/>
  <c r="N82" i="16537"/>
  <c r="O82" i="16537"/>
  <c r="P82" i="16537"/>
  <c r="Q82" i="16537"/>
  <c r="R82" i="16537"/>
  <c r="S82" i="16537"/>
  <c r="T82" i="16537"/>
  <c r="U82" i="16537"/>
  <c r="V82" i="16537"/>
  <c r="W82" i="16537"/>
  <c r="X82" i="16537"/>
  <c r="Y82" i="16537"/>
  <c r="G83" i="16537"/>
  <c r="H83" i="16537"/>
  <c r="I83" i="16537"/>
  <c r="J83" i="16537"/>
  <c r="K83" i="16537"/>
  <c r="L83" i="16537"/>
  <c r="M83" i="16537"/>
  <c r="N83" i="16537"/>
  <c r="O83" i="16537"/>
  <c r="P83" i="16537"/>
  <c r="Q83" i="16537"/>
  <c r="R83" i="16537"/>
  <c r="S83" i="16537"/>
  <c r="T83" i="16537"/>
  <c r="U83" i="16537"/>
  <c r="V83" i="16537"/>
  <c r="W83" i="16537"/>
  <c r="X83" i="16537"/>
  <c r="Y83" i="16537"/>
  <c r="G84" i="16537"/>
  <c r="H84" i="16537"/>
  <c r="I84" i="16537"/>
  <c r="J84" i="16537"/>
  <c r="K84" i="16537"/>
  <c r="L84" i="16537"/>
  <c r="M84" i="16537"/>
  <c r="N84" i="16537"/>
  <c r="O84" i="16537"/>
  <c r="P84" i="16537"/>
  <c r="Q84" i="16537"/>
  <c r="R84" i="16537"/>
  <c r="S84" i="16537"/>
  <c r="T84" i="16537"/>
  <c r="U84" i="16537"/>
  <c r="V84" i="16537"/>
  <c r="W84" i="16537"/>
  <c r="X84" i="16537"/>
  <c r="Y84" i="16537"/>
  <c r="G85" i="16537"/>
  <c r="H85" i="16537"/>
  <c r="I85" i="16537"/>
  <c r="J85" i="16537"/>
  <c r="K85" i="16537"/>
  <c r="L85" i="16537"/>
  <c r="M85" i="16537"/>
  <c r="N85" i="16537"/>
  <c r="O85" i="16537"/>
  <c r="P85" i="16537"/>
  <c r="Q85" i="16537"/>
  <c r="R85" i="16537"/>
  <c r="S85" i="16537"/>
  <c r="T85" i="16537"/>
  <c r="U85" i="16537"/>
  <c r="V85" i="16537"/>
  <c r="W85" i="16537"/>
  <c r="X85" i="16537"/>
  <c r="Y85" i="16537"/>
  <c r="G86" i="16537"/>
  <c r="H86" i="16537"/>
  <c r="I86" i="16537"/>
  <c r="J86" i="16537"/>
  <c r="K86" i="16537"/>
  <c r="L86" i="16537"/>
  <c r="M86" i="16537"/>
  <c r="N86" i="16537"/>
  <c r="O86" i="16537"/>
  <c r="P86" i="16537"/>
  <c r="Q86" i="16537"/>
  <c r="R86" i="16537"/>
  <c r="S86" i="16537"/>
  <c r="T86" i="16537"/>
  <c r="U86" i="16537"/>
  <c r="V86" i="16537"/>
  <c r="W86" i="16537"/>
  <c r="X86" i="16537"/>
  <c r="Y86" i="16537"/>
  <c r="G87" i="16537"/>
  <c r="H87" i="16537"/>
  <c r="I87" i="16537"/>
  <c r="J87" i="16537"/>
  <c r="K87" i="16537"/>
  <c r="L87" i="16537"/>
  <c r="M87" i="16537"/>
  <c r="N87" i="16537"/>
  <c r="O87" i="16537"/>
  <c r="P87" i="16537"/>
  <c r="Q87" i="16537"/>
  <c r="R87" i="16537"/>
  <c r="S87" i="16537"/>
  <c r="T87" i="16537"/>
  <c r="U87" i="16537"/>
  <c r="V87" i="16537"/>
  <c r="W87" i="16537"/>
  <c r="X87" i="16537"/>
  <c r="Y87" i="16537"/>
  <c r="G88" i="16537"/>
  <c r="H88" i="16537"/>
  <c r="I88" i="16537"/>
  <c r="J88" i="16537"/>
  <c r="K88" i="16537"/>
  <c r="L88" i="16537"/>
  <c r="M88" i="16537"/>
  <c r="N88" i="16537"/>
  <c r="O88" i="16537"/>
  <c r="P88" i="16537"/>
  <c r="Q88" i="16537"/>
  <c r="R88" i="16537"/>
  <c r="S88" i="16537"/>
  <c r="T88" i="16537"/>
  <c r="U88" i="16537"/>
  <c r="V88" i="16537"/>
  <c r="W88" i="16537"/>
  <c r="X88" i="16537"/>
  <c r="Y88" i="16537"/>
  <c r="G89" i="16537"/>
  <c r="H89" i="16537"/>
  <c r="I89" i="16537"/>
  <c r="J89" i="16537"/>
  <c r="K89" i="16537"/>
  <c r="L89" i="16537"/>
  <c r="M89" i="16537"/>
  <c r="N89" i="16537"/>
  <c r="O89" i="16537"/>
  <c r="P89" i="16537"/>
  <c r="Q89" i="16537"/>
  <c r="R89" i="16537"/>
  <c r="S89" i="16537"/>
  <c r="T89" i="16537"/>
  <c r="U89" i="16537"/>
  <c r="V89" i="16537"/>
  <c r="W89" i="16537"/>
  <c r="X89" i="16537"/>
  <c r="Y89" i="16537"/>
  <c r="G90" i="16537"/>
  <c r="H90" i="16537"/>
  <c r="I90" i="16537"/>
  <c r="J90" i="16537"/>
  <c r="K90" i="16537"/>
  <c r="L90" i="16537"/>
  <c r="M90" i="16537"/>
  <c r="N90" i="16537"/>
  <c r="O90" i="16537"/>
  <c r="P90" i="16537"/>
  <c r="Q90" i="16537"/>
  <c r="R90" i="16537"/>
  <c r="S90" i="16537"/>
  <c r="T90" i="16537"/>
  <c r="U90" i="16537"/>
  <c r="V90" i="16537"/>
  <c r="W90" i="16537"/>
  <c r="X90" i="16537"/>
  <c r="Y90" i="16537"/>
  <c r="G91" i="16537"/>
  <c r="H91" i="16537"/>
  <c r="I91" i="16537"/>
  <c r="J91" i="16537"/>
  <c r="K91" i="16537"/>
  <c r="L91" i="16537"/>
  <c r="M91" i="16537"/>
  <c r="N91" i="16537"/>
  <c r="O91" i="16537"/>
  <c r="P91" i="16537"/>
  <c r="Q91" i="16537"/>
  <c r="R91" i="16537"/>
  <c r="S91" i="16537"/>
  <c r="T91" i="16537"/>
  <c r="U91" i="16537"/>
  <c r="V91" i="16537"/>
  <c r="W91" i="16537"/>
  <c r="X91" i="16537"/>
  <c r="Y91" i="16537"/>
  <c r="G92" i="16537"/>
  <c r="H92" i="16537"/>
  <c r="I92" i="16537"/>
  <c r="J92" i="16537"/>
  <c r="K92" i="16537"/>
  <c r="L92" i="16537"/>
  <c r="M92" i="16537"/>
  <c r="N92" i="16537"/>
  <c r="O92" i="16537"/>
  <c r="P92" i="16537"/>
  <c r="Q92" i="16537"/>
  <c r="R92" i="16537"/>
  <c r="S92" i="16537"/>
  <c r="T92" i="16537"/>
  <c r="U92" i="16537"/>
  <c r="V92" i="16537"/>
  <c r="W92" i="16537"/>
  <c r="X92" i="16537"/>
  <c r="Y92" i="16537"/>
  <c r="G93" i="16537"/>
  <c r="H93" i="16537"/>
  <c r="I93" i="16537"/>
  <c r="J93" i="16537"/>
  <c r="K93" i="16537"/>
  <c r="L93" i="16537"/>
  <c r="M93" i="16537"/>
  <c r="N93" i="16537"/>
  <c r="O93" i="16537"/>
  <c r="P93" i="16537"/>
  <c r="Q93" i="16537"/>
  <c r="R93" i="16537"/>
  <c r="S93" i="16537"/>
  <c r="T93" i="16537"/>
  <c r="U93" i="16537"/>
  <c r="V93" i="16537"/>
  <c r="W93" i="16537"/>
  <c r="X93" i="16537"/>
  <c r="Y93" i="16537"/>
  <c r="G94" i="16537"/>
  <c r="H94" i="16537"/>
  <c r="I94" i="16537"/>
  <c r="J94" i="16537"/>
  <c r="K94" i="16537"/>
  <c r="L94" i="16537"/>
  <c r="M94" i="16537"/>
  <c r="N94" i="16537"/>
  <c r="O94" i="16537"/>
  <c r="P94" i="16537"/>
  <c r="Q94" i="16537"/>
  <c r="R94" i="16537"/>
  <c r="S94" i="16537"/>
  <c r="T94" i="16537"/>
  <c r="U94" i="16537"/>
  <c r="V94" i="16537"/>
  <c r="W94" i="16537"/>
  <c r="X94" i="16537"/>
  <c r="Y94" i="16537"/>
  <c r="G95" i="16537"/>
  <c r="H95" i="16537"/>
  <c r="I95" i="16537"/>
  <c r="J95" i="16537"/>
  <c r="K95" i="16537"/>
  <c r="L95" i="16537"/>
  <c r="M95" i="16537"/>
  <c r="N95" i="16537"/>
  <c r="O95" i="16537"/>
  <c r="P95" i="16537"/>
  <c r="Q95" i="16537"/>
  <c r="R95" i="16537"/>
  <c r="S95" i="16537"/>
  <c r="T95" i="16537"/>
  <c r="U95" i="16537"/>
  <c r="V95" i="16537"/>
  <c r="W95" i="16537"/>
  <c r="X95" i="16537"/>
  <c r="Y95" i="16537"/>
  <c r="G96" i="16537"/>
  <c r="H96" i="16537"/>
  <c r="I96" i="16537"/>
  <c r="J96" i="16537"/>
  <c r="K96" i="16537"/>
  <c r="L96" i="16537"/>
  <c r="M96" i="16537"/>
  <c r="N96" i="16537"/>
  <c r="O96" i="16537"/>
  <c r="P96" i="16537"/>
  <c r="Q96" i="16537"/>
  <c r="R96" i="16537"/>
  <c r="S96" i="16537"/>
  <c r="T96" i="16537"/>
  <c r="U96" i="16537"/>
  <c r="V96" i="16537"/>
  <c r="W96" i="16537"/>
  <c r="X96" i="16537"/>
  <c r="Y96" i="16537"/>
  <c r="G97" i="16537"/>
  <c r="H97" i="16537"/>
  <c r="I97" i="16537"/>
  <c r="J97" i="16537"/>
  <c r="K97" i="16537"/>
  <c r="L97" i="16537"/>
  <c r="M97" i="16537"/>
  <c r="N97" i="16537"/>
  <c r="O97" i="16537"/>
  <c r="P97" i="16537"/>
  <c r="Q97" i="16537"/>
  <c r="R97" i="16537"/>
  <c r="S97" i="16537"/>
  <c r="T97" i="16537"/>
  <c r="U97" i="16537"/>
  <c r="V97" i="16537"/>
  <c r="W97" i="16537"/>
  <c r="X97" i="16537"/>
  <c r="Y97" i="16537"/>
  <c r="G98" i="16537"/>
  <c r="H98" i="16537"/>
  <c r="I98" i="16537"/>
  <c r="J98" i="16537"/>
  <c r="K98" i="16537"/>
  <c r="L98" i="16537"/>
  <c r="M98" i="16537"/>
  <c r="N98" i="16537"/>
  <c r="O98" i="16537"/>
  <c r="P98" i="16537"/>
  <c r="Q98" i="16537"/>
  <c r="R98" i="16537"/>
  <c r="S98" i="16537"/>
  <c r="T98" i="16537"/>
  <c r="U98" i="16537"/>
  <c r="V98" i="16537"/>
  <c r="W98" i="16537"/>
  <c r="X98" i="16537"/>
  <c r="Y98" i="16537"/>
  <c r="G99" i="16537"/>
  <c r="H99" i="16537"/>
  <c r="I99" i="16537"/>
  <c r="J99" i="16537"/>
  <c r="K99" i="16537"/>
  <c r="L99" i="16537"/>
  <c r="M99" i="16537"/>
  <c r="N99" i="16537"/>
  <c r="O99" i="16537"/>
  <c r="P99" i="16537"/>
  <c r="Q99" i="16537"/>
  <c r="R99" i="16537"/>
  <c r="S99" i="16537"/>
  <c r="T99" i="16537"/>
  <c r="U99" i="16537"/>
  <c r="V99" i="16537"/>
  <c r="W99" i="16537"/>
  <c r="X99" i="16537"/>
  <c r="Y99" i="16537"/>
  <c r="G100" i="16537"/>
  <c r="H100" i="16537"/>
  <c r="I100" i="16537"/>
  <c r="J100" i="16537"/>
  <c r="K100" i="16537"/>
  <c r="L100" i="16537"/>
  <c r="M100" i="16537"/>
  <c r="N100" i="16537"/>
  <c r="O100" i="16537"/>
  <c r="P100" i="16537"/>
  <c r="Q100" i="16537"/>
  <c r="R100" i="16537"/>
  <c r="S100" i="16537"/>
  <c r="T100" i="16537"/>
  <c r="U100" i="16537"/>
  <c r="V100" i="16537"/>
  <c r="W100" i="16537"/>
  <c r="X100" i="16537"/>
  <c r="Y100" i="16537"/>
  <c r="G101" i="16537"/>
  <c r="H101" i="16537"/>
  <c r="I101" i="16537"/>
  <c r="J101" i="16537"/>
  <c r="K101" i="16537"/>
  <c r="L101" i="16537"/>
  <c r="M101" i="16537"/>
  <c r="N101" i="16537"/>
  <c r="O101" i="16537"/>
  <c r="P101" i="16537"/>
  <c r="Q101" i="16537"/>
  <c r="R101" i="16537"/>
  <c r="S101" i="16537"/>
  <c r="T101" i="16537"/>
  <c r="U101" i="16537"/>
  <c r="V101" i="16537"/>
  <c r="W101" i="16537"/>
  <c r="X101" i="16537"/>
  <c r="Y101" i="16537"/>
  <c r="G102" i="16537"/>
  <c r="H102" i="16537"/>
  <c r="I102" i="16537"/>
  <c r="J102" i="16537"/>
  <c r="K102" i="16537"/>
  <c r="L102" i="16537"/>
  <c r="M102" i="16537"/>
  <c r="N102" i="16537"/>
  <c r="O102" i="16537"/>
  <c r="P102" i="16537"/>
  <c r="Q102" i="16537"/>
  <c r="R102" i="16537"/>
  <c r="S102" i="16537"/>
  <c r="T102" i="16537"/>
  <c r="U102" i="16537"/>
  <c r="V102" i="16537"/>
  <c r="W102" i="16537"/>
  <c r="X102" i="16537"/>
  <c r="Y102" i="16537"/>
  <c r="G103" i="16537"/>
  <c r="H103" i="16537"/>
  <c r="I103" i="16537"/>
  <c r="J103" i="16537"/>
  <c r="K103" i="16537"/>
  <c r="L103" i="16537"/>
  <c r="M103" i="16537"/>
  <c r="N103" i="16537"/>
  <c r="O103" i="16537"/>
  <c r="P103" i="16537"/>
  <c r="Q103" i="16537"/>
  <c r="R103" i="16537"/>
  <c r="S103" i="16537"/>
  <c r="T103" i="16537"/>
  <c r="U103" i="16537"/>
  <c r="V103" i="16537"/>
  <c r="W103" i="16537"/>
  <c r="X103" i="16537"/>
  <c r="Y103" i="16537"/>
  <c r="G104" i="16537"/>
  <c r="H104" i="16537"/>
  <c r="I104" i="16537"/>
  <c r="J104" i="16537"/>
  <c r="K104" i="16537"/>
  <c r="L104" i="16537"/>
  <c r="M104" i="16537"/>
  <c r="N104" i="16537"/>
  <c r="O104" i="16537"/>
  <c r="P104" i="16537"/>
  <c r="Q104" i="16537"/>
  <c r="R104" i="16537"/>
  <c r="S104" i="16537"/>
  <c r="T104" i="16537"/>
  <c r="U104" i="16537"/>
  <c r="V104" i="16537"/>
  <c r="W104" i="16537"/>
  <c r="X104" i="16537"/>
  <c r="Y104" i="16537"/>
  <c r="G105" i="16537"/>
  <c r="H105" i="16537"/>
  <c r="I105" i="16537"/>
  <c r="J105" i="16537"/>
  <c r="K105" i="16537"/>
  <c r="L105" i="16537"/>
  <c r="M105" i="16537"/>
  <c r="N105" i="16537"/>
  <c r="O105" i="16537"/>
  <c r="P105" i="16537"/>
  <c r="Q105" i="16537"/>
  <c r="R105" i="16537"/>
  <c r="S105" i="16537"/>
  <c r="T105" i="16537"/>
  <c r="U105" i="16537"/>
  <c r="V105" i="16537"/>
  <c r="W105" i="16537"/>
  <c r="X105" i="16537"/>
  <c r="Y105" i="16537"/>
  <c r="G106" i="16537"/>
  <c r="H106" i="16537"/>
  <c r="I106" i="16537"/>
  <c r="J106" i="16537"/>
  <c r="K106" i="16537"/>
  <c r="L106" i="16537"/>
  <c r="M106" i="16537"/>
  <c r="N106" i="16537"/>
  <c r="O106" i="16537"/>
  <c r="P106" i="16537"/>
  <c r="Q106" i="16537"/>
  <c r="R106" i="16537"/>
  <c r="S106" i="16537"/>
  <c r="T106" i="16537"/>
  <c r="U106" i="16537"/>
  <c r="V106" i="16537"/>
  <c r="W106" i="16537"/>
  <c r="X106" i="16537"/>
  <c r="Y106" i="16537"/>
  <c r="G107" i="16537"/>
  <c r="H107" i="16537"/>
  <c r="I107" i="16537"/>
  <c r="J107" i="16537"/>
  <c r="K107" i="16537"/>
  <c r="L107" i="16537"/>
  <c r="M107" i="16537"/>
  <c r="N107" i="16537"/>
  <c r="O107" i="16537"/>
  <c r="P107" i="16537"/>
  <c r="Q107" i="16537"/>
  <c r="R107" i="16537"/>
  <c r="S107" i="16537"/>
  <c r="T107" i="16537"/>
  <c r="U107" i="16537"/>
  <c r="V107" i="16537"/>
  <c r="W107" i="16537"/>
  <c r="X107" i="16537"/>
  <c r="Y107" i="16537"/>
  <c r="G108" i="16537"/>
  <c r="H108" i="16537"/>
  <c r="I108" i="16537"/>
  <c r="J108" i="16537"/>
  <c r="K108" i="16537"/>
  <c r="L108" i="16537"/>
  <c r="M108" i="16537"/>
  <c r="N108" i="16537"/>
  <c r="O108" i="16537"/>
  <c r="P108" i="16537"/>
  <c r="Q108" i="16537"/>
  <c r="R108" i="16537"/>
  <c r="S108" i="16537"/>
  <c r="T108" i="16537"/>
  <c r="U108" i="16537"/>
  <c r="V108" i="16537"/>
  <c r="W108" i="16537"/>
  <c r="X108" i="16537"/>
  <c r="Y108" i="16537"/>
  <c r="G109" i="16537"/>
  <c r="H109" i="16537"/>
  <c r="I109" i="16537"/>
  <c r="J109" i="16537"/>
  <c r="K109" i="16537"/>
  <c r="L109" i="16537"/>
  <c r="M109" i="16537"/>
  <c r="N109" i="16537"/>
  <c r="O109" i="16537"/>
  <c r="P109" i="16537"/>
  <c r="Q109" i="16537"/>
  <c r="R109" i="16537"/>
  <c r="S109" i="16537"/>
  <c r="T109" i="16537"/>
  <c r="U109" i="16537"/>
  <c r="V109" i="16537"/>
  <c r="W109" i="16537"/>
  <c r="X109" i="16537"/>
  <c r="Y109" i="16537"/>
  <c r="G110" i="16537"/>
  <c r="H110" i="16537"/>
  <c r="I110" i="16537"/>
  <c r="J110" i="16537"/>
  <c r="K110" i="16537"/>
  <c r="L110" i="16537"/>
  <c r="M110" i="16537"/>
  <c r="N110" i="16537"/>
  <c r="O110" i="16537"/>
  <c r="P110" i="16537"/>
  <c r="Q110" i="16537"/>
  <c r="R110" i="16537"/>
  <c r="S110" i="16537"/>
  <c r="T110" i="16537"/>
  <c r="U110" i="16537"/>
  <c r="V110" i="16537"/>
  <c r="W110" i="16537"/>
  <c r="X110" i="16537"/>
  <c r="Y110" i="16537"/>
  <c r="G111" i="16537"/>
  <c r="H111" i="16537"/>
  <c r="I111" i="16537"/>
  <c r="J111" i="16537"/>
  <c r="K111" i="16537"/>
  <c r="L111" i="16537"/>
  <c r="M111" i="16537"/>
  <c r="N111" i="16537"/>
  <c r="O111" i="16537"/>
  <c r="P111" i="16537"/>
  <c r="Q111" i="16537"/>
  <c r="R111" i="16537"/>
  <c r="S111" i="16537"/>
  <c r="T111" i="16537"/>
  <c r="U111" i="16537"/>
  <c r="V111" i="16537"/>
  <c r="W111" i="16537"/>
  <c r="X111" i="16537"/>
  <c r="Y111" i="16537"/>
  <c r="G112" i="16537"/>
  <c r="H112" i="16537"/>
  <c r="I112" i="16537"/>
  <c r="J112" i="16537"/>
  <c r="K112" i="16537"/>
  <c r="L112" i="16537"/>
  <c r="M112" i="16537"/>
  <c r="N112" i="16537"/>
  <c r="O112" i="16537"/>
  <c r="P112" i="16537"/>
  <c r="Q112" i="16537"/>
  <c r="R112" i="16537"/>
  <c r="S112" i="16537"/>
  <c r="T112" i="16537"/>
  <c r="U112" i="16537"/>
  <c r="V112" i="16537"/>
  <c r="W112" i="16537"/>
  <c r="X112" i="16537"/>
  <c r="Y112" i="16537"/>
  <c r="G113" i="16537"/>
  <c r="H113" i="16537"/>
  <c r="I113" i="16537"/>
  <c r="J113" i="16537"/>
  <c r="K113" i="16537"/>
  <c r="L113" i="16537"/>
  <c r="M113" i="16537"/>
  <c r="N113" i="16537"/>
  <c r="O113" i="16537"/>
  <c r="P113" i="16537"/>
  <c r="Q113" i="16537"/>
  <c r="R113" i="16537"/>
  <c r="S113" i="16537"/>
  <c r="T113" i="16537"/>
  <c r="U113" i="16537"/>
  <c r="V113" i="16537"/>
  <c r="W113" i="16537"/>
  <c r="X113" i="16537"/>
  <c r="Y113" i="16537"/>
  <c r="G114" i="16537"/>
  <c r="H114" i="16537"/>
  <c r="I114" i="16537"/>
  <c r="J114" i="16537"/>
  <c r="K114" i="16537"/>
  <c r="L114" i="16537"/>
  <c r="M114" i="16537"/>
  <c r="N114" i="16537"/>
  <c r="O114" i="16537"/>
  <c r="P114" i="16537"/>
  <c r="Q114" i="16537"/>
  <c r="R114" i="16537"/>
  <c r="S114" i="16537"/>
  <c r="T114" i="16537"/>
  <c r="U114" i="16537"/>
  <c r="V114" i="16537"/>
  <c r="W114" i="16537"/>
  <c r="X114" i="16537"/>
  <c r="Y114" i="16537"/>
  <c r="G115" i="16537"/>
  <c r="H115" i="16537"/>
  <c r="I115" i="16537"/>
  <c r="J115" i="16537"/>
  <c r="K115" i="16537"/>
  <c r="L115" i="16537"/>
  <c r="M115" i="16537"/>
  <c r="N115" i="16537"/>
  <c r="O115" i="16537"/>
  <c r="P115" i="16537"/>
  <c r="Q115" i="16537"/>
  <c r="R115" i="16537"/>
  <c r="S115" i="16537"/>
  <c r="T115" i="16537"/>
  <c r="U115" i="16537"/>
  <c r="V115" i="16537"/>
  <c r="W115" i="16537"/>
  <c r="X115" i="16537"/>
  <c r="Y115" i="16537"/>
  <c r="G116" i="16537"/>
  <c r="H116" i="16537"/>
  <c r="I116" i="16537"/>
  <c r="J116" i="16537"/>
  <c r="K116" i="16537"/>
  <c r="L116" i="16537"/>
  <c r="M116" i="16537"/>
  <c r="N116" i="16537"/>
  <c r="O116" i="16537"/>
  <c r="P116" i="16537"/>
  <c r="Q116" i="16537"/>
  <c r="R116" i="16537"/>
  <c r="S116" i="16537"/>
  <c r="T116" i="16537"/>
  <c r="U116" i="16537"/>
  <c r="V116" i="16537"/>
  <c r="W116" i="16537"/>
  <c r="X116" i="16537"/>
  <c r="Y116" i="16537"/>
  <c r="G117" i="16537"/>
  <c r="H117" i="16537"/>
  <c r="I117" i="16537"/>
  <c r="J117" i="16537"/>
  <c r="K117" i="16537"/>
  <c r="L117" i="16537"/>
  <c r="M117" i="16537"/>
  <c r="N117" i="16537"/>
  <c r="O117" i="16537"/>
  <c r="P117" i="16537"/>
  <c r="Q117" i="16537"/>
  <c r="R117" i="16537"/>
  <c r="S117" i="16537"/>
  <c r="T117" i="16537"/>
  <c r="U117" i="16537"/>
  <c r="V117" i="16537"/>
  <c r="W117" i="16537"/>
  <c r="X117" i="16537"/>
  <c r="Y117" i="16537"/>
  <c r="G118" i="16537"/>
  <c r="H118" i="16537"/>
  <c r="I118" i="16537"/>
  <c r="J118" i="16537"/>
  <c r="K118" i="16537"/>
  <c r="L118" i="16537"/>
  <c r="M118" i="16537"/>
  <c r="N118" i="16537"/>
  <c r="O118" i="16537"/>
  <c r="P118" i="16537"/>
  <c r="Q118" i="16537"/>
  <c r="R118" i="16537"/>
  <c r="S118" i="16537"/>
  <c r="T118" i="16537"/>
  <c r="U118" i="16537"/>
  <c r="V118" i="16537"/>
  <c r="W118" i="16537"/>
  <c r="X118" i="16537"/>
  <c r="Y118" i="16537"/>
  <c r="G119" i="16537"/>
  <c r="H119" i="16537"/>
  <c r="I119" i="16537"/>
  <c r="J119" i="16537"/>
  <c r="K119" i="16537"/>
  <c r="L119" i="16537"/>
  <c r="M119" i="16537"/>
  <c r="N119" i="16537"/>
  <c r="O119" i="16537"/>
  <c r="P119" i="16537"/>
  <c r="Q119" i="16537"/>
  <c r="R119" i="16537"/>
  <c r="S119" i="16537"/>
  <c r="T119" i="16537"/>
  <c r="U119" i="16537"/>
  <c r="V119" i="16537"/>
  <c r="W119" i="16537"/>
  <c r="X119" i="16537"/>
  <c r="Y119" i="16537"/>
  <c r="G120" i="16537"/>
  <c r="H120" i="16537"/>
  <c r="I120" i="16537"/>
  <c r="J120" i="16537"/>
  <c r="K120" i="16537"/>
  <c r="L120" i="16537"/>
  <c r="M120" i="16537"/>
  <c r="N120" i="16537"/>
  <c r="O120" i="16537"/>
  <c r="P120" i="16537"/>
  <c r="Q120" i="16537"/>
  <c r="R120" i="16537"/>
  <c r="S120" i="16537"/>
  <c r="T120" i="16537"/>
  <c r="U120" i="16537"/>
  <c r="V120" i="16537"/>
  <c r="W120" i="16537"/>
  <c r="X120" i="16537"/>
  <c r="Y120" i="16537"/>
  <c r="G121" i="16537"/>
  <c r="H121" i="16537"/>
  <c r="I121" i="16537"/>
  <c r="J121" i="16537"/>
  <c r="K121" i="16537"/>
  <c r="L121" i="16537"/>
  <c r="M121" i="16537"/>
  <c r="N121" i="16537"/>
  <c r="O121" i="16537"/>
  <c r="P121" i="16537"/>
  <c r="Q121" i="16537"/>
  <c r="R121" i="16537"/>
  <c r="S121" i="16537"/>
  <c r="T121" i="16537"/>
  <c r="U121" i="16537"/>
  <c r="V121" i="16537"/>
  <c r="W121" i="16537"/>
  <c r="X121" i="16537"/>
  <c r="Y121" i="16537"/>
  <c r="G122" i="16537"/>
  <c r="H122" i="16537"/>
  <c r="I122" i="16537"/>
  <c r="J122" i="16537"/>
  <c r="K122" i="16537"/>
  <c r="L122" i="16537"/>
  <c r="M122" i="16537"/>
  <c r="N122" i="16537"/>
  <c r="O122" i="16537"/>
  <c r="P122" i="16537"/>
  <c r="Q122" i="16537"/>
  <c r="R122" i="16537"/>
  <c r="S122" i="16537"/>
  <c r="T122" i="16537"/>
  <c r="U122" i="16537"/>
  <c r="V122" i="16537"/>
  <c r="W122" i="16537"/>
  <c r="X122" i="16537"/>
  <c r="Y122" i="16537"/>
  <c r="G123" i="16537"/>
  <c r="H123" i="16537"/>
  <c r="I123" i="16537"/>
  <c r="J123" i="16537"/>
  <c r="K123" i="16537"/>
  <c r="L123" i="16537"/>
  <c r="M123" i="16537"/>
  <c r="N123" i="16537"/>
  <c r="O123" i="16537"/>
  <c r="P123" i="16537"/>
  <c r="Q123" i="16537"/>
  <c r="R123" i="16537"/>
  <c r="S123" i="16537"/>
  <c r="T123" i="16537"/>
  <c r="U123" i="16537"/>
  <c r="V123" i="16537"/>
  <c r="W123" i="16537"/>
  <c r="X123" i="16537"/>
  <c r="Y123" i="16537"/>
  <c r="G124" i="16537"/>
  <c r="H124" i="16537"/>
  <c r="I124" i="16537"/>
  <c r="J124" i="16537"/>
  <c r="K124" i="16537"/>
  <c r="L124" i="16537"/>
  <c r="M124" i="16537"/>
  <c r="N124" i="16537"/>
  <c r="O124" i="16537"/>
  <c r="P124" i="16537"/>
  <c r="Q124" i="16537"/>
  <c r="R124" i="16537"/>
  <c r="S124" i="16537"/>
  <c r="T124" i="16537"/>
  <c r="U124" i="16537"/>
  <c r="V124" i="16537"/>
  <c r="W124" i="16537"/>
  <c r="X124" i="16537"/>
  <c r="Y124" i="16537"/>
  <c r="G125" i="16537"/>
  <c r="H125" i="16537"/>
  <c r="I125" i="16537"/>
  <c r="J125" i="16537"/>
  <c r="K125" i="16537"/>
  <c r="L125" i="16537"/>
  <c r="M125" i="16537"/>
  <c r="N125" i="16537"/>
  <c r="O125" i="16537"/>
  <c r="P125" i="16537"/>
  <c r="Q125" i="16537"/>
  <c r="R125" i="16537"/>
  <c r="S125" i="16537"/>
  <c r="T125" i="16537"/>
  <c r="U125" i="16537"/>
  <c r="V125" i="16537"/>
  <c r="W125" i="16537"/>
  <c r="X125" i="16537"/>
  <c r="Y125" i="16537"/>
  <c r="G126" i="16537"/>
  <c r="H126" i="16537"/>
  <c r="I126" i="16537"/>
  <c r="J126" i="16537"/>
  <c r="K126" i="16537"/>
  <c r="L126" i="16537"/>
  <c r="M126" i="16537"/>
  <c r="N126" i="16537"/>
  <c r="O126" i="16537"/>
  <c r="P126" i="16537"/>
  <c r="Q126" i="16537"/>
  <c r="R126" i="16537"/>
  <c r="S126" i="16537"/>
  <c r="T126" i="16537"/>
  <c r="U126" i="16537"/>
  <c r="V126" i="16537"/>
  <c r="W126" i="16537"/>
  <c r="X126" i="16537"/>
  <c r="Y126" i="16537"/>
  <c r="G127" i="16537"/>
  <c r="H127" i="16537"/>
  <c r="I127" i="16537"/>
  <c r="J127" i="16537"/>
  <c r="K127" i="16537"/>
  <c r="L127" i="16537"/>
  <c r="M127" i="16537"/>
  <c r="N127" i="16537"/>
  <c r="O127" i="16537"/>
  <c r="P127" i="16537"/>
  <c r="Q127" i="16537"/>
  <c r="R127" i="16537"/>
  <c r="S127" i="16537"/>
  <c r="T127" i="16537"/>
  <c r="U127" i="16537"/>
  <c r="V127" i="16537"/>
  <c r="W127" i="16537"/>
  <c r="X127" i="16537"/>
  <c r="Y127" i="16537"/>
  <c r="G128" i="16537"/>
  <c r="H128" i="16537"/>
  <c r="I128" i="16537"/>
  <c r="J128" i="16537"/>
  <c r="K128" i="16537"/>
  <c r="L128" i="16537"/>
  <c r="M128" i="16537"/>
  <c r="N128" i="16537"/>
  <c r="O128" i="16537"/>
  <c r="P128" i="16537"/>
  <c r="Q128" i="16537"/>
  <c r="R128" i="16537"/>
  <c r="S128" i="16537"/>
  <c r="T128" i="16537"/>
  <c r="U128" i="16537"/>
  <c r="V128" i="16537"/>
  <c r="W128" i="16537"/>
  <c r="X128" i="16537"/>
  <c r="Y128" i="16537"/>
  <c r="G129" i="16537"/>
  <c r="H129" i="16537"/>
  <c r="I129" i="16537"/>
  <c r="J129" i="16537"/>
  <c r="K129" i="16537"/>
  <c r="L129" i="16537"/>
  <c r="M129" i="16537"/>
  <c r="N129" i="16537"/>
  <c r="O129" i="16537"/>
  <c r="P129" i="16537"/>
  <c r="Q129" i="16537"/>
  <c r="R129" i="16537"/>
  <c r="S129" i="16537"/>
  <c r="T129" i="16537"/>
  <c r="U129" i="16537"/>
  <c r="V129" i="16537"/>
  <c r="W129" i="16537"/>
  <c r="X129" i="16537"/>
  <c r="Y129" i="16537"/>
  <c r="G130" i="16537"/>
  <c r="H130" i="16537"/>
  <c r="I130" i="16537"/>
  <c r="J130" i="16537"/>
  <c r="K130" i="16537"/>
  <c r="L130" i="16537"/>
  <c r="M130" i="16537"/>
  <c r="N130" i="16537"/>
  <c r="O130" i="16537"/>
  <c r="P130" i="16537"/>
  <c r="Q130" i="16537"/>
  <c r="R130" i="16537"/>
  <c r="S130" i="16537"/>
  <c r="T130" i="16537"/>
  <c r="U130" i="16537"/>
  <c r="V130" i="16537"/>
  <c r="W130" i="16537"/>
  <c r="X130" i="16537"/>
  <c r="Y130" i="16537"/>
  <c r="G131" i="16537"/>
  <c r="H131" i="16537"/>
  <c r="I131" i="16537"/>
  <c r="J131" i="16537"/>
  <c r="K131" i="16537"/>
  <c r="L131" i="16537"/>
  <c r="M131" i="16537"/>
  <c r="N131" i="16537"/>
  <c r="O131" i="16537"/>
  <c r="P131" i="16537"/>
  <c r="Q131" i="16537"/>
  <c r="R131" i="16537"/>
  <c r="S131" i="16537"/>
  <c r="T131" i="16537"/>
  <c r="U131" i="16537"/>
  <c r="V131" i="16537"/>
  <c r="W131" i="16537"/>
  <c r="X131" i="16537"/>
  <c r="Y131" i="16537"/>
  <c r="G132" i="16537"/>
  <c r="H132" i="16537"/>
  <c r="I132" i="16537"/>
  <c r="J132" i="16537"/>
  <c r="K132" i="16537"/>
  <c r="L132" i="16537"/>
  <c r="M132" i="16537"/>
  <c r="N132" i="16537"/>
  <c r="O132" i="16537"/>
  <c r="P132" i="16537"/>
  <c r="Q132" i="16537"/>
  <c r="R132" i="16537"/>
  <c r="S132" i="16537"/>
  <c r="T132" i="16537"/>
  <c r="U132" i="16537"/>
  <c r="V132" i="16537"/>
  <c r="W132" i="16537"/>
  <c r="X132" i="16537"/>
  <c r="Y132" i="16537"/>
  <c r="G133" i="16537"/>
  <c r="H133" i="16537"/>
  <c r="I133" i="16537"/>
  <c r="J133" i="16537"/>
  <c r="K133" i="16537"/>
  <c r="L133" i="16537"/>
  <c r="M133" i="16537"/>
  <c r="N133" i="16537"/>
  <c r="O133" i="16537"/>
  <c r="P133" i="16537"/>
  <c r="Q133" i="16537"/>
  <c r="R133" i="16537"/>
  <c r="S133" i="16537"/>
  <c r="T133" i="16537"/>
  <c r="U133" i="16537"/>
  <c r="V133" i="16537"/>
  <c r="W133" i="16537"/>
  <c r="X133" i="16537"/>
  <c r="Y133" i="16537"/>
  <c r="G134" i="16537"/>
  <c r="H134" i="16537"/>
  <c r="I134" i="16537"/>
  <c r="J134" i="16537"/>
  <c r="K134" i="16537"/>
  <c r="L134" i="16537"/>
  <c r="M134" i="16537"/>
  <c r="N134" i="16537"/>
  <c r="O134" i="16537"/>
  <c r="P134" i="16537"/>
  <c r="Q134" i="16537"/>
  <c r="R134" i="16537"/>
  <c r="S134" i="16537"/>
  <c r="T134" i="16537"/>
  <c r="U134" i="16537"/>
  <c r="V134" i="16537"/>
  <c r="W134" i="16537"/>
  <c r="X134" i="16537"/>
  <c r="Y134" i="16537"/>
  <c r="G135" i="16537"/>
  <c r="H135" i="16537"/>
  <c r="I135" i="16537"/>
  <c r="J135" i="16537"/>
  <c r="K135" i="16537"/>
  <c r="L135" i="16537"/>
  <c r="M135" i="16537"/>
  <c r="N135" i="16537"/>
  <c r="O135" i="16537"/>
  <c r="P135" i="16537"/>
  <c r="Q135" i="16537"/>
  <c r="R135" i="16537"/>
  <c r="S135" i="16537"/>
  <c r="T135" i="16537"/>
  <c r="U135" i="16537"/>
  <c r="V135" i="16537"/>
  <c r="W135" i="16537"/>
  <c r="X135" i="16537"/>
  <c r="Y135" i="16537"/>
  <c r="G136" i="16537"/>
  <c r="H136" i="16537"/>
  <c r="I136" i="16537"/>
  <c r="J136" i="16537"/>
  <c r="K136" i="16537"/>
  <c r="L136" i="16537"/>
  <c r="M136" i="16537"/>
  <c r="N136" i="16537"/>
  <c r="O136" i="16537"/>
  <c r="P136" i="16537"/>
  <c r="Q136" i="16537"/>
  <c r="R136" i="16537"/>
  <c r="S136" i="16537"/>
  <c r="T136" i="16537"/>
  <c r="U136" i="16537"/>
  <c r="V136" i="16537"/>
  <c r="W136" i="16537"/>
  <c r="X136" i="16537"/>
  <c r="Y136" i="16537"/>
  <c r="G137" i="16537"/>
  <c r="H137" i="16537"/>
  <c r="I137" i="16537"/>
  <c r="J137" i="16537"/>
  <c r="K137" i="16537"/>
  <c r="L137" i="16537"/>
  <c r="M137" i="16537"/>
  <c r="N137" i="16537"/>
  <c r="O137" i="16537"/>
  <c r="P137" i="16537"/>
  <c r="Q137" i="16537"/>
  <c r="R137" i="16537"/>
  <c r="S137" i="16537"/>
  <c r="T137" i="16537"/>
  <c r="U137" i="16537"/>
  <c r="V137" i="16537"/>
  <c r="W137" i="16537"/>
  <c r="X137" i="16537"/>
  <c r="Y137" i="16537"/>
  <c r="G138" i="16537"/>
  <c r="H138" i="16537"/>
  <c r="I138" i="16537"/>
  <c r="J138" i="16537"/>
  <c r="K138" i="16537"/>
  <c r="L138" i="16537"/>
  <c r="M138" i="16537"/>
  <c r="N138" i="16537"/>
  <c r="O138" i="16537"/>
  <c r="P138" i="16537"/>
  <c r="Q138" i="16537"/>
  <c r="R138" i="16537"/>
  <c r="S138" i="16537"/>
  <c r="T138" i="16537"/>
  <c r="U138" i="16537"/>
  <c r="V138" i="16537"/>
  <c r="W138" i="16537"/>
  <c r="X138" i="16537"/>
  <c r="Y138" i="16537"/>
  <c r="G139" i="16537"/>
  <c r="H139" i="16537"/>
  <c r="I139" i="16537"/>
  <c r="J139" i="16537"/>
  <c r="K139" i="16537"/>
  <c r="L139" i="16537"/>
  <c r="M139" i="16537"/>
  <c r="N139" i="16537"/>
  <c r="O139" i="16537"/>
  <c r="P139" i="16537"/>
  <c r="Q139" i="16537"/>
  <c r="R139" i="16537"/>
  <c r="S139" i="16537"/>
  <c r="T139" i="16537"/>
  <c r="U139" i="16537"/>
  <c r="V139" i="16537"/>
  <c r="W139" i="16537"/>
  <c r="X139" i="16537"/>
  <c r="Y139" i="16537"/>
  <c r="G140" i="16537"/>
  <c r="H140" i="16537"/>
  <c r="I140" i="16537"/>
  <c r="J140" i="16537"/>
  <c r="K140" i="16537"/>
  <c r="L140" i="16537"/>
  <c r="M140" i="16537"/>
  <c r="N140" i="16537"/>
  <c r="O140" i="16537"/>
  <c r="P140" i="16537"/>
  <c r="Q140" i="16537"/>
  <c r="R140" i="16537"/>
  <c r="S140" i="16537"/>
  <c r="T140" i="16537"/>
  <c r="U140" i="16537"/>
  <c r="V140" i="16537"/>
  <c r="W140" i="16537"/>
  <c r="X140" i="16537"/>
  <c r="Y140" i="16537"/>
  <c r="G141" i="16537"/>
  <c r="H141" i="16537"/>
  <c r="I141" i="16537"/>
  <c r="J141" i="16537"/>
  <c r="K141" i="16537"/>
  <c r="L141" i="16537"/>
  <c r="M141" i="16537"/>
  <c r="N141" i="16537"/>
  <c r="O141" i="16537"/>
  <c r="P141" i="16537"/>
  <c r="Q141" i="16537"/>
  <c r="R141" i="16537"/>
  <c r="S141" i="16537"/>
  <c r="T141" i="16537"/>
  <c r="U141" i="16537"/>
  <c r="V141" i="16537"/>
  <c r="W141" i="16537"/>
  <c r="X141" i="16537"/>
  <c r="Y141" i="16537"/>
  <c r="G142" i="16537"/>
  <c r="H142" i="16537"/>
  <c r="I142" i="16537"/>
  <c r="J142" i="16537"/>
  <c r="K142" i="16537"/>
  <c r="L142" i="16537"/>
  <c r="M142" i="16537"/>
  <c r="N142" i="16537"/>
  <c r="O142" i="16537"/>
  <c r="P142" i="16537"/>
  <c r="Q142" i="16537"/>
  <c r="R142" i="16537"/>
  <c r="S142" i="16537"/>
  <c r="T142" i="16537"/>
  <c r="U142" i="16537"/>
  <c r="V142" i="16537"/>
  <c r="W142" i="16537"/>
  <c r="X142" i="16537"/>
  <c r="Y142" i="16537"/>
  <c r="G143" i="16537"/>
  <c r="H143" i="16537"/>
  <c r="I143" i="16537"/>
  <c r="J143" i="16537"/>
  <c r="K143" i="16537"/>
  <c r="L143" i="16537"/>
  <c r="M143" i="16537"/>
  <c r="N143" i="16537"/>
  <c r="O143" i="16537"/>
  <c r="P143" i="16537"/>
  <c r="Q143" i="16537"/>
  <c r="R143" i="16537"/>
  <c r="S143" i="16537"/>
  <c r="T143" i="16537"/>
  <c r="U143" i="16537"/>
  <c r="V143" i="16537"/>
  <c r="W143" i="16537"/>
  <c r="X143" i="16537"/>
  <c r="Y143" i="16537"/>
  <c r="G144" i="16537"/>
  <c r="H144" i="16537"/>
  <c r="I144" i="16537"/>
  <c r="J144" i="16537"/>
  <c r="K144" i="16537"/>
  <c r="L144" i="16537"/>
  <c r="M144" i="16537"/>
  <c r="N144" i="16537"/>
  <c r="O144" i="16537"/>
  <c r="P144" i="16537"/>
  <c r="Q144" i="16537"/>
  <c r="R144" i="16537"/>
  <c r="S144" i="16537"/>
  <c r="T144" i="16537"/>
  <c r="U144" i="16537"/>
  <c r="V144" i="16537"/>
  <c r="W144" i="16537"/>
  <c r="X144" i="16537"/>
  <c r="Y144" i="16537"/>
  <c r="G145" i="16537"/>
  <c r="H145" i="16537"/>
  <c r="I145" i="16537"/>
  <c r="J145" i="16537"/>
  <c r="K145" i="16537"/>
  <c r="L145" i="16537"/>
  <c r="M145" i="16537"/>
  <c r="N145" i="16537"/>
  <c r="O145" i="16537"/>
  <c r="P145" i="16537"/>
  <c r="Q145" i="16537"/>
  <c r="R145" i="16537"/>
  <c r="S145" i="16537"/>
  <c r="T145" i="16537"/>
  <c r="U145" i="16537"/>
  <c r="V145" i="16537"/>
  <c r="W145" i="16537"/>
  <c r="X145" i="16537"/>
  <c r="Y145" i="16537"/>
  <c r="G146" i="16537"/>
  <c r="H146" i="16537"/>
  <c r="I146" i="16537"/>
  <c r="J146" i="16537"/>
  <c r="K146" i="16537"/>
  <c r="L146" i="16537"/>
  <c r="M146" i="16537"/>
  <c r="N146" i="16537"/>
  <c r="O146" i="16537"/>
  <c r="P146" i="16537"/>
  <c r="Q146" i="16537"/>
  <c r="R146" i="16537"/>
  <c r="S146" i="16537"/>
  <c r="T146" i="16537"/>
  <c r="U146" i="16537"/>
  <c r="V146" i="16537"/>
  <c r="W146" i="16537"/>
  <c r="X146" i="16537"/>
  <c r="Y146" i="16537"/>
  <c r="G147" i="16537"/>
  <c r="H147" i="16537"/>
  <c r="I147" i="16537"/>
  <c r="J147" i="16537"/>
  <c r="K147" i="16537"/>
  <c r="L147" i="16537"/>
  <c r="M147" i="16537"/>
  <c r="N147" i="16537"/>
  <c r="O147" i="16537"/>
  <c r="P147" i="16537"/>
  <c r="Q147" i="16537"/>
  <c r="R147" i="16537"/>
  <c r="S147" i="16537"/>
  <c r="T147" i="16537"/>
  <c r="U147" i="16537"/>
  <c r="V147" i="16537"/>
  <c r="W147" i="16537"/>
  <c r="X147" i="16537"/>
  <c r="Y147" i="16537"/>
  <c r="G148" i="16537"/>
  <c r="H148" i="16537"/>
  <c r="I148" i="16537"/>
  <c r="J148" i="16537"/>
  <c r="K148" i="16537"/>
  <c r="L148" i="16537"/>
  <c r="M148" i="16537"/>
  <c r="N148" i="16537"/>
  <c r="O148" i="16537"/>
  <c r="P148" i="16537"/>
  <c r="Q148" i="16537"/>
  <c r="R148" i="16537"/>
  <c r="S148" i="16537"/>
  <c r="T148" i="16537"/>
  <c r="U148" i="16537"/>
  <c r="V148" i="16537"/>
  <c r="W148" i="16537"/>
  <c r="X148" i="16537"/>
  <c r="Y148" i="16537"/>
  <c r="G149" i="16537"/>
  <c r="H149" i="16537"/>
  <c r="I149" i="16537"/>
  <c r="J149" i="16537"/>
  <c r="K149" i="16537"/>
  <c r="L149" i="16537"/>
  <c r="M149" i="16537"/>
  <c r="N149" i="16537"/>
  <c r="O149" i="16537"/>
  <c r="P149" i="16537"/>
  <c r="Q149" i="16537"/>
  <c r="R149" i="16537"/>
  <c r="S149" i="16537"/>
  <c r="T149" i="16537"/>
  <c r="U149" i="16537"/>
  <c r="V149" i="16537"/>
  <c r="W149" i="16537"/>
  <c r="X149" i="16537"/>
  <c r="Y149" i="16537"/>
  <c r="G150" i="16537"/>
  <c r="H150" i="16537"/>
  <c r="I150" i="16537"/>
  <c r="J150" i="16537"/>
  <c r="K150" i="16537"/>
  <c r="L150" i="16537"/>
  <c r="M150" i="16537"/>
  <c r="N150" i="16537"/>
  <c r="O150" i="16537"/>
  <c r="P150" i="16537"/>
  <c r="Q150" i="16537"/>
  <c r="R150" i="16537"/>
  <c r="S150" i="16537"/>
  <c r="T150" i="16537"/>
  <c r="U150" i="16537"/>
  <c r="V150" i="16537"/>
  <c r="W150" i="16537"/>
  <c r="X150" i="16537"/>
  <c r="Y150" i="16537"/>
  <c r="G151" i="16537"/>
  <c r="H151" i="16537"/>
  <c r="I151" i="16537"/>
  <c r="J151" i="16537"/>
  <c r="K151" i="16537"/>
  <c r="L151" i="16537"/>
  <c r="M151" i="16537"/>
  <c r="N151" i="16537"/>
  <c r="O151" i="16537"/>
  <c r="P151" i="16537"/>
  <c r="Q151" i="16537"/>
  <c r="R151" i="16537"/>
  <c r="S151" i="16537"/>
  <c r="T151" i="16537"/>
  <c r="U151" i="16537"/>
  <c r="V151" i="16537"/>
  <c r="W151" i="16537"/>
  <c r="X151" i="16537"/>
  <c r="Y151" i="16537"/>
  <c r="G152" i="16537"/>
  <c r="H152" i="16537"/>
  <c r="I152" i="16537"/>
  <c r="J152" i="16537"/>
  <c r="K152" i="16537"/>
  <c r="L152" i="16537"/>
  <c r="M152" i="16537"/>
  <c r="N152" i="16537"/>
  <c r="O152" i="16537"/>
  <c r="P152" i="16537"/>
  <c r="Q152" i="16537"/>
  <c r="R152" i="16537"/>
  <c r="S152" i="16537"/>
  <c r="T152" i="16537"/>
  <c r="U152" i="16537"/>
  <c r="V152" i="16537"/>
  <c r="W152" i="16537"/>
  <c r="X152" i="16537"/>
  <c r="Y152" i="16537"/>
  <c r="G153" i="16537"/>
  <c r="H153" i="16537"/>
  <c r="I153" i="16537"/>
  <c r="J153" i="16537"/>
  <c r="K153" i="16537"/>
  <c r="L153" i="16537"/>
  <c r="M153" i="16537"/>
  <c r="N153" i="16537"/>
  <c r="O153" i="16537"/>
  <c r="P153" i="16537"/>
  <c r="Q153" i="16537"/>
  <c r="R153" i="16537"/>
  <c r="S153" i="16537"/>
  <c r="T153" i="16537"/>
  <c r="U153" i="16537"/>
  <c r="V153" i="16537"/>
  <c r="W153" i="16537"/>
  <c r="X153" i="16537"/>
  <c r="Y153" i="16537"/>
  <c r="G154" i="16537"/>
  <c r="H154" i="16537"/>
  <c r="I154" i="16537"/>
  <c r="J154" i="16537"/>
  <c r="K154" i="16537"/>
  <c r="L154" i="16537"/>
  <c r="M154" i="16537"/>
  <c r="N154" i="16537"/>
  <c r="O154" i="16537"/>
  <c r="P154" i="16537"/>
  <c r="Q154" i="16537"/>
  <c r="R154" i="16537"/>
  <c r="S154" i="16537"/>
  <c r="T154" i="16537"/>
  <c r="U154" i="16537"/>
  <c r="V154" i="16537"/>
  <c r="W154" i="16537"/>
  <c r="X154" i="16537"/>
  <c r="Y154" i="16537"/>
  <c r="G155" i="16537"/>
  <c r="H155" i="16537"/>
  <c r="I155" i="16537"/>
  <c r="J155" i="16537"/>
  <c r="K155" i="16537"/>
  <c r="L155" i="16537"/>
  <c r="M155" i="16537"/>
  <c r="N155" i="16537"/>
  <c r="O155" i="16537"/>
  <c r="P155" i="16537"/>
  <c r="Q155" i="16537"/>
  <c r="R155" i="16537"/>
  <c r="S155" i="16537"/>
  <c r="T155" i="16537"/>
  <c r="U155" i="16537"/>
  <c r="V155" i="16537"/>
  <c r="W155" i="16537"/>
  <c r="X155" i="16537"/>
  <c r="Y155" i="16537"/>
  <c r="G156" i="16537"/>
  <c r="H156" i="16537"/>
  <c r="I156" i="16537"/>
  <c r="J156" i="16537"/>
  <c r="K156" i="16537"/>
  <c r="L156" i="16537"/>
  <c r="M156" i="16537"/>
  <c r="N156" i="16537"/>
  <c r="O156" i="16537"/>
  <c r="P156" i="16537"/>
  <c r="Q156" i="16537"/>
  <c r="R156" i="16537"/>
  <c r="S156" i="16537"/>
  <c r="T156" i="16537"/>
  <c r="U156" i="16537"/>
  <c r="V156" i="16537"/>
  <c r="W156" i="16537"/>
  <c r="X156" i="16537"/>
  <c r="Y156" i="16537"/>
  <c r="G157" i="16537"/>
  <c r="H157" i="16537"/>
  <c r="I157" i="16537"/>
  <c r="J157" i="16537"/>
  <c r="K157" i="16537"/>
  <c r="L157" i="16537"/>
  <c r="M157" i="16537"/>
  <c r="N157" i="16537"/>
  <c r="O157" i="16537"/>
  <c r="P157" i="16537"/>
  <c r="Q157" i="16537"/>
  <c r="R157" i="16537"/>
  <c r="S157" i="16537"/>
  <c r="T157" i="16537"/>
  <c r="U157" i="16537"/>
  <c r="V157" i="16537"/>
  <c r="W157" i="16537"/>
  <c r="X157" i="16537"/>
  <c r="Y157" i="16537"/>
  <c r="G158" i="16537"/>
  <c r="H158" i="16537"/>
  <c r="I158" i="16537"/>
  <c r="J158" i="16537"/>
  <c r="K158" i="16537"/>
  <c r="L158" i="16537"/>
  <c r="M158" i="16537"/>
  <c r="N158" i="16537"/>
  <c r="O158" i="16537"/>
  <c r="P158" i="16537"/>
  <c r="Q158" i="16537"/>
  <c r="R158" i="16537"/>
  <c r="S158" i="16537"/>
  <c r="T158" i="16537"/>
  <c r="U158" i="16537"/>
  <c r="V158" i="16537"/>
  <c r="W158" i="16537"/>
  <c r="X158" i="16537"/>
  <c r="Y158" i="16537"/>
  <c r="G159" i="16537"/>
  <c r="H159" i="16537"/>
  <c r="I159" i="16537"/>
  <c r="J159" i="16537"/>
  <c r="K159" i="16537"/>
  <c r="L159" i="16537"/>
  <c r="M159" i="16537"/>
  <c r="N159" i="16537"/>
  <c r="O159" i="16537"/>
  <c r="P159" i="16537"/>
  <c r="Q159" i="16537"/>
  <c r="R159" i="16537"/>
  <c r="S159" i="16537"/>
  <c r="T159" i="16537"/>
  <c r="U159" i="16537"/>
  <c r="V159" i="16537"/>
  <c r="W159" i="16537"/>
  <c r="X159" i="16537"/>
  <c r="Y159" i="16537"/>
  <c r="G160" i="16537"/>
  <c r="H160" i="16537"/>
  <c r="I160" i="16537"/>
  <c r="J160" i="16537"/>
  <c r="K160" i="16537"/>
  <c r="L160" i="16537"/>
  <c r="M160" i="16537"/>
  <c r="N160" i="16537"/>
  <c r="O160" i="16537"/>
  <c r="P160" i="16537"/>
  <c r="Q160" i="16537"/>
  <c r="R160" i="16537"/>
  <c r="S160" i="16537"/>
  <c r="T160" i="16537"/>
  <c r="U160" i="16537"/>
  <c r="V160" i="16537"/>
  <c r="W160" i="16537"/>
  <c r="X160" i="16537"/>
  <c r="Y160" i="16537"/>
  <c r="G161" i="16537"/>
  <c r="H161" i="16537"/>
  <c r="I161" i="16537"/>
  <c r="J161" i="16537"/>
  <c r="K161" i="16537"/>
  <c r="L161" i="16537"/>
  <c r="M161" i="16537"/>
  <c r="N161" i="16537"/>
  <c r="O161" i="16537"/>
  <c r="P161" i="16537"/>
  <c r="Q161" i="16537"/>
  <c r="R161" i="16537"/>
  <c r="S161" i="16537"/>
  <c r="T161" i="16537"/>
  <c r="U161" i="16537"/>
  <c r="V161" i="16537"/>
  <c r="W161" i="16537"/>
  <c r="X161" i="16537"/>
  <c r="Y161" i="16537"/>
  <c r="G162" i="16537"/>
  <c r="H162" i="16537"/>
  <c r="I162" i="16537"/>
  <c r="J162" i="16537"/>
  <c r="K162" i="16537"/>
  <c r="L162" i="16537"/>
  <c r="M162" i="16537"/>
  <c r="N162" i="16537"/>
  <c r="O162" i="16537"/>
  <c r="P162" i="16537"/>
  <c r="Q162" i="16537"/>
  <c r="R162" i="16537"/>
  <c r="S162" i="16537"/>
  <c r="T162" i="16537"/>
  <c r="U162" i="16537"/>
  <c r="V162" i="16537"/>
  <c r="W162" i="16537"/>
  <c r="X162" i="16537"/>
  <c r="Y162" i="16537"/>
  <c r="G163" i="16537"/>
  <c r="H163" i="16537"/>
  <c r="I163" i="16537"/>
  <c r="J163" i="16537"/>
  <c r="K163" i="16537"/>
  <c r="L163" i="16537"/>
  <c r="M163" i="16537"/>
  <c r="N163" i="16537"/>
  <c r="O163" i="16537"/>
  <c r="P163" i="16537"/>
  <c r="Q163" i="16537"/>
  <c r="R163" i="16537"/>
  <c r="S163" i="16537"/>
  <c r="T163" i="16537"/>
  <c r="U163" i="16537"/>
  <c r="V163" i="16537"/>
  <c r="W163" i="16537"/>
  <c r="X163" i="16537"/>
  <c r="Y163" i="16537"/>
  <c r="G164" i="16537"/>
  <c r="H164" i="16537"/>
  <c r="I164" i="16537"/>
  <c r="J164" i="16537"/>
  <c r="K164" i="16537"/>
  <c r="L164" i="16537"/>
  <c r="M164" i="16537"/>
  <c r="N164" i="16537"/>
  <c r="O164" i="16537"/>
  <c r="P164" i="16537"/>
  <c r="Q164" i="16537"/>
  <c r="R164" i="16537"/>
  <c r="S164" i="16537"/>
  <c r="T164" i="16537"/>
  <c r="U164" i="16537"/>
  <c r="V164" i="16537"/>
  <c r="W164" i="16537"/>
  <c r="X164" i="16537"/>
  <c r="Y164" i="16537"/>
  <c r="G165" i="16537"/>
  <c r="H165" i="16537"/>
  <c r="I165" i="16537"/>
  <c r="J165" i="16537"/>
  <c r="K165" i="16537"/>
  <c r="L165" i="16537"/>
  <c r="M165" i="16537"/>
  <c r="N165" i="16537"/>
  <c r="O165" i="16537"/>
  <c r="P165" i="16537"/>
  <c r="Q165" i="16537"/>
  <c r="R165" i="16537"/>
  <c r="S165" i="16537"/>
  <c r="T165" i="16537"/>
  <c r="U165" i="16537"/>
  <c r="V165" i="16537"/>
  <c r="W165" i="16537"/>
  <c r="X165" i="16537"/>
  <c r="Y165" i="16537"/>
  <c r="G166" i="16537"/>
  <c r="H166" i="16537"/>
  <c r="I166" i="16537"/>
  <c r="J166" i="16537"/>
  <c r="K166" i="16537"/>
  <c r="L166" i="16537"/>
  <c r="M166" i="16537"/>
  <c r="N166" i="16537"/>
  <c r="O166" i="16537"/>
  <c r="P166" i="16537"/>
  <c r="Q166" i="16537"/>
  <c r="R166" i="16537"/>
  <c r="S166" i="16537"/>
  <c r="T166" i="16537"/>
  <c r="U166" i="16537"/>
  <c r="V166" i="16537"/>
  <c r="W166" i="16537"/>
  <c r="X166" i="16537"/>
  <c r="Y166" i="16537"/>
  <c r="G167" i="16537"/>
  <c r="H167" i="16537"/>
  <c r="I167" i="16537"/>
  <c r="J167" i="16537"/>
  <c r="K167" i="16537"/>
  <c r="L167" i="16537"/>
  <c r="M167" i="16537"/>
  <c r="N167" i="16537"/>
  <c r="O167" i="16537"/>
  <c r="P167" i="16537"/>
  <c r="Q167" i="16537"/>
  <c r="R167" i="16537"/>
  <c r="S167" i="16537"/>
  <c r="T167" i="16537"/>
  <c r="U167" i="16537"/>
  <c r="V167" i="16537"/>
  <c r="W167" i="16537"/>
  <c r="X167" i="16537"/>
  <c r="Y167" i="16537"/>
  <c r="G168" i="16537"/>
  <c r="H168" i="16537"/>
  <c r="I168" i="16537"/>
  <c r="J168" i="16537"/>
  <c r="K168" i="16537"/>
  <c r="L168" i="16537"/>
  <c r="M168" i="16537"/>
  <c r="N168" i="16537"/>
  <c r="O168" i="16537"/>
  <c r="P168" i="16537"/>
  <c r="Q168" i="16537"/>
  <c r="R168" i="16537"/>
  <c r="S168" i="16537"/>
  <c r="T168" i="16537"/>
  <c r="U168" i="16537"/>
  <c r="V168" i="16537"/>
  <c r="W168" i="16537"/>
  <c r="X168" i="16537"/>
  <c r="Y168" i="16537"/>
  <c r="G169" i="16537"/>
  <c r="H169" i="16537"/>
  <c r="I169" i="16537"/>
  <c r="J169" i="16537"/>
  <c r="K169" i="16537"/>
  <c r="L169" i="16537"/>
  <c r="M169" i="16537"/>
  <c r="N169" i="16537"/>
  <c r="O169" i="16537"/>
  <c r="P169" i="16537"/>
  <c r="Q169" i="16537"/>
  <c r="R169" i="16537"/>
  <c r="S169" i="16537"/>
  <c r="T169" i="16537"/>
  <c r="U169" i="16537"/>
  <c r="V169" i="16537"/>
  <c r="W169" i="16537"/>
  <c r="X169" i="16537"/>
  <c r="Y169" i="16537"/>
  <c r="G170" i="16537"/>
  <c r="H170" i="16537"/>
  <c r="I170" i="16537"/>
  <c r="J170" i="16537"/>
  <c r="K170" i="16537"/>
  <c r="L170" i="16537"/>
  <c r="M170" i="16537"/>
  <c r="N170" i="16537"/>
  <c r="O170" i="16537"/>
  <c r="P170" i="16537"/>
  <c r="Q170" i="16537"/>
  <c r="R170" i="16537"/>
  <c r="S170" i="16537"/>
  <c r="T170" i="16537"/>
  <c r="U170" i="16537"/>
  <c r="V170" i="16537"/>
  <c r="W170" i="16537"/>
  <c r="X170" i="16537"/>
  <c r="Y170" i="16537"/>
  <c r="G171" i="16537"/>
  <c r="H171" i="16537"/>
  <c r="I171" i="16537"/>
  <c r="J171" i="16537"/>
  <c r="K171" i="16537"/>
  <c r="L171" i="16537"/>
  <c r="M171" i="16537"/>
  <c r="N171" i="16537"/>
  <c r="O171" i="16537"/>
  <c r="P171" i="16537"/>
  <c r="Q171" i="16537"/>
  <c r="R171" i="16537"/>
  <c r="S171" i="16537"/>
  <c r="T171" i="16537"/>
  <c r="U171" i="16537"/>
  <c r="V171" i="16537"/>
  <c r="W171" i="16537"/>
  <c r="X171" i="16537"/>
  <c r="Y171" i="16537"/>
  <c r="G172" i="16537"/>
  <c r="H172" i="16537"/>
  <c r="I172" i="16537"/>
  <c r="J172" i="16537"/>
  <c r="K172" i="16537"/>
  <c r="L172" i="16537"/>
  <c r="M172" i="16537"/>
  <c r="N172" i="16537"/>
  <c r="O172" i="16537"/>
  <c r="P172" i="16537"/>
  <c r="Q172" i="16537"/>
  <c r="R172" i="16537"/>
  <c r="S172" i="16537"/>
  <c r="T172" i="16537"/>
  <c r="U172" i="16537"/>
  <c r="V172" i="16537"/>
  <c r="W172" i="16537"/>
  <c r="X172" i="16537"/>
  <c r="Y172" i="16537"/>
  <c r="G173" i="16537"/>
  <c r="H173" i="16537"/>
  <c r="I173" i="16537"/>
  <c r="J173" i="16537"/>
  <c r="K173" i="16537"/>
  <c r="L173" i="16537"/>
  <c r="M173" i="16537"/>
  <c r="N173" i="16537"/>
  <c r="O173" i="16537"/>
  <c r="P173" i="16537"/>
  <c r="Q173" i="16537"/>
  <c r="R173" i="16537"/>
  <c r="S173" i="16537"/>
  <c r="T173" i="16537"/>
  <c r="U173" i="16537"/>
  <c r="V173" i="16537"/>
  <c r="W173" i="16537"/>
  <c r="X173" i="16537"/>
  <c r="Y173" i="16537"/>
  <c r="G174" i="16537"/>
  <c r="H174" i="16537"/>
  <c r="I174" i="16537"/>
  <c r="J174" i="16537"/>
  <c r="K174" i="16537"/>
  <c r="L174" i="16537"/>
  <c r="M174" i="16537"/>
  <c r="N174" i="16537"/>
  <c r="O174" i="16537"/>
  <c r="P174" i="16537"/>
  <c r="Q174" i="16537"/>
  <c r="R174" i="16537"/>
  <c r="S174" i="16537"/>
  <c r="T174" i="16537"/>
  <c r="U174" i="16537"/>
  <c r="V174" i="16537"/>
  <c r="W174" i="16537"/>
  <c r="X174" i="16537"/>
  <c r="Y174" i="16537"/>
  <c r="H175" i="16537"/>
  <c r="I175" i="16537"/>
  <c r="J175" i="16537"/>
  <c r="K175" i="16537"/>
  <c r="L175" i="16537"/>
  <c r="M175" i="16537"/>
  <c r="N175" i="16537"/>
  <c r="O175" i="16537"/>
  <c r="P175" i="16537"/>
  <c r="Q175" i="16537"/>
  <c r="R175" i="16537"/>
  <c r="S175" i="16537"/>
  <c r="T175" i="16537"/>
  <c r="U175" i="16537"/>
  <c r="V175" i="16537"/>
  <c r="W175" i="16537"/>
  <c r="X175" i="16537"/>
  <c r="Y175" i="16537"/>
  <c r="G176" i="16537"/>
  <c r="H176" i="16537"/>
  <c r="I176" i="16537"/>
  <c r="J176" i="16537"/>
  <c r="K176" i="16537"/>
  <c r="L176" i="16537"/>
  <c r="M176" i="16537"/>
  <c r="N176" i="16537"/>
  <c r="O176" i="16537"/>
  <c r="P176" i="16537"/>
  <c r="Q176" i="16537"/>
  <c r="R176" i="16537"/>
  <c r="S176" i="16537"/>
  <c r="T176" i="16537"/>
  <c r="U176" i="16537"/>
  <c r="V176" i="16537"/>
  <c r="W176" i="16537"/>
  <c r="X176" i="16537"/>
  <c r="Y176" i="16537"/>
  <c r="G177" i="16537"/>
  <c r="H177" i="16537"/>
  <c r="I177" i="16537"/>
  <c r="J177" i="16537"/>
  <c r="K177" i="16537"/>
  <c r="L177" i="16537"/>
  <c r="M177" i="16537"/>
  <c r="N177" i="16537"/>
  <c r="O177" i="16537"/>
  <c r="P177" i="16537"/>
  <c r="Q177" i="16537"/>
  <c r="R177" i="16537"/>
  <c r="S177" i="16537"/>
  <c r="T177" i="16537"/>
  <c r="U177" i="16537"/>
  <c r="V177" i="16537"/>
  <c r="W177" i="16537"/>
  <c r="X177" i="16537"/>
  <c r="Y177" i="16537"/>
  <c r="G178" i="16537"/>
  <c r="H178" i="16537"/>
  <c r="I178" i="16537"/>
  <c r="J178" i="16537"/>
  <c r="K178" i="16537"/>
  <c r="L178" i="16537"/>
  <c r="M178" i="16537"/>
  <c r="N178" i="16537"/>
  <c r="O178" i="16537"/>
  <c r="P178" i="16537"/>
  <c r="Q178" i="16537"/>
  <c r="R178" i="16537"/>
  <c r="S178" i="16537"/>
  <c r="T178" i="16537"/>
  <c r="U178" i="16537"/>
  <c r="V178" i="16537"/>
  <c r="W178" i="16537"/>
  <c r="X178" i="16537"/>
  <c r="Y178" i="16537"/>
  <c r="G179" i="16537"/>
  <c r="H179" i="16537"/>
  <c r="I179" i="16537"/>
  <c r="J179" i="16537"/>
  <c r="K179" i="16537"/>
  <c r="L179" i="16537"/>
  <c r="M179" i="16537"/>
  <c r="N179" i="16537"/>
  <c r="O179" i="16537"/>
  <c r="P179" i="16537"/>
  <c r="Q179" i="16537"/>
  <c r="R179" i="16537"/>
  <c r="S179" i="16537"/>
  <c r="T179" i="16537"/>
  <c r="U179" i="16537"/>
  <c r="V179" i="16537"/>
  <c r="W179" i="16537"/>
  <c r="X179" i="16537"/>
  <c r="Y179" i="16537"/>
  <c r="G180" i="16537"/>
  <c r="H180" i="16537"/>
  <c r="I180" i="16537"/>
  <c r="J180" i="16537"/>
  <c r="K180" i="16537"/>
  <c r="L180" i="16537"/>
  <c r="M180" i="16537"/>
  <c r="N180" i="16537"/>
  <c r="O180" i="16537"/>
  <c r="P180" i="16537"/>
  <c r="Q180" i="16537"/>
  <c r="R180" i="16537"/>
  <c r="S180" i="16537"/>
  <c r="T180" i="16537"/>
  <c r="U180" i="16537"/>
  <c r="V180" i="16537"/>
  <c r="W180" i="16537"/>
  <c r="X180" i="16537"/>
  <c r="Y180" i="16537"/>
  <c r="G181" i="16537"/>
  <c r="H181" i="16537"/>
  <c r="I181" i="16537"/>
  <c r="J181" i="16537"/>
  <c r="K181" i="16537"/>
  <c r="L181" i="16537"/>
  <c r="M181" i="16537"/>
  <c r="N181" i="16537"/>
  <c r="O181" i="16537"/>
  <c r="P181" i="16537"/>
  <c r="Q181" i="16537"/>
  <c r="R181" i="16537"/>
  <c r="S181" i="16537"/>
  <c r="T181" i="16537"/>
  <c r="U181" i="16537"/>
  <c r="V181" i="16537"/>
  <c r="W181" i="16537"/>
  <c r="X181" i="16537"/>
  <c r="Y181" i="16537"/>
  <c r="G182" i="16537"/>
  <c r="H182" i="16537"/>
  <c r="I182" i="16537"/>
  <c r="J182" i="16537"/>
  <c r="K182" i="16537"/>
  <c r="L182" i="16537"/>
  <c r="M182" i="16537"/>
  <c r="N182" i="16537"/>
  <c r="O182" i="16537"/>
  <c r="P182" i="16537"/>
  <c r="Q182" i="16537"/>
  <c r="R182" i="16537"/>
  <c r="S182" i="16537"/>
  <c r="T182" i="16537"/>
  <c r="U182" i="16537"/>
  <c r="V182" i="16537"/>
  <c r="W182" i="16537"/>
  <c r="X182" i="16537"/>
  <c r="Y182" i="16537"/>
  <c r="G183" i="16537"/>
  <c r="H183" i="16537"/>
  <c r="I183" i="16537"/>
  <c r="J183" i="16537"/>
  <c r="K183" i="16537"/>
  <c r="L183" i="16537"/>
  <c r="M183" i="16537"/>
  <c r="N183" i="16537"/>
  <c r="O183" i="16537"/>
  <c r="P183" i="16537"/>
  <c r="Q183" i="16537"/>
  <c r="R183" i="16537"/>
  <c r="S183" i="16537"/>
  <c r="T183" i="16537"/>
  <c r="U183" i="16537"/>
  <c r="V183" i="16537"/>
  <c r="W183" i="16537"/>
  <c r="X183" i="16537"/>
  <c r="Y183" i="16537"/>
  <c r="G184" i="16537"/>
  <c r="H184" i="16537"/>
  <c r="I184" i="16537"/>
  <c r="J184" i="16537"/>
  <c r="K184" i="16537"/>
  <c r="L184" i="16537"/>
  <c r="M184" i="16537"/>
  <c r="N184" i="16537"/>
  <c r="O184" i="16537"/>
  <c r="P184" i="16537"/>
  <c r="Q184" i="16537"/>
  <c r="R184" i="16537"/>
  <c r="S184" i="16537"/>
  <c r="T184" i="16537"/>
  <c r="U184" i="16537"/>
  <c r="V184" i="16537"/>
  <c r="W184" i="16537"/>
  <c r="X184" i="16537"/>
  <c r="Y184" i="16537"/>
  <c r="G185" i="16537"/>
  <c r="H185" i="16537"/>
  <c r="I185" i="16537"/>
  <c r="J185" i="16537"/>
  <c r="K185" i="16537"/>
  <c r="L185" i="16537"/>
  <c r="M185" i="16537"/>
  <c r="N185" i="16537"/>
  <c r="O185" i="16537"/>
  <c r="P185" i="16537"/>
  <c r="Q185" i="16537"/>
  <c r="R185" i="16537"/>
  <c r="S185" i="16537"/>
  <c r="T185" i="16537"/>
  <c r="U185" i="16537"/>
  <c r="V185" i="16537"/>
  <c r="W185" i="16537"/>
  <c r="X185" i="16537"/>
  <c r="Y185" i="16537"/>
  <c r="G186" i="16537"/>
  <c r="H186" i="16537"/>
  <c r="I186" i="16537"/>
  <c r="J186" i="16537"/>
  <c r="K186" i="16537"/>
  <c r="L186" i="16537"/>
  <c r="M186" i="16537"/>
  <c r="N186" i="16537"/>
  <c r="O186" i="16537"/>
  <c r="P186" i="16537"/>
  <c r="Q186" i="16537"/>
  <c r="R186" i="16537"/>
  <c r="S186" i="16537"/>
  <c r="T186" i="16537"/>
  <c r="U186" i="16537"/>
  <c r="V186" i="16537"/>
  <c r="W186" i="16537"/>
  <c r="X186" i="16537"/>
  <c r="Y186" i="16537"/>
  <c r="G187" i="16537"/>
  <c r="H187" i="16537"/>
  <c r="I187" i="16537"/>
  <c r="J187" i="16537"/>
  <c r="K187" i="16537"/>
  <c r="L187" i="16537"/>
  <c r="M187" i="16537"/>
  <c r="N187" i="16537"/>
  <c r="O187" i="16537"/>
  <c r="P187" i="16537"/>
  <c r="Q187" i="16537"/>
  <c r="R187" i="16537"/>
  <c r="S187" i="16537"/>
  <c r="T187" i="16537"/>
  <c r="U187" i="16537"/>
  <c r="V187" i="16537"/>
  <c r="W187" i="16537"/>
  <c r="X187" i="16537"/>
  <c r="Y187" i="16537"/>
  <c r="G188" i="16537"/>
  <c r="H188" i="16537"/>
  <c r="I188" i="16537"/>
  <c r="J188" i="16537"/>
  <c r="K188" i="16537"/>
  <c r="L188" i="16537"/>
  <c r="M188" i="16537"/>
  <c r="N188" i="16537"/>
  <c r="O188" i="16537"/>
  <c r="P188" i="16537"/>
  <c r="Q188" i="16537"/>
  <c r="R188" i="16537"/>
  <c r="S188" i="16537"/>
  <c r="T188" i="16537"/>
  <c r="U188" i="16537"/>
  <c r="V188" i="16537"/>
  <c r="W188" i="16537"/>
  <c r="X188" i="16537"/>
  <c r="Y188" i="16537"/>
  <c r="G189" i="16537"/>
  <c r="H189" i="16537"/>
  <c r="I189" i="16537"/>
  <c r="J189" i="16537"/>
  <c r="K189" i="16537"/>
  <c r="L189" i="16537"/>
  <c r="M189" i="16537"/>
  <c r="N189" i="16537"/>
  <c r="O189" i="16537"/>
  <c r="P189" i="16537"/>
  <c r="Q189" i="16537"/>
  <c r="R189" i="16537"/>
  <c r="S189" i="16537"/>
  <c r="T189" i="16537"/>
  <c r="U189" i="16537"/>
  <c r="V189" i="16537"/>
  <c r="W189" i="16537"/>
  <c r="X189" i="16537"/>
  <c r="Y189" i="16537"/>
  <c r="G190" i="16537"/>
  <c r="H190" i="16537"/>
  <c r="I190" i="16537"/>
  <c r="J190" i="16537"/>
  <c r="K190" i="16537"/>
  <c r="L190" i="16537"/>
  <c r="M190" i="16537"/>
  <c r="N190" i="16537"/>
  <c r="O190" i="16537"/>
  <c r="P190" i="16537"/>
  <c r="Q190" i="16537"/>
  <c r="R190" i="16537"/>
  <c r="S190" i="16537"/>
  <c r="T190" i="16537"/>
  <c r="U190" i="16537"/>
  <c r="V190" i="16537"/>
  <c r="W190" i="16537"/>
  <c r="X190" i="16537"/>
  <c r="Y190" i="16537"/>
  <c r="G191" i="16537"/>
  <c r="H191" i="16537"/>
  <c r="I191" i="16537"/>
  <c r="J191" i="16537"/>
  <c r="K191" i="16537"/>
  <c r="L191" i="16537"/>
  <c r="M191" i="16537"/>
  <c r="N191" i="16537"/>
  <c r="O191" i="16537"/>
  <c r="P191" i="16537"/>
  <c r="Q191" i="16537"/>
  <c r="R191" i="16537"/>
  <c r="S191" i="16537"/>
  <c r="T191" i="16537"/>
  <c r="U191" i="16537"/>
  <c r="V191" i="16537"/>
  <c r="W191" i="16537"/>
  <c r="X191" i="16537"/>
  <c r="Y191" i="16537"/>
  <c r="G192" i="16537"/>
  <c r="H192" i="16537"/>
  <c r="I192" i="16537"/>
  <c r="J192" i="16537"/>
  <c r="K192" i="16537"/>
  <c r="L192" i="16537"/>
  <c r="M192" i="16537"/>
  <c r="N192" i="16537"/>
  <c r="O192" i="16537"/>
  <c r="P192" i="16537"/>
  <c r="Q192" i="16537"/>
  <c r="R192" i="16537"/>
  <c r="S192" i="16537"/>
  <c r="T192" i="16537"/>
  <c r="U192" i="16537"/>
  <c r="V192" i="16537"/>
  <c r="W192" i="16537"/>
  <c r="X192" i="16537"/>
  <c r="Y192" i="16537"/>
  <c r="G193" i="16537"/>
  <c r="H193" i="16537"/>
  <c r="I193" i="16537"/>
  <c r="J193" i="16537"/>
  <c r="K193" i="16537"/>
  <c r="L193" i="16537"/>
  <c r="M193" i="16537"/>
  <c r="N193" i="16537"/>
  <c r="O193" i="16537"/>
  <c r="P193" i="16537"/>
  <c r="Q193" i="16537"/>
  <c r="R193" i="16537"/>
  <c r="S193" i="16537"/>
  <c r="T193" i="16537"/>
  <c r="U193" i="16537"/>
  <c r="V193" i="16537"/>
  <c r="W193" i="16537"/>
  <c r="X193" i="16537"/>
  <c r="Y193" i="16537"/>
  <c r="G194" i="16537"/>
  <c r="H194" i="16537"/>
  <c r="I194" i="16537"/>
  <c r="J194" i="16537"/>
  <c r="K194" i="16537"/>
  <c r="L194" i="16537"/>
  <c r="M194" i="16537"/>
  <c r="N194" i="16537"/>
  <c r="O194" i="16537"/>
  <c r="P194" i="16537"/>
  <c r="Q194" i="16537"/>
  <c r="R194" i="16537"/>
  <c r="S194" i="16537"/>
  <c r="T194" i="16537"/>
  <c r="U194" i="16537"/>
  <c r="V194" i="16537"/>
  <c r="W194" i="16537"/>
  <c r="X194" i="16537"/>
  <c r="Y194" i="16537"/>
  <c r="G195" i="16537"/>
  <c r="H195" i="16537"/>
  <c r="I195" i="16537"/>
  <c r="J195" i="16537"/>
  <c r="K195" i="16537"/>
  <c r="L195" i="16537"/>
  <c r="M195" i="16537"/>
  <c r="N195" i="16537"/>
  <c r="O195" i="16537"/>
  <c r="P195" i="16537"/>
  <c r="Q195" i="16537"/>
  <c r="R195" i="16537"/>
  <c r="S195" i="16537"/>
  <c r="T195" i="16537"/>
  <c r="U195" i="16537"/>
  <c r="V195" i="16537"/>
  <c r="W195" i="16537"/>
  <c r="X195" i="16537"/>
  <c r="Y195" i="16537"/>
  <c r="G196" i="16537"/>
  <c r="H196" i="16537"/>
  <c r="I196" i="16537"/>
  <c r="J196" i="16537"/>
  <c r="K196" i="16537"/>
  <c r="L196" i="16537"/>
  <c r="M196" i="16537"/>
  <c r="N196" i="16537"/>
  <c r="O196" i="16537"/>
  <c r="P196" i="16537"/>
  <c r="Q196" i="16537"/>
  <c r="R196" i="16537"/>
  <c r="S196" i="16537"/>
  <c r="T196" i="16537"/>
  <c r="U196" i="16537"/>
  <c r="V196" i="16537"/>
  <c r="W196" i="16537"/>
  <c r="X196" i="16537"/>
  <c r="Y196" i="16537"/>
  <c r="G197" i="16537"/>
  <c r="H197" i="16537"/>
  <c r="I197" i="16537"/>
  <c r="J197" i="16537"/>
  <c r="K197" i="16537"/>
  <c r="L197" i="16537"/>
  <c r="M197" i="16537"/>
  <c r="N197" i="16537"/>
  <c r="O197" i="16537"/>
  <c r="P197" i="16537"/>
  <c r="Q197" i="16537"/>
  <c r="R197" i="16537"/>
  <c r="S197" i="16537"/>
  <c r="T197" i="16537"/>
  <c r="U197" i="16537"/>
  <c r="V197" i="16537"/>
  <c r="W197" i="16537"/>
  <c r="X197" i="16537"/>
  <c r="Y197" i="16537"/>
  <c r="G198" i="16537"/>
  <c r="H198" i="16537"/>
  <c r="I198" i="16537"/>
  <c r="J198" i="16537"/>
  <c r="K198" i="16537"/>
  <c r="L198" i="16537"/>
  <c r="M198" i="16537"/>
  <c r="N198" i="16537"/>
  <c r="O198" i="16537"/>
  <c r="P198" i="16537"/>
  <c r="Q198" i="16537"/>
  <c r="R198" i="16537"/>
  <c r="S198" i="16537"/>
  <c r="T198" i="16537"/>
  <c r="U198" i="16537"/>
  <c r="V198" i="16537"/>
  <c r="W198" i="16537"/>
  <c r="X198" i="16537"/>
  <c r="Y198" i="16537"/>
  <c r="G199" i="16537"/>
  <c r="H199" i="16537"/>
  <c r="I199" i="16537"/>
  <c r="J199" i="16537"/>
  <c r="K199" i="16537"/>
  <c r="L199" i="16537"/>
  <c r="M199" i="16537"/>
  <c r="N199" i="16537"/>
  <c r="O199" i="16537"/>
  <c r="P199" i="16537"/>
  <c r="Q199" i="16537"/>
  <c r="R199" i="16537"/>
  <c r="S199" i="16537"/>
  <c r="T199" i="16537"/>
  <c r="U199" i="16537"/>
  <c r="V199" i="16537"/>
  <c r="W199" i="16537"/>
  <c r="X199" i="16537"/>
  <c r="Y199" i="16537"/>
  <c r="G200" i="16537"/>
  <c r="H200" i="16537"/>
  <c r="I200" i="16537"/>
  <c r="J200" i="16537"/>
  <c r="K200" i="16537"/>
  <c r="L200" i="16537"/>
  <c r="M200" i="16537"/>
  <c r="N200" i="16537"/>
  <c r="O200" i="16537"/>
  <c r="P200" i="16537"/>
  <c r="Q200" i="16537"/>
  <c r="R200" i="16537"/>
  <c r="S200" i="16537"/>
  <c r="T200" i="16537"/>
  <c r="U200" i="16537"/>
  <c r="V200" i="16537"/>
  <c r="W200" i="16537"/>
  <c r="X200" i="16537"/>
  <c r="Y200" i="16537"/>
  <c r="G201" i="16537"/>
  <c r="H201" i="16537"/>
  <c r="I201" i="16537"/>
  <c r="J201" i="16537"/>
  <c r="K201" i="16537"/>
  <c r="L201" i="16537"/>
  <c r="M201" i="16537"/>
  <c r="N201" i="16537"/>
  <c r="O201" i="16537"/>
  <c r="P201" i="16537"/>
  <c r="Q201" i="16537"/>
  <c r="R201" i="16537"/>
  <c r="S201" i="16537"/>
  <c r="T201" i="16537"/>
  <c r="U201" i="16537"/>
  <c r="V201" i="16537"/>
  <c r="W201" i="16537"/>
  <c r="X201" i="16537"/>
  <c r="Y201" i="16537"/>
  <c r="G202" i="16537"/>
  <c r="H202" i="16537"/>
  <c r="I202" i="16537"/>
  <c r="J202" i="16537"/>
  <c r="K202" i="16537"/>
  <c r="L202" i="16537"/>
  <c r="M202" i="16537"/>
  <c r="N202" i="16537"/>
  <c r="O202" i="16537"/>
  <c r="P202" i="16537"/>
  <c r="Q202" i="16537"/>
  <c r="R202" i="16537"/>
  <c r="S202" i="16537"/>
  <c r="T202" i="16537"/>
  <c r="U202" i="16537"/>
  <c r="V202" i="16537"/>
  <c r="W202" i="16537"/>
  <c r="X202" i="16537"/>
  <c r="Y202" i="16537"/>
  <c r="G203" i="16537"/>
  <c r="H203" i="16537"/>
  <c r="I203" i="16537"/>
  <c r="J203" i="16537"/>
  <c r="K203" i="16537"/>
  <c r="L203" i="16537"/>
  <c r="M203" i="16537"/>
  <c r="N203" i="16537"/>
  <c r="O203" i="16537"/>
  <c r="P203" i="16537"/>
  <c r="Q203" i="16537"/>
  <c r="R203" i="16537"/>
  <c r="S203" i="16537"/>
  <c r="T203" i="16537"/>
  <c r="U203" i="16537"/>
  <c r="V203" i="16537"/>
  <c r="W203" i="16537"/>
  <c r="X203" i="16537"/>
  <c r="Y203" i="16537"/>
  <c r="G204" i="16537"/>
  <c r="H204" i="16537"/>
  <c r="I204" i="16537"/>
  <c r="J204" i="16537"/>
  <c r="K204" i="16537"/>
  <c r="L204" i="16537"/>
  <c r="M204" i="16537"/>
  <c r="N204" i="16537"/>
  <c r="O204" i="16537"/>
  <c r="P204" i="16537"/>
  <c r="Q204" i="16537"/>
  <c r="R204" i="16537"/>
  <c r="S204" i="16537"/>
  <c r="T204" i="16537"/>
  <c r="U204" i="16537"/>
  <c r="V204" i="16537"/>
  <c r="W204" i="16537"/>
  <c r="X204" i="16537"/>
  <c r="Y204" i="16537"/>
  <c r="G205" i="16537"/>
  <c r="H205" i="16537"/>
  <c r="I205" i="16537"/>
  <c r="J205" i="16537"/>
  <c r="K205" i="16537"/>
  <c r="L205" i="16537"/>
  <c r="M205" i="16537"/>
  <c r="N205" i="16537"/>
  <c r="O205" i="16537"/>
  <c r="P205" i="16537"/>
  <c r="Q205" i="16537"/>
  <c r="R205" i="16537"/>
  <c r="S205" i="16537"/>
  <c r="T205" i="16537"/>
  <c r="U205" i="16537"/>
  <c r="V205" i="16537"/>
  <c r="W205" i="16537"/>
  <c r="X205" i="16537"/>
  <c r="Y205" i="16537"/>
  <c r="G206" i="16537"/>
  <c r="H206" i="16537"/>
  <c r="I206" i="16537"/>
  <c r="J206" i="16537"/>
  <c r="K206" i="16537"/>
  <c r="L206" i="16537"/>
  <c r="M206" i="16537"/>
  <c r="N206" i="16537"/>
  <c r="O206" i="16537"/>
  <c r="P206" i="16537"/>
  <c r="Q206" i="16537"/>
  <c r="R206" i="16537"/>
  <c r="S206" i="16537"/>
  <c r="T206" i="16537"/>
  <c r="U206" i="16537"/>
  <c r="V206" i="16537"/>
  <c r="W206" i="16537"/>
  <c r="X206" i="16537"/>
  <c r="Y206" i="16537"/>
  <c r="G207" i="16537"/>
  <c r="H207" i="16537"/>
  <c r="I207" i="16537"/>
  <c r="J207" i="16537"/>
  <c r="K207" i="16537"/>
  <c r="L207" i="16537"/>
  <c r="M207" i="16537"/>
  <c r="N207" i="16537"/>
  <c r="O207" i="16537"/>
  <c r="P207" i="16537"/>
  <c r="Q207" i="16537"/>
  <c r="R207" i="16537"/>
  <c r="S207" i="16537"/>
  <c r="T207" i="16537"/>
  <c r="U207" i="16537"/>
  <c r="V207" i="16537"/>
  <c r="W207" i="16537"/>
  <c r="X207" i="16537"/>
  <c r="Y207" i="16537"/>
  <c r="G208" i="16537"/>
  <c r="H208" i="16537"/>
  <c r="I208" i="16537"/>
  <c r="J208" i="16537"/>
  <c r="K208" i="16537"/>
  <c r="L208" i="16537"/>
  <c r="M208" i="16537"/>
  <c r="N208" i="16537"/>
  <c r="O208" i="16537"/>
  <c r="P208" i="16537"/>
  <c r="Q208" i="16537"/>
  <c r="R208" i="16537"/>
  <c r="S208" i="16537"/>
  <c r="T208" i="16537"/>
  <c r="U208" i="16537"/>
  <c r="V208" i="16537"/>
  <c r="W208" i="16537"/>
  <c r="X208" i="16537"/>
  <c r="Y208" i="16537"/>
  <c r="G209" i="16537"/>
  <c r="H209" i="16537"/>
  <c r="I209" i="16537"/>
  <c r="J209" i="16537"/>
  <c r="K209" i="16537"/>
  <c r="L209" i="16537"/>
  <c r="M209" i="16537"/>
  <c r="N209" i="16537"/>
  <c r="O209" i="16537"/>
  <c r="P209" i="16537"/>
  <c r="Q209" i="16537"/>
  <c r="R209" i="16537"/>
  <c r="S209" i="16537"/>
  <c r="T209" i="16537"/>
  <c r="U209" i="16537"/>
  <c r="V209" i="16537"/>
  <c r="W209" i="16537"/>
  <c r="X209" i="16537"/>
  <c r="Y209" i="16537"/>
  <c r="G210" i="16537"/>
  <c r="H210" i="16537"/>
  <c r="I210" i="16537"/>
  <c r="J210" i="16537"/>
  <c r="K210" i="16537"/>
  <c r="L210" i="16537"/>
  <c r="M210" i="16537"/>
  <c r="N210" i="16537"/>
  <c r="O210" i="16537"/>
  <c r="P210" i="16537"/>
  <c r="Q210" i="16537"/>
  <c r="R210" i="16537"/>
  <c r="S210" i="16537"/>
  <c r="T210" i="16537"/>
  <c r="U210" i="16537"/>
  <c r="V210" i="16537"/>
  <c r="W210" i="16537"/>
  <c r="X210" i="16537"/>
  <c r="Y210" i="16537"/>
  <c r="G211" i="16537"/>
  <c r="H211" i="16537"/>
  <c r="I211" i="16537"/>
  <c r="J211" i="16537"/>
  <c r="K211" i="16537"/>
  <c r="L211" i="16537"/>
  <c r="M211" i="16537"/>
  <c r="N211" i="16537"/>
  <c r="O211" i="16537"/>
  <c r="P211" i="16537"/>
  <c r="Q211" i="16537"/>
  <c r="R211" i="16537"/>
  <c r="S211" i="16537"/>
  <c r="T211" i="16537"/>
  <c r="U211" i="16537"/>
  <c r="V211" i="16537"/>
  <c r="W211" i="16537"/>
  <c r="X211" i="16537"/>
  <c r="Y211" i="16537"/>
  <c r="G212" i="16537"/>
  <c r="H212" i="16537"/>
  <c r="I212" i="16537"/>
  <c r="J212" i="16537"/>
  <c r="K212" i="16537"/>
  <c r="L212" i="16537"/>
  <c r="M212" i="16537"/>
  <c r="N212" i="16537"/>
  <c r="O212" i="16537"/>
  <c r="P212" i="16537"/>
  <c r="Q212" i="16537"/>
  <c r="R212" i="16537"/>
  <c r="S212" i="16537"/>
  <c r="T212" i="16537"/>
  <c r="U212" i="16537"/>
  <c r="V212" i="16537"/>
  <c r="W212" i="16537"/>
  <c r="X212" i="16537"/>
  <c r="Y212" i="16537"/>
  <c r="G213" i="16537"/>
  <c r="H213" i="16537"/>
  <c r="I213" i="16537"/>
  <c r="J213" i="16537"/>
  <c r="K213" i="16537"/>
  <c r="L213" i="16537"/>
  <c r="M213" i="16537"/>
  <c r="N213" i="16537"/>
  <c r="O213" i="16537"/>
  <c r="P213" i="16537"/>
  <c r="Q213" i="16537"/>
  <c r="R213" i="16537"/>
  <c r="S213" i="16537"/>
  <c r="T213" i="16537"/>
  <c r="U213" i="16537"/>
  <c r="V213" i="16537"/>
  <c r="W213" i="16537"/>
  <c r="X213" i="16537"/>
  <c r="Y213" i="16537"/>
  <c r="G214" i="16537"/>
  <c r="H214" i="16537"/>
  <c r="I214" i="16537"/>
  <c r="J214" i="16537"/>
  <c r="K214" i="16537"/>
  <c r="L214" i="16537"/>
  <c r="M214" i="16537"/>
  <c r="N214" i="16537"/>
  <c r="O214" i="16537"/>
  <c r="P214" i="16537"/>
  <c r="Q214" i="16537"/>
  <c r="R214" i="16537"/>
  <c r="S214" i="16537"/>
  <c r="T214" i="16537"/>
  <c r="U214" i="16537"/>
  <c r="V214" i="16537"/>
  <c r="W214" i="16537"/>
  <c r="X214" i="16537"/>
  <c r="Y214" i="16537"/>
  <c r="G215" i="16537"/>
  <c r="H215" i="16537"/>
  <c r="I215" i="16537"/>
  <c r="J215" i="16537"/>
  <c r="K215" i="16537"/>
  <c r="L215" i="16537"/>
  <c r="M215" i="16537"/>
  <c r="N215" i="16537"/>
  <c r="O215" i="16537"/>
  <c r="P215" i="16537"/>
  <c r="Q215" i="16537"/>
  <c r="R215" i="16537"/>
  <c r="S215" i="16537"/>
  <c r="T215" i="16537"/>
  <c r="U215" i="16537"/>
  <c r="V215" i="16537"/>
  <c r="W215" i="16537"/>
  <c r="X215" i="16537"/>
  <c r="Y215" i="16537"/>
  <c r="G216" i="16537"/>
  <c r="H216" i="16537"/>
  <c r="I216" i="16537"/>
  <c r="J216" i="16537"/>
  <c r="K216" i="16537"/>
  <c r="L216" i="16537"/>
  <c r="M216" i="16537"/>
  <c r="N216" i="16537"/>
  <c r="O216" i="16537"/>
  <c r="P216" i="16537"/>
  <c r="Q216" i="16537"/>
  <c r="R216" i="16537"/>
  <c r="S216" i="16537"/>
  <c r="T216" i="16537"/>
  <c r="U216" i="16537"/>
  <c r="V216" i="16537"/>
  <c r="W216" i="16537"/>
  <c r="X216" i="16537"/>
  <c r="Y216" i="16537"/>
  <c r="G217" i="16537"/>
  <c r="H217" i="16537"/>
  <c r="I217" i="16537"/>
  <c r="J217" i="16537"/>
  <c r="K217" i="16537"/>
  <c r="L217" i="16537"/>
  <c r="M217" i="16537"/>
  <c r="N217" i="16537"/>
  <c r="O217" i="16537"/>
  <c r="P217" i="16537"/>
  <c r="Q217" i="16537"/>
  <c r="R217" i="16537"/>
  <c r="S217" i="16537"/>
  <c r="T217" i="16537"/>
  <c r="U217" i="16537"/>
  <c r="V217" i="16537"/>
  <c r="W217" i="16537"/>
  <c r="X217" i="16537"/>
  <c r="Y217" i="16537"/>
  <c r="G218" i="16537"/>
  <c r="H218" i="16537"/>
  <c r="I218" i="16537"/>
  <c r="J218" i="16537"/>
  <c r="K218" i="16537"/>
  <c r="L218" i="16537"/>
  <c r="M218" i="16537"/>
  <c r="N218" i="16537"/>
  <c r="O218" i="16537"/>
  <c r="P218" i="16537"/>
  <c r="Q218" i="16537"/>
  <c r="R218" i="16537"/>
  <c r="S218" i="16537"/>
  <c r="T218" i="16537"/>
  <c r="U218" i="16537"/>
  <c r="V218" i="16537"/>
  <c r="W218" i="16537"/>
  <c r="X218" i="16537"/>
  <c r="Y218" i="16537"/>
  <c r="G219" i="16537"/>
  <c r="H219" i="16537"/>
  <c r="I219" i="16537"/>
  <c r="J219" i="16537"/>
  <c r="K219" i="16537"/>
  <c r="L219" i="16537"/>
  <c r="M219" i="16537"/>
  <c r="N219" i="16537"/>
  <c r="O219" i="16537"/>
  <c r="P219" i="16537"/>
  <c r="Q219" i="16537"/>
  <c r="R219" i="16537"/>
  <c r="S219" i="16537"/>
  <c r="T219" i="16537"/>
  <c r="U219" i="16537"/>
  <c r="V219" i="16537"/>
  <c r="W219" i="16537"/>
  <c r="X219" i="16537"/>
  <c r="Y219" i="16537"/>
  <c r="G220" i="16537"/>
  <c r="H220" i="16537"/>
  <c r="I220" i="16537"/>
  <c r="J220" i="16537"/>
  <c r="K220" i="16537"/>
  <c r="L220" i="16537"/>
  <c r="M220" i="16537"/>
  <c r="N220" i="16537"/>
  <c r="O220" i="16537"/>
  <c r="P220" i="16537"/>
  <c r="Q220" i="16537"/>
  <c r="R220" i="16537"/>
  <c r="S220" i="16537"/>
  <c r="T220" i="16537"/>
  <c r="U220" i="16537"/>
  <c r="V220" i="16537"/>
  <c r="W220" i="16537"/>
  <c r="X220" i="16537"/>
  <c r="Y220" i="16537"/>
  <c r="G221" i="16537"/>
  <c r="H221" i="16537"/>
  <c r="I221" i="16537"/>
  <c r="J221" i="16537"/>
  <c r="K221" i="16537"/>
  <c r="L221" i="16537"/>
  <c r="M221" i="16537"/>
  <c r="N221" i="16537"/>
  <c r="O221" i="16537"/>
  <c r="P221" i="16537"/>
  <c r="Q221" i="16537"/>
  <c r="R221" i="16537"/>
  <c r="S221" i="16537"/>
  <c r="T221" i="16537"/>
  <c r="U221" i="16537"/>
  <c r="V221" i="16537"/>
  <c r="W221" i="16537"/>
  <c r="X221" i="16537"/>
  <c r="Y221" i="16537"/>
  <c r="G222" i="16537"/>
  <c r="H222" i="16537"/>
  <c r="I222" i="16537"/>
  <c r="J222" i="16537"/>
  <c r="K222" i="16537"/>
  <c r="L222" i="16537"/>
  <c r="M222" i="16537"/>
  <c r="N222" i="16537"/>
  <c r="O222" i="16537"/>
  <c r="P222" i="16537"/>
  <c r="Q222" i="16537"/>
  <c r="R222" i="16537"/>
  <c r="S222" i="16537"/>
  <c r="T222" i="16537"/>
  <c r="U222" i="16537"/>
  <c r="V222" i="16537"/>
  <c r="W222" i="16537"/>
  <c r="X222" i="16537"/>
  <c r="Y222" i="16537"/>
  <c r="G223" i="16537"/>
  <c r="H223" i="16537"/>
  <c r="I223" i="16537"/>
  <c r="J223" i="16537"/>
  <c r="K223" i="16537"/>
  <c r="L223" i="16537"/>
  <c r="M223" i="16537"/>
  <c r="N223" i="16537"/>
  <c r="O223" i="16537"/>
  <c r="P223" i="16537"/>
  <c r="Q223" i="16537"/>
  <c r="R223" i="16537"/>
  <c r="S223" i="16537"/>
  <c r="T223" i="16537"/>
  <c r="U223" i="16537"/>
  <c r="V223" i="16537"/>
  <c r="W223" i="16537"/>
  <c r="X223" i="16537"/>
  <c r="Y223" i="16537"/>
  <c r="I224" i="16537"/>
  <c r="J224" i="16537"/>
  <c r="K224" i="16537"/>
  <c r="L224" i="16537"/>
  <c r="M224" i="16537"/>
  <c r="N224" i="16537"/>
  <c r="O224" i="16537"/>
  <c r="P224" i="16537"/>
  <c r="Q224" i="16537"/>
  <c r="R224" i="16537"/>
  <c r="S224" i="16537"/>
  <c r="T224" i="16537"/>
  <c r="U224" i="16537"/>
  <c r="V224" i="16537"/>
  <c r="W224" i="16537"/>
  <c r="X224" i="16537"/>
  <c r="Y224" i="16537"/>
  <c r="I225" i="16537"/>
  <c r="J225" i="16537"/>
  <c r="K225" i="16537"/>
  <c r="N225" i="16537"/>
  <c r="O225" i="16537"/>
  <c r="P225" i="16537"/>
  <c r="S225" i="16537"/>
  <c r="T225" i="16537"/>
  <c r="U225" i="16537"/>
  <c r="X225" i="16537"/>
  <c r="Y225" i="16537"/>
  <c r="I226" i="16537"/>
  <c r="J226" i="16537"/>
  <c r="K226" i="16537"/>
  <c r="N226" i="16537"/>
  <c r="O226" i="16537"/>
  <c r="P226" i="16537"/>
  <c r="S226" i="16537"/>
  <c r="T226" i="16537"/>
  <c r="U226" i="16537"/>
  <c r="X226" i="16537"/>
  <c r="Y226" i="16537"/>
  <c r="I227" i="16537"/>
  <c r="J227" i="16537"/>
  <c r="K227" i="16537"/>
  <c r="N227" i="16537"/>
  <c r="O227" i="16537"/>
  <c r="P227" i="16537"/>
  <c r="S227" i="16537"/>
  <c r="T227" i="16537"/>
  <c r="U227" i="16537"/>
  <c r="X227" i="16537"/>
  <c r="Y227" i="16537"/>
  <c r="I228" i="16537"/>
  <c r="J228" i="16537"/>
  <c r="K228" i="16537"/>
  <c r="N228" i="16537"/>
  <c r="O228" i="16537"/>
  <c r="P228" i="16537"/>
  <c r="S228" i="16537"/>
  <c r="T228" i="16537"/>
  <c r="U228" i="16537"/>
  <c r="X228" i="16537"/>
  <c r="Y228" i="16537"/>
  <c r="I229" i="16537"/>
  <c r="J229" i="16537"/>
  <c r="K229" i="16537"/>
  <c r="N229" i="16537"/>
  <c r="O229" i="16537"/>
  <c r="P229" i="16537"/>
  <c r="S229" i="16537"/>
  <c r="T229" i="16537"/>
  <c r="U229" i="16537"/>
  <c r="X229" i="16537"/>
  <c r="Y229" i="16537"/>
  <c r="I230" i="16537"/>
  <c r="K230" i="16537"/>
  <c r="N230" i="16537"/>
  <c r="P230" i="16537"/>
  <c r="S230" i="16537"/>
  <c r="U230" i="16537"/>
  <c r="X230" i="16537"/>
  <c r="I231" i="16537"/>
  <c r="J231" i="16537"/>
  <c r="K231" i="16537"/>
  <c r="N231" i="16537"/>
  <c r="O231" i="16537"/>
  <c r="P231" i="16537"/>
  <c r="S231" i="16537"/>
  <c r="T231" i="16537"/>
  <c r="U231" i="16537"/>
  <c r="X231" i="16537"/>
  <c r="Y231" i="16537"/>
  <c r="I232" i="16537"/>
  <c r="J232" i="16537"/>
  <c r="K232" i="16537"/>
  <c r="N232" i="16537"/>
  <c r="O232" i="16537"/>
  <c r="P232" i="16537"/>
  <c r="S232" i="16537"/>
  <c r="T232" i="16537"/>
  <c r="U232" i="16537"/>
  <c r="X232" i="16537"/>
  <c r="Y232" i="16537"/>
  <c r="I233" i="16537"/>
  <c r="N233" i="16537"/>
  <c r="S233" i="16537"/>
  <c r="I234" i="16537"/>
  <c r="J234" i="16537"/>
  <c r="N234" i="16537"/>
  <c r="O234" i="16537"/>
  <c r="S234" i="16537"/>
  <c r="T234" i="16537"/>
  <c r="Y234" i="16537"/>
  <c r="I235" i="16537"/>
  <c r="Y235" i="16537"/>
  <c r="I236" i="16537"/>
  <c r="I237" i="16537"/>
  <c r="I238" i="16537"/>
  <c r="I239" i="16537"/>
  <c r="I240" i="16537"/>
  <c r="I241" i="16537"/>
  <c r="I242" i="16537"/>
  <c r="I243" i="16537"/>
  <c r="I244" i="16537"/>
  <c r="I245" i="16537"/>
  <c r="G246" i="16537"/>
  <c r="I246" i="16537"/>
  <c r="G247" i="16537"/>
  <c r="I247" i="16537"/>
  <c r="G248" i="16537"/>
  <c r="I248" i="16537"/>
  <c r="G249" i="16537"/>
  <c r="I249" i="16537"/>
  <c r="G250" i="16537"/>
  <c r="H250" i="16537"/>
  <c r="I250" i="16537"/>
  <c r="J250" i="16537"/>
  <c r="G251" i="16537"/>
  <c r="H251" i="16537"/>
  <c r="I251" i="16537"/>
  <c r="J251" i="16537"/>
  <c r="G252" i="16537"/>
  <c r="H252" i="16537"/>
  <c r="I252" i="16537"/>
  <c r="J252" i="16537"/>
  <c r="G253" i="16537"/>
  <c r="H253" i="16537"/>
  <c r="I253" i="16537"/>
  <c r="G254" i="16537"/>
  <c r="H254" i="16537"/>
  <c r="I254" i="16537"/>
  <c r="I255" i="16537"/>
  <c r="I256" i="16537"/>
  <c r="I257" i="16537"/>
  <c r="I258" i="16537"/>
  <c r="I259" i="16537"/>
  <c r="I260" i="16537"/>
  <c r="I261" i="16537"/>
  <c r="I262" i="16537"/>
  <c r="I263" i="16537"/>
  <c r="I264" i="16537"/>
  <c r="I265" i="16537"/>
  <c r="I266" i="16537"/>
  <c r="I267" i="16537"/>
  <c r="I268" i="16537"/>
  <c r="I269" i="16537"/>
  <c r="I270" i="16537"/>
  <c r="I271" i="16537"/>
  <c r="I272" i="16537"/>
  <c r="I273" i="16537"/>
  <c r="I274" i="16537"/>
  <c r="I275" i="16537"/>
  <c r="I276" i="16537"/>
  <c r="I277" i="16537"/>
  <c r="I278" i="16537"/>
  <c r="I279" i="16537"/>
  <c r="I280" i="16537"/>
  <c r="I281" i="16537"/>
  <c r="I282" i="16537"/>
  <c r="I283" i="16537"/>
  <c r="I284" i="16537"/>
  <c r="I285" i="16537"/>
  <c r="I286" i="16537"/>
  <c r="I287" i="16537"/>
  <c r="I288" i="16537"/>
  <c r="I289" i="16537"/>
  <c r="I290" i="16537"/>
  <c r="I291" i="16537"/>
  <c r="I292" i="16537"/>
  <c r="I293" i="16537"/>
  <c r="I294" i="16537"/>
  <c r="I295" i="16537"/>
  <c r="I296" i="16537"/>
  <c r="I297" i="16537"/>
  <c r="I298" i="16537"/>
  <c r="I299" i="16537"/>
  <c r="I300" i="16537"/>
  <c r="I301" i="16537"/>
  <c r="I302" i="16537"/>
  <c r="I303" i="16537"/>
  <c r="I304" i="16537"/>
  <c r="I305" i="16537"/>
  <c r="I306" i="16537"/>
  <c r="I307" i="16537"/>
  <c r="I308" i="16537"/>
  <c r="I309" i="16537"/>
  <c r="I310" i="16537"/>
  <c r="I311" i="16537"/>
  <c r="I312" i="16537"/>
  <c r="I313" i="16537"/>
  <c r="I314" i="16537"/>
  <c r="I315" i="16537"/>
  <c r="I316" i="16537"/>
  <c r="I317" i="16537"/>
  <c r="I318" i="16537"/>
  <c r="Y319" i="16537"/>
</calcChain>
</file>

<file path=xl/comments1.xml><?xml version="1.0" encoding="utf-8"?>
<comments xmlns="http://schemas.openxmlformats.org/spreadsheetml/2006/main">
  <authors>
    <author>Garald D. Ross</author>
  </authors>
  <commentList>
    <comment ref="F10" authorId="0" shapeId="0">
      <text>
        <r>
          <rPr>
            <b/>
            <sz val="8"/>
            <color indexed="81"/>
            <rFont val="Tahoma"/>
          </rPr>
          <t>A series unit will do 60-80 design.  A Parallel unit will do 110-140 design.  We can free flow 20-120 with 740 DT press.</t>
        </r>
        <r>
          <rPr>
            <sz val="8"/>
            <color indexed="81"/>
            <rFont val="Tahoma"/>
          </rPr>
          <t xml:space="preserve">
</t>
        </r>
      </text>
    </comment>
    <comment ref="L12" authorId="0" shapeId="0">
      <text>
        <r>
          <rPr>
            <b/>
            <sz val="8"/>
            <color indexed="81"/>
            <rFont val="Tahoma"/>
          </rPr>
          <t>Sta 816
Robert Cornell 409-389-2255 cell 713-824-9926</t>
        </r>
        <r>
          <rPr>
            <sz val="8"/>
            <color indexed="81"/>
            <rFont val="Tahoma"/>
          </rPr>
          <t xml:space="preserve">
</t>
        </r>
      </text>
    </comment>
    <comment ref="L13" authorId="0" shapeId="0">
      <text>
        <r>
          <rPr>
            <b/>
            <sz val="8"/>
            <color indexed="81"/>
            <rFont val="Tahoma"/>
          </rPr>
          <t>The suction pressure shown here is at Lomax.  This represents the line pressure into the Ship Channel.  Minimum pressure is conisdered to be 535</t>
        </r>
        <r>
          <rPr>
            <sz val="8"/>
            <color indexed="81"/>
            <rFont val="Tahoma"/>
          </rPr>
          <t xml:space="preserve">
</t>
        </r>
      </text>
    </comment>
    <comment ref="L15" authorId="0" shapeId="0">
      <text>
        <r>
          <rPr>
            <b/>
            <sz val="8"/>
            <color indexed="81"/>
            <rFont val="Tahoma"/>
          </rPr>
          <t>Theoretical Capacity at 814 is currently 630 mmbtu.</t>
        </r>
        <r>
          <rPr>
            <sz val="8"/>
            <color indexed="81"/>
            <rFont val="Tahoma"/>
          </rPr>
          <t xml:space="preserve">
</t>
        </r>
      </text>
    </comment>
    <comment ref="K16" authorId="0" shapeId="0">
      <text>
        <r>
          <rPr>
            <b/>
            <sz val="8"/>
            <color indexed="81"/>
            <rFont val="Tahoma"/>
          </rPr>
          <t>Theoretical Capacity at Station 813 is currently 595 mmbtu.  MAOP out of 813 through the Channel is 715.</t>
        </r>
        <r>
          <rPr>
            <sz val="8"/>
            <color indexed="81"/>
            <rFont val="Tahoma"/>
          </rPr>
          <t xml:space="preserve">
</t>
        </r>
      </text>
    </comment>
    <comment ref="J17" authorId="0" shapeId="0">
      <text>
        <r>
          <rPr>
            <b/>
            <sz val="8"/>
            <color indexed="81"/>
            <rFont val="Tahoma"/>
          </rPr>
          <t xml:space="preserve">J.R. Logan 281-331-4693 ext 2022 cell 713-542-2328.  </t>
        </r>
        <r>
          <rPr>
            <sz val="8"/>
            <color indexed="81"/>
            <rFont val="Tahoma"/>
          </rPr>
          <t xml:space="preserve">
</t>
        </r>
      </text>
    </comment>
    <comment ref="J21" authorId="0" shapeId="0">
      <text>
        <r>
          <rPr>
            <b/>
            <sz val="8"/>
            <color indexed="81"/>
            <rFont val="Tahoma"/>
          </rPr>
          <t>Theoretical Capacity at station 809 is currently 528 mmbtu</t>
        </r>
        <r>
          <rPr>
            <sz val="8"/>
            <color indexed="81"/>
            <rFont val="Tahoma"/>
          </rPr>
          <t xml:space="preserve">
</t>
        </r>
      </text>
    </comment>
    <comment ref="H24" authorId="0" shapeId="0">
      <text>
        <r>
          <rPr>
            <b/>
            <sz val="8"/>
            <color indexed="81"/>
            <rFont val="Tahoma"/>
          </rPr>
          <t>Theoretical Capacity at 806 is currently 415 mmbtu  MAOP upstream to 802 is 936 lbs.  Robert Shimek Mngr 512-552-9601 cell 512-550-9651.  Hollie Ragle is @ 806</t>
        </r>
        <r>
          <rPr>
            <sz val="8"/>
            <color indexed="81"/>
            <rFont val="Tahoma"/>
          </rPr>
          <t xml:space="preserve">
</t>
        </r>
      </text>
    </comment>
    <comment ref="G26" authorId="0" shapeId="0">
      <text>
        <r>
          <rPr>
            <b/>
            <sz val="8"/>
            <color indexed="81"/>
            <rFont val="Tahoma"/>
          </rPr>
          <t>Theoretical capacity at 804 is 400 mmbtu</t>
        </r>
        <r>
          <rPr>
            <sz val="8"/>
            <color indexed="81"/>
            <rFont val="Tahoma"/>
          </rPr>
          <t xml:space="preserve">
</t>
        </r>
      </text>
    </comment>
    <comment ref="F27" authorId="0" shapeId="0">
      <text>
        <r>
          <rPr>
            <b/>
            <sz val="8"/>
            <color indexed="81"/>
            <rFont val="Tahoma"/>
          </rPr>
          <t>MAOP at 802 is 936 lbs.  Theoretical capacity is 364 mmbtu</t>
        </r>
        <r>
          <rPr>
            <sz val="8"/>
            <color indexed="81"/>
            <rFont val="Tahoma"/>
          </rPr>
          <t xml:space="preserve">
</t>
        </r>
      </text>
    </comment>
  </commentList>
</comments>
</file>

<file path=xl/comments2.xml><?xml version="1.0" encoding="utf-8"?>
<comments xmlns="http://schemas.openxmlformats.org/spreadsheetml/2006/main">
  <authors>
    <author>Garald D. Ross</author>
    <author>Stephen E. Swaim</author>
    <author>EPFS</author>
  </authors>
  <commentList>
    <comment ref="E6" authorId="0" shapeId="0">
      <text>
        <r>
          <rPr>
            <b/>
            <sz val="8"/>
            <color indexed="81"/>
            <rFont val="Tahoma"/>
          </rPr>
          <t>Measured by EXXON.  Ref: CCB-9135-3085.  Peggy 713-680-7390</t>
        </r>
        <r>
          <rPr>
            <sz val="8"/>
            <color indexed="81"/>
            <rFont val="Tahoma"/>
          </rPr>
          <t xml:space="preserve">
</t>
        </r>
      </text>
    </comment>
    <comment ref="E7" authorId="0" shapeId="0">
      <text>
        <r>
          <rPr>
            <b/>
            <sz val="8"/>
            <color indexed="81"/>
            <rFont val="Tahoma"/>
          </rPr>
          <t>Measured by South Texas.  Ref:  166310.  Ricky Rudolph 512-242-3126</t>
        </r>
        <r>
          <rPr>
            <sz val="8"/>
            <color indexed="81"/>
            <rFont val="Tahoma"/>
          </rPr>
          <t xml:space="preserve">
</t>
        </r>
      </text>
    </comment>
    <comment ref="E8" authorId="0" shapeId="0">
      <text>
        <r>
          <rPr>
            <b/>
            <sz val="8"/>
            <color indexed="81"/>
            <rFont val="Tahoma"/>
          </rPr>
          <t>Measured by Victoria.  Ref:  52-924-3007 EXXON.  Joyce Britterly 512-575-4528</t>
        </r>
        <r>
          <rPr>
            <sz val="8"/>
            <color indexed="81"/>
            <rFont val="Tahoma"/>
          </rPr>
          <t xml:space="preserve">
</t>
        </r>
      </text>
    </comment>
    <comment ref="E10" authorId="0" shapeId="0">
      <text>
        <r>
          <rPr>
            <b/>
            <sz val="8"/>
            <color indexed="81"/>
            <rFont val="Tahoma"/>
          </rPr>
          <t>Measured by Coastal Flow Meas.  Ref 267RS001,  Regina 713-477-1956, Fax 713-475-9643</t>
        </r>
        <r>
          <rPr>
            <sz val="8"/>
            <color indexed="81"/>
            <rFont val="Tahoma"/>
          </rPr>
          <t xml:space="preserve">
</t>
        </r>
      </text>
    </comment>
    <comment ref="B12" authorId="1" shapeId="0">
      <text>
        <r>
          <rPr>
            <b/>
            <sz val="8"/>
            <color indexed="81"/>
            <rFont val="Tahoma"/>
          </rPr>
          <t>Use 20837 for set-
point changes!</t>
        </r>
        <r>
          <rPr>
            <sz val="8"/>
            <color indexed="81"/>
            <rFont val="Tahoma"/>
          </rPr>
          <t xml:space="preserve">
</t>
        </r>
      </text>
    </comment>
    <comment ref="E13" authorId="0" shapeId="0">
      <text>
        <r>
          <rPr>
            <b/>
            <sz val="8"/>
            <color indexed="81"/>
            <rFont val="Tahoma"/>
          </rPr>
          <t>Measured by Duke Energy.  Ref 38250-2145.  Mary Odgen 303-605-1705, Belinda (Super) 303-605-1790</t>
        </r>
        <r>
          <rPr>
            <sz val="8"/>
            <color indexed="81"/>
            <rFont val="Tahoma"/>
          </rPr>
          <t xml:space="preserve">
</t>
        </r>
      </text>
    </comment>
    <comment ref="D28" authorId="0" shapeId="0">
      <text>
        <r>
          <rPr>
            <b/>
            <sz val="8"/>
            <color indexed="81"/>
            <rFont val="Tahoma"/>
          </rPr>
          <t xml:space="preserve"> Mark 888-204-1781.</t>
        </r>
      </text>
    </comment>
    <comment ref="E28" authorId="0" shapeId="0">
      <text>
        <r>
          <rPr>
            <b/>
            <sz val="8"/>
            <color indexed="81"/>
            <rFont val="Tahoma"/>
          </rPr>
          <t>Measured by Duke Energy.  Ref 38250-2153.  Mary Odgen 303-605-1705, Belinda (Super) 303-605-1790</t>
        </r>
        <r>
          <rPr>
            <sz val="8"/>
            <color indexed="81"/>
            <rFont val="Tahoma"/>
          </rPr>
          <t xml:space="preserve">
</t>
        </r>
      </text>
    </comment>
    <comment ref="D30" authorId="0" shapeId="0">
      <text>
        <r>
          <rPr>
            <b/>
            <sz val="8"/>
            <color indexed="81"/>
            <rFont val="Tahoma"/>
          </rPr>
          <t>Jullie Morris Scheduler 972-443-4494.</t>
        </r>
        <r>
          <rPr>
            <sz val="8"/>
            <color indexed="81"/>
            <rFont val="Tahoma"/>
          </rPr>
          <t xml:space="preserve">
</t>
        </r>
      </text>
    </comment>
    <comment ref="D31" authorId="0" shapeId="0">
      <text>
        <r>
          <rPr>
            <b/>
            <sz val="8"/>
            <color indexed="81"/>
            <rFont val="Tahoma"/>
          </rPr>
          <t>512-584-3521 ext 310.  Operator Lee Durbin.</t>
        </r>
      </text>
    </comment>
    <comment ref="E31" authorId="0" shapeId="0">
      <text>
        <r>
          <rPr>
            <b/>
            <sz val="8"/>
            <color indexed="81"/>
            <rFont val="Tahoma"/>
          </rPr>
          <t>Measured by Union Pacific.  Ref:  51-0260-4001.  Betty Shelton 817-255-6409</t>
        </r>
        <r>
          <rPr>
            <sz val="8"/>
            <color indexed="81"/>
            <rFont val="Tahoma"/>
          </rPr>
          <t xml:space="preserve">
</t>
        </r>
      </text>
    </comment>
    <comment ref="D32" authorId="0" shapeId="0">
      <text>
        <r>
          <rPr>
            <b/>
            <sz val="8"/>
            <color indexed="81"/>
            <rFont val="Tahoma"/>
          </rPr>
          <t>We pick up TGP meter 20679 for readings.  16281 is not available.</t>
        </r>
        <r>
          <rPr>
            <sz val="8"/>
            <color indexed="81"/>
            <rFont val="Tahoma"/>
          </rPr>
          <t xml:space="preserve">
</t>
        </r>
      </text>
    </comment>
    <comment ref="D34" authorId="0" shapeId="0">
      <text>
        <r>
          <rPr>
            <b/>
            <sz val="8"/>
            <color indexed="81"/>
            <rFont val="Tahoma"/>
          </rPr>
          <t>HPL's Gas Control 1-800-392-1965, 713-853-6444.  Systems Controller is Gary Hanks 713-853-6449.  Scheduling:  Charlotte Hawkins 713-853-5251</t>
        </r>
        <r>
          <rPr>
            <sz val="8"/>
            <color indexed="81"/>
            <rFont val="Tahoma"/>
          </rPr>
          <t xml:space="preserve">
</t>
        </r>
      </text>
    </comment>
    <comment ref="D36" authorId="0" shapeId="0">
      <text>
        <r>
          <rPr>
            <b/>
            <sz val="8"/>
            <color indexed="81"/>
            <rFont val="Tahoma"/>
          </rPr>
          <t>Control Romm 956-712-6645. Javier is a controller
*Israel Garza a controller (very cooperative). 
Randy Ball is over the scheduling dept. 281-293-1121
Lance Leatherwood is a scheduler/marketer 281-293-4685</t>
        </r>
        <r>
          <rPr>
            <sz val="8"/>
            <color indexed="81"/>
            <rFont val="Tahoma"/>
          </rPr>
          <t xml:space="preserve">
</t>
        </r>
      </text>
    </comment>
    <comment ref="E36" authorId="0" shapeId="0">
      <text>
        <r>
          <rPr>
            <b/>
            <sz val="8"/>
            <color indexed="81"/>
            <rFont val="Tahoma"/>
          </rPr>
          <t>Measured by Coastal Flow Meas.  Ref 196-12-008,009.  Phyllis 713-477-1956</t>
        </r>
      </text>
    </comment>
    <comment ref="D37" authorId="0" shapeId="0">
      <text>
        <r>
          <rPr>
            <b/>
            <sz val="8"/>
            <color indexed="81"/>
            <rFont val="Tahoma"/>
          </rPr>
          <t>800-292-7816 System Controllers are Ernie Ochoa &amp; Mike
Scheduler is Loraine Ibrom at 800-292-7816 ext 4314</t>
        </r>
      </text>
    </comment>
    <comment ref="E37" authorId="0" shapeId="0">
      <text>
        <r>
          <rPr>
            <b/>
            <sz val="8"/>
            <color indexed="81"/>
            <rFont val="Tahoma"/>
          </rPr>
          <t>Measured by PG&amp;E Gas Transmission.  Ref:  444023.  Michael Williams 210-528-4059</t>
        </r>
        <r>
          <rPr>
            <sz val="8"/>
            <color indexed="81"/>
            <rFont val="Tahoma"/>
          </rPr>
          <t xml:space="preserve">
</t>
        </r>
      </text>
    </comment>
    <comment ref="E38" authorId="0" shapeId="0">
      <text>
        <r>
          <rPr>
            <b/>
            <sz val="8"/>
            <color indexed="81"/>
            <rFont val="Tahoma"/>
          </rPr>
          <t>Measured by TEJAS.  Ref:  30-3151-00 Jay Avery.  Renell Hanson 713-230-6236.</t>
        </r>
        <r>
          <rPr>
            <sz val="8"/>
            <color indexed="81"/>
            <rFont val="Tahoma"/>
          </rPr>
          <t xml:space="preserve">
</t>
        </r>
      </text>
    </comment>
    <comment ref="E39" authorId="0" shapeId="0">
      <text>
        <r>
          <rPr>
            <b/>
            <sz val="8"/>
            <color indexed="81"/>
            <rFont val="Tahoma"/>
          </rPr>
          <t>Measured by TEJAS.  Ref:  30-3151-00 Jay Avery.  Renell Hanson 713-230-6236.</t>
        </r>
        <r>
          <rPr>
            <sz val="8"/>
            <color indexed="81"/>
            <rFont val="Tahoma"/>
          </rPr>
          <t xml:space="preserve">
</t>
        </r>
      </text>
    </comment>
    <comment ref="E40" authorId="0" shapeId="0">
      <text>
        <r>
          <rPr>
            <b/>
            <sz val="8"/>
            <color indexed="81"/>
            <rFont val="Tahoma"/>
          </rPr>
          <t>Measured by Bryancy Bromley.  Ref 133004.  J.L. Davis, Pat Ferrero 512-241-3705, Gary Stain 915-694-6000</t>
        </r>
        <r>
          <rPr>
            <sz val="8"/>
            <color indexed="81"/>
            <rFont val="Tahoma"/>
          </rPr>
          <t xml:space="preserve">
</t>
        </r>
      </text>
    </comment>
    <comment ref="E42" authorId="0" shapeId="0">
      <text>
        <r>
          <rPr>
            <b/>
            <sz val="8"/>
            <color indexed="81"/>
            <rFont val="Tahoma"/>
          </rPr>
          <t>Measured by Natural Gas Meas.  Ref:  0462-61005-00.  Joe Haveka 512-884-2901, 713-209-2453</t>
        </r>
        <r>
          <rPr>
            <sz val="8"/>
            <color indexed="81"/>
            <rFont val="Tahoma"/>
          </rPr>
          <t xml:space="preserve">
</t>
        </r>
      </text>
    </comment>
    <comment ref="E43" authorId="0" shapeId="0">
      <text>
        <r>
          <rPr>
            <b/>
            <sz val="8"/>
            <color indexed="81"/>
            <rFont val="Tahoma"/>
          </rPr>
          <t>Measured by Natural Gas Meas.  Ref:  0462-61005-00.  Joe Haveka 512-884-2901, 713-209-2453</t>
        </r>
        <r>
          <rPr>
            <sz val="8"/>
            <color indexed="81"/>
            <rFont val="Tahoma"/>
          </rPr>
          <t xml:space="preserve">
</t>
        </r>
      </text>
    </comment>
    <comment ref="E53" authorId="0" shapeId="0">
      <text>
        <r>
          <rPr>
            <b/>
            <sz val="8"/>
            <color indexed="81"/>
            <rFont val="Tahoma"/>
          </rPr>
          <t>Measured by Abraxas.  Ref 38020-3004.  Tommy Pscencik 512-364-1173</t>
        </r>
        <r>
          <rPr>
            <sz val="8"/>
            <color indexed="81"/>
            <rFont val="Tahoma"/>
          </rPr>
          <t xml:space="preserve">
</t>
        </r>
      </text>
    </comment>
    <comment ref="E54" authorId="0" shapeId="0">
      <text>
        <r>
          <rPr>
            <b/>
            <sz val="8"/>
            <color indexed="81"/>
            <rFont val="Tahoma"/>
          </rPr>
          <t>Measured by Natural Gas Meas.  REF: 0462-61006-00.  Joe Haveka 512-884-2901, 713-209-2453</t>
        </r>
        <r>
          <rPr>
            <sz val="8"/>
            <color indexed="81"/>
            <rFont val="Tahoma"/>
          </rPr>
          <t xml:space="preserve">
</t>
        </r>
      </text>
    </comment>
    <comment ref="E62" authorId="0" shapeId="0">
      <text>
        <r>
          <rPr>
            <b/>
            <sz val="8"/>
            <color indexed="81"/>
            <rFont val="Tahoma"/>
          </rPr>
          <t>Measured by Copano Field Svcs.  Ref 700-050.  Carolyn 713-621-9547, Fax 713-621-9345, Jerry 713-621-9547</t>
        </r>
        <r>
          <rPr>
            <sz val="8"/>
            <color indexed="81"/>
            <rFont val="Tahoma"/>
          </rPr>
          <t xml:space="preserve">
</t>
        </r>
      </text>
    </comment>
    <comment ref="E63" authorId="0" shapeId="0">
      <text>
        <r>
          <rPr>
            <b/>
            <sz val="8"/>
            <color indexed="81"/>
            <rFont val="Tahoma"/>
          </rPr>
          <t>Measured by Copano Field Svcs.  Ref 700-070.  Carolyn 713-621-9547, Fax 713-621-9345, Jerry 713-621-9547</t>
        </r>
        <r>
          <rPr>
            <sz val="8"/>
            <color indexed="81"/>
            <rFont val="Tahoma"/>
          </rPr>
          <t xml:space="preserve">
</t>
        </r>
      </text>
    </comment>
    <comment ref="E71" authorId="0" shapeId="0">
      <text>
        <r>
          <rPr>
            <b/>
            <sz val="8"/>
            <color indexed="81"/>
            <rFont val="Tahoma"/>
          </rPr>
          <t>Measured by EPFS.  REF MILSP-TCIG 1 TOMCT.  TPC get volumes from EZ</t>
        </r>
      </text>
    </comment>
    <comment ref="E74" authorId="0" shapeId="0">
      <text>
        <r>
          <rPr>
            <b/>
            <sz val="8"/>
            <color indexed="81"/>
            <rFont val="Tahoma"/>
          </rPr>
          <t>Measured by South Texas.  Ref:  ES-02.  Patsy Griffin 512-242-3126</t>
        </r>
        <r>
          <rPr>
            <sz val="8"/>
            <color indexed="81"/>
            <rFont val="Tahoma"/>
          </rPr>
          <t xml:space="preserve">
</t>
        </r>
      </text>
    </comment>
    <comment ref="D77" authorId="0" shapeId="0">
      <text>
        <r>
          <rPr>
            <b/>
            <sz val="8"/>
            <color indexed="81"/>
            <rFont val="Tahoma"/>
          </rPr>
          <t>Larry Carl 512-987-8922 is the buyer for Point Comfort plant
They have 6 GE F7's
supplied by HPL, Channel, Velero, Delhi, Texas Energy, and Gulf Coast
they swing to us on pressure control.</t>
        </r>
        <r>
          <rPr>
            <sz val="8"/>
            <color indexed="81"/>
            <rFont val="Tahoma"/>
          </rPr>
          <t xml:space="preserve">
</t>
        </r>
      </text>
    </comment>
    <comment ref="E84" authorId="0" shapeId="0">
      <text>
        <r>
          <rPr>
            <sz val="8"/>
            <color indexed="81"/>
            <rFont val="Tahoma"/>
          </rPr>
          <t xml:space="preserve">Measured by Victoria.  Ref:  0351-01-3201-001 PI Energy, Joyce Britterly 512-575-4528
</t>
        </r>
      </text>
    </comment>
    <comment ref="E88" authorId="0" shapeId="0">
      <text>
        <r>
          <rPr>
            <b/>
            <sz val="8"/>
            <color indexed="81"/>
            <rFont val="Tahoma"/>
          </rPr>
          <t>Measure by Arrow Measurement.  Ref 2-2029 Station 5650.  Genie 918-749-7772</t>
        </r>
        <r>
          <rPr>
            <sz val="8"/>
            <color indexed="81"/>
            <rFont val="Tahoma"/>
          </rPr>
          <t xml:space="preserve">
</t>
        </r>
      </text>
    </comment>
    <comment ref="G90" authorId="0" shapeId="0">
      <text>
        <r>
          <rPr>
            <b/>
            <sz val="8"/>
            <color indexed="81"/>
            <rFont val="Tahoma"/>
          </rPr>
          <t>HPL does not supply a BTU with this volume.  Using BTU from Seahawk Blessing for calcs.</t>
        </r>
        <r>
          <rPr>
            <sz val="8"/>
            <color indexed="81"/>
            <rFont val="Tahoma"/>
          </rPr>
          <t xml:space="preserve">
</t>
        </r>
      </text>
    </comment>
    <comment ref="D95" authorId="0" shapeId="0">
      <text>
        <r>
          <rPr>
            <b/>
            <sz val="8"/>
            <color indexed="81"/>
            <rFont val="Tahoma"/>
          </rPr>
          <t>Jullie Morris Scheduler 972-443-4494.</t>
        </r>
        <r>
          <rPr>
            <sz val="8"/>
            <color indexed="81"/>
            <rFont val="Tahoma"/>
          </rPr>
          <t xml:space="preserve">
</t>
        </r>
      </text>
    </comment>
    <comment ref="D97" authorId="0" shapeId="0">
      <text>
        <r>
          <rPr>
            <b/>
            <sz val="8"/>
            <color indexed="81"/>
            <rFont val="Tahoma"/>
          </rPr>
          <t>Jim Kelly 713-215-2924  and Paula Stevens 713-215-4041 handle scheduling for the Markham delivery.
Rich Truxell is the lead controller
Transco Markham is operated by Williams Field Services</t>
        </r>
      </text>
    </comment>
    <comment ref="E97" authorId="0" shapeId="0">
      <text>
        <r>
          <rPr>
            <b/>
            <sz val="8"/>
            <color indexed="81"/>
            <rFont val="Tahoma"/>
          </rPr>
          <t>Measured by TRANSCO.  Ref 4407.  800-248-0404, Ann Cox 713-215-4325, Bob Manz 713-215-2667</t>
        </r>
        <r>
          <rPr>
            <sz val="8"/>
            <color indexed="81"/>
            <rFont val="Tahoma"/>
          </rPr>
          <t xml:space="preserve">
</t>
        </r>
      </text>
    </comment>
    <comment ref="E102" authorId="0" shapeId="0">
      <text>
        <r>
          <rPr>
            <b/>
            <sz val="8"/>
            <color indexed="81"/>
            <rFont val="Tahoma"/>
          </rPr>
          <t>Measured by HILCORP ENERGY.  Felton Reubin 713-209-2453</t>
        </r>
        <r>
          <rPr>
            <sz val="8"/>
            <color indexed="81"/>
            <rFont val="Tahoma"/>
          </rPr>
          <t xml:space="preserve">
</t>
        </r>
      </text>
    </comment>
    <comment ref="H112" authorId="2" shapeId="0">
      <text>
        <r>
          <rPr>
            <sz val="8"/>
            <color indexed="81"/>
            <rFont val="Tahoma"/>
          </rPr>
          <t>26092 Last reading: 09/26 08:52</t>
        </r>
      </text>
    </comment>
    <comment ref="D114" authorId="0" shapeId="0">
      <text>
        <r>
          <rPr>
            <b/>
            <sz val="8"/>
            <color indexed="81"/>
            <rFont val="Tahoma"/>
          </rPr>
          <t>J.R. Logan is over Sta 812.  281-331-4693 ext 2022 cell 713-542-2328.  Larry Jaquet is the lead over this location; cell 713-828-6312, pager 713-648-6832. Dows Control Room 713-978-3070,  Micki Carringone Lead 713-978-3046
Much of our supply from Dow comes via Oasis Pipeline.  John Lopez works for Oasis 713-758-9850.</t>
        </r>
        <r>
          <rPr>
            <sz val="8"/>
            <color indexed="81"/>
            <rFont val="Tahoma"/>
          </rPr>
          <t xml:space="preserve">
</t>
        </r>
      </text>
    </comment>
    <comment ref="H115" authorId="2" shapeId="0">
      <text>
        <r>
          <rPr>
            <sz val="8"/>
            <color indexed="81"/>
            <rFont val="Tahoma"/>
          </rPr>
          <t>26077 Last reading: 09/26 08:52</t>
        </r>
      </text>
    </comment>
    <comment ref="E116" authorId="0" shapeId="0">
      <text>
        <r>
          <rPr>
            <b/>
            <sz val="8"/>
            <color indexed="81"/>
            <rFont val="Tahoma"/>
          </rPr>
          <t>Measured by Natural Gas Measurement.  REF:  Experanz Arcola Dehy, 0462-61004-00.  Joe Haveka 512-884-2901, 713-209-2453</t>
        </r>
      </text>
    </comment>
    <comment ref="D123" authorId="0" shapeId="0">
      <text>
        <r>
          <rPr>
            <b/>
            <sz val="8"/>
            <color indexed="81"/>
            <rFont val="Tahoma"/>
          </rPr>
          <t>Exxon Mobil Gas Control 713-656-1702, Caroll Nichols</t>
        </r>
      </text>
    </comment>
    <comment ref="D135" authorId="0" shapeId="0">
      <text>
        <r>
          <rPr>
            <b/>
            <sz val="8"/>
            <color indexed="81"/>
            <rFont val="Tahoma"/>
          </rPr>
          <t>Jullie Morris Scheduler 972-443-4494.</t>
        </r>
        <r>
          <rPr>
            <sz val="8"/>
            <color indexed="81"/>
            <rFont val="Tahoma"/>
          </rPr>
          <t xml:space="preserve">
</t>
        </r>
      </text>
    </comment>
    <comment ref="D143" authorId="0" shapeId="0">
      <text>
        <r>
          <rPr>
            <b/>
            <sz val="8"/>
            <color indexed="81"/>
            <rFont val="Tahoma"/>
          </rPr>
          <t>713-767-4288.  Ed Hass is Plt Mngr 713-767-4272.  Operator is Robert Crosby.  Sara Goerner is scheduler w/NGC 713-767-8459</t>
        </r>
        <r>
          <rPr>
            <sz val="8"/>
            <color indexed="81"/>
            <rFont val="Tahoma"/>
          </rPr>
          <t xml:space="preserve">
</t>
        </r>
      </text>
    </comment>
    <comment ref="E145" authorId="0" shapeId="0">
      <text>
        <r>
          <rPr>
            <b/>
            <sz val="8"/>
            <color indexed="81"/>
            <rFont val="Tahoma"/>
          </rPr>
          <t>Measured by KN ENERGY. REF 35065.  Sarah Ford 303-763-3631, Leann Leger 303-763-3696</t>
        </r>
        <r>
          <rPr>
            <sz val="8"/>
            <color indexed="81"/>
            <rFont val="Tahoma"/>
          </rPr>
          <t xml:space="preserve">
</t>
        </r>
      </text>
    </comment>
    <comment ref="D147" authorId="0" shapeId="0">
      <text>
        <r>
          <rPr>
            <b/>
            <sz val="8"/>
            <color indexed="81"/>
            <rFont val="Tahoma"/>
          </rPr>
          <t>Pressure Control point</t>
        </r>
        <r>
          <rPr>
            <sz val="8"/>
            <color indexed="81"/>
            <rFont val="Tahoma"/>
          </rPr>
          <t xml:space="preserve">
</t>
        </r>
      </text>
    </comment>
    <comment ref="E153" authorId="0" shapeId="0">
      <text>
        <r>
          <rPr>
            <b/>
            <sz val="8"/>
            <color indexed="81"/>
            <rFont val="Tahoma"/>
          </rPr>
          <t>Measured by Covenant Energy Corp.  Wayne Brinton 713-652-1261, pager 713-260-2953</t>
        </r>
        <r>
          <rPr>
            <sz val="8"/>
            <color indexed="81"/>
            <rFont val="Tahoma"/>
          </rPr>
          <t xml:space="preserve">
</t>
        </r>
      </text>
    </comment>
    <comment ref="H153" authorId="2" shapeId="0">
      <text>
        <r>
          <rPr>
            <sz val="8"/>
            <color indexed="81"/>
            <rFont val="Tahoma"/>
          </rPr>
          <t>26189 Last reading: 09/27 05:30</t>
        </r>
      </text>
    </comment>
    <comment ref="D169" authorId="0" shapeId="0">
      <text>
        <r>
          <rPr>
            <b/>
            <sz val="8"/>
            <color indexed="81"/>
            <rFont val="Tahoma"/>
          </rPr>
          <t>Current EPEM contracted volumes are:  May-Oct 70mm/d, Hourly Swint 40-100, Daily Swing +/- 5% of 70mm,  Instantaneous rate should not exceed 100mm.
Nov-Apr
25mm/d.  Hourly Swing: 0-32mm, Daily +/- 5%.</t>
        </r>
      </text>
    </comment>
    <comment ref="E178" authorId="0" shapeId="0">
      <text>
        <r>
          <rPr>
            <b/>
            <sz val="8"/>
            <color indexed="81"/>
            <rFont val="Tahoma"/>
          </rPr>
          <t>Measured by Southern Flow Co. Houston.  Ref:  9575-01-1382-012.  Teresa 713-527-9591</t>
        </r>
        <r>
          <rPr>
            <sz val="8"/>
            <color indexed="81"/>
            <rFont val="Tahoma"/>
          </rPr>
          <t xml:space="preserve">
</t>
        </r>
      </text>
    </comment>
    <comment ref="D179" authorId="0" shapeId="0">
      <text>
        <r>
          <rPr>
            <b/>
            <sz val="8"/>
            <color indexed="81"/>
            <rFont val="Tahoma"/>
          </rPr>
          <t>David Lowe 281-597-6766
Rose Litvik 281-597-6785
Plant 409-336-8762
We have firm capacity to withdraw up to 75mm.  60mm at our meter and the remainder at TETCO or NGPL.  We are charged 1.6 cents per m over firm.  Per David Lowe.  We have firm capacity to inject up to 35mm per day.  Our total storage capacity in Moss Bluff is 500mm.  EPEM also has storage in Moss Bluff seperate from ours.</t>
        </r>
      </text>
    </comment>
    <comment ref="E179" authorId="0" shapeId="0">
      <text>
        <r>
          <rPr>
            <b/>
            <sz val="8"/>
            <color indexed="81"/>
            <rFont val="Tahoma"/>
          </rPr>
          <t>Measured by MARKET HUB PARTNERS.  David Loe 281-597-6770, Fax 281-597-6799, Monty Mayfield (meas tech) 409-336-8761</t>
        </r>
        <r>
          <rPr>
            <sz val="8"/>
            <color indexed="81"/>
            <rFont val="Tahoma"/>
          </rPr>
          <t xml:space="preserve">
</t>
        </r>
      </text>
    </comment>
    <comment ref="E180" authorId="0" shapeId="0">
      <text>
        <r>
          <rPr>
            <b/>
            <sz val="8"/>
            <color indexed="81"/>
            <rFont val="Tahoma"/>
          </rPr>
          <t>Measured by MARKET HUB PARTNERS.  David Loe 281-597-6770, Fax 281-597-6799, Monty Mayfield (meas tech) 409-336-8761</t>
        </r>
        <r>
          <rPr>
            <sz val="8"/>
            <color indexed="81"/>
            <rFont val="Tahoma"/>
          </rPr>
          <t xml:space="preserve">
</t>
        </r>
      </text>
    </comment>
    <comment ref="E187" authorId="0" shapeId="0">
      <text>
        <r>
          <rPr>
            <b/>
            <sz val="8"/>
            <color indexed="81"/>
            <rFont val="Tahoma"/>
          </rPr>
          <t>Measured by Natural Gas P/L Co.  Ref:  54601, 54602, 54603, KN ENERGY Moss Bluff Exchange.  Donna Geithman 303-763-3307, Brent Carol 303-914-4861</t>
        </r>
        <r>
          <rPr>
            <sz val="8"/>
            <color indexed="81"/>
            <rFont val="Tahoma"/>
          </rPr>
          <t xml:space="preserve">
</t>
        </r>
      </text>
    </comment>
    <comment ref="H192" authorId="2" shapeId="0">
      <text>
        <r>
          <rPr>
            <sz val="8"/>
            <color indexed="81"/>
            <rFont val="Tahoma"/>
          </rPr>
          <t>26055 Last reading: 09/26 11:26</t>
        </r>
      </text>
    </comment>
    <comment ref="E205" authorId="0" shapeId="0">
      <text>
        <r>
          <rPr>
            <b/>
            <sz val="8"/>
            <color indexed="81"/>
            <rFont val="Tahoma"/>
          </rPr>
          <t>Measured by ENTEX.  Ref: 400071, 9751491 SIENNA PLANTATION.  Gas properties from HPL meter 26126.  Hope Artze 713-207-5923, Astredia Newsome 713-207-5930</t>
        </r>
        <r>
          <rPr>
            <sz val="8"/>
            <color indexed="81"/>
            <rFont val="Tahoma"/>
          </rPr>
          <t xml:space="preserve">
</t>
        </r>
      </text>
    </comment>
    <comment ref="E206" authorId="0" shapeId="0">
      <text>
        <r>
          <rPr>
            <b/>
            <sz val="8"/>
            <color indexed="81"/>
            <rFont val="Tahoma"/>
          </rPr>
          <t>Measured by PG&amp;E Gas Transmission.  Ref:  594079.  Irene Lozano 210-528-4067</t>
        </r>
        <r>
          <rPr>
            <sz val="8"/>
            <color indexed="81"/>
            <rFont val="Tahoma"/>
          </rPr>
          <t xml:space="preserve">
</t>
        </r>
      </text>
    </comment>
  </commentList>
</comments>
</file>

<file path=xl/sharedStrings.xml><?xml version="1.0" encoding="utf-8"?>
<sst xmlns="http://schemas.openxmlformats.org/spreadsheetml/2006/main" count="947" uniqueCount="416">
  <si>
    <t xml:space="preserve">EPFS Moss Bluff starting balance =    </t>
  </si>
  <si>
    <t>CIG/DOW Balance</t>
  </si>
  <si>
    <t>DT SCH</t>
  </si>
  <si>
    <t>DT VOL</t>
  </si>
  <si>
    <t xml:space="preserve">Flow Date:  </t>
  </si>
  <si>
    <t>DT BAL</t>
  </si>
  <si>
    <t xml:space="preserve">Reported at:  </t>
  </si>
  <si>
    <t>TTL Act</t>
  </si>
  <si>
    <t>TTL Sch</t>
  </si>
  <si>
    <t>CIG Act</t>
  </si>
  <si>
    <t>CIG Sch</t>
  </si>
  <si>
    <t>HPL Act</t>
  </si>
  <si>
    <t>HPL Sch</t>
  </si>
  <si>
    <t>Received</t>
  </si>
  <si>
    <t>Delivered</t>
  </si>
  <si>
    <t>Balance</t>
  </si>
  <si>
    <t>(*Calculated Line Pack Change)</t>
  </si>
  <si>
    <t>Net UAF</t>
  </si>
  <si>
    <t>Current Line Pack</t>
  </si>
  <si>
    <t>MBBAL</t>
  </si>
  <si>
    <t>ActMB</t>
  </si>
  <si>
    <t>SchMB</t>
  </si>
  <si>
    <t>SchTGPAD</t>
  </si>
  <si>
    <t>ActTGPAD</t>
  </si>
  <si>
    <t>SchHoeSt</t>
  </si>
  <si>
    <t>ActHoeSt</t>
  </si>
  <si>
    <t>schHPLAD</t>
  </si>
  <si>
    <t>actHPLAD</t>
  </si>
  <si>
    <t>schHPLGreg</t>
  </si>
  <si>
    <t>actHPLGreg</t>
  </si>
  <si>
    <t>schSeahawk</t>
  </si>
  <si>
    <t>actSeahawk</t>
  </si>
  <si>
    <t>schcedar</t>
  </si>
  <si>
    <t>actcedar</t>
  </si>
  <si>
    <t>schTGPSAB</t>
  </si>
  <si>
    <t>actTGPSAB</t>
  </si>
  <si>
    <t>schSCTTL</t>
  </si>
  <si>
    <t>actSCTTL</t>
  </si>
  <si>
    <t>Act</t>
  </si>
  <si>
    <t>Sch</t>
  </si>
  <si>
    <t>HPL - Red Bluff</t>
  </si>
  <si>
    <t>Capital - Bayport</t>
  </si>
  <si>
    <t>Hoechst - Bayport - HPL</t>
  </si>
  <si>
    <t>HPL - Bayport System</t>
  </si>
  <si>
    <t>Enron - Methanol Plant</t>
  </si>
  <si>
    <t xml:space="preserve">HPL - La Porte </t>
  </si>
  <si>
    <t>HPL - La Porte</t>
  </si>
  <si>
    <t>Enron - MTBE Plant</t>
  </si>
  <si>
    <t>Throughput Volume Summary</t>
  </si>
  <si>
    <t>Flow Date:</t>
  </si>
  <si>
    <t>Reported at:</t>
  </si>
  <si>
    <t>Current LPack</t>
  </si>
  <si>
    <t>LPack Change</t>
  </si>
  <si>
    <t>TTL VOL</t>
  </si>
  <si>
    <t>TTL SCH</t>
  </si>
  <si>
    <t>TTL IMB</t>
  </si>
  <si>
    <t>HPL VOL</t>
  </si>
  <si>
    <t>HPL SCH</t>
  </si>
  <si>
    <t>HPL IMB</t>
  </si>
  <si>
    <t>CIG VOL</t>
  </si>
  <si>
    <t>CIG SCH</t>
  </si>
  <si>
    <t>CIG IMB</t>
  </si>
  <si>
    <t>Kennedy Ranch</t>
  </si>
  <si>
    <t>South Texas</t>
  </si>
  <si>
    <t>800 to 802 (364/182)</t>
  </si>
  <si>
    <t>802 to 804 (400/200)</t>
  </si>
  <si>
    <t>804 to 806 (416/208</t>
  </si>
  <si>
    <t>806 to 809 (528/264)</t>
  </si>
  <si>
    <t>809 to 812-1A</t>
  </si>
  <si>
    <t>812-1A to 813 (596/298)</t>
  </si>
  <si>
    <t>813 to 814-1A</t>
  </si>
  <si>
    <t>814-1A to 820F</t>
  </si>
  <si>
    <t>TTL Line Pack</t>
  </si>
  <si>
    <t>Location</t>
  </si>
  <si>
    <t>Actual</t>
  </si>
  <si>
    <t>MIN</t>
  </si>
  <si>
    <t>MAX</t>
  </si>
  <si>
    <t>Suct 802</t>
  </si>
  <si>
    <t>Disch 802</t>
  </si>
  <si>
    <t>Suct 804</t>
  </si>
  <si>
    <t>Disch 804</t>
  </si>
  <si>
    <t>Suct 806</t>
  </si>
  <si>
    <t>Disch 806</t>
  </si>
  <si>
    <t>Bless</t>
  </si>
  <si>
    <t>Suct 809</t>
  </si>
  <si>
    <t>Disch 809</t>
  </si>
  <si>
    <t>Suct 8121A</t>
  </si>
  <si>
    <t>Disch 8121A</t>
  </si>
  <si>
    <t>Disch 812</t>
  </si>
  <si>
    <t>Total Accumulated Volumes(mmbtu)</t>
  </si>
  <si>
    <t>Total System</t>
  </si>
  <si>
    <t>Houston Pipeline</t>
  </si>
  <si>
    <t>Channel Industries</t>
  </si>
  <si>
    <t>Sec</t>
  </si>
  <si>
    <t>Meter</t>
  </si>
  <si>
    <t>HPL Mtr</t>
  </si>
  <si>
    <t>Meas Op</t>
  </si>
  <si>
    <t>Alloc</t>
  </si>
  <si>
    <t>BTU</t>
  </si>
  <si>
    <t>Err</t>
  </si>
  <si>
    <t>TTL Disp</t>
  </si>
  <si>
    <t>TTL System Imb</t>
  </si>
  <si>
    <t>TTL Act Thru Put</t>
  </si>
  <si>
    <t>TTL Disp Thru Put</t>
  </si>
  <si>
    <t>HPL Disp</t>
  </si>
  <si>
    <t>HPL Imb</t>
  </si>
  <si>
    <t>HPL Act Thru Put</t>
  </si>
  <si>
    <t>HPL Disp Thru Put</t>
  </si>
  <si>
    <t>CIG Disp</t>
  </si>
  <si>
    <t>CIG Imb</t>
  </si>
  <si>
    <t>CIG Act Thru Put</t>
  </si>
  <si>
    <t>CIG Disp Thru Put</t>
  </si>
  <si>
    <t>Shipper Alloc</t>
  </si>
  <si>
    <t>OBA Alloc</t>
  </si>
  <si>
    <t>KR</t>
  </si>
  <si>
    <t>Exxon - El Paistle</t>
  </si>
  <si>
    <t>CIG</t>
  </si>
  <si>
    <t>Exxon - King Ranch Plant</t>
  </si>
  <si>
    <t>O</t>
  </si>
  <si>
    <t>Lamar - Potrero Lorena Sales</t>
  </si>
  <si>
    <t>Exxon - Potrero Farris</t>
  </si>
  <si>
    <t>Danex - El Anzuelo</t>
  </si>
  <si>
    <t>Marwell - Rupp #3</t>
  </si>
  <si>
    <t>Vintage - La Gloria Field</t>
  </si>
  <si>
    <t>TGP - Falfurrias</t>
  </si>
  <si>
    <t>Duke - La Gloria Plant</t>
  </si>
  <si>
    <t>Duke - La Gloria Bypass</t>
  </si>
  <si>
    <t>WM</t>
  </si>
  <si>
    <t>Dominion - McMullen Transport</t>
  </si>
  <si>
    <t>Swift Energy - Green Branch Dehy.</t>
  </si>
  <si>
    <t>Southwest Roy. - Piedre Lumbre Dehy.</t>
  </si>
  <si>
    <t>Fair Ralph E - Gov. Well Dehy.</t>
  </si>
  <si>
    <t>Hurd Ent. - Suemaur Wendt 3 Dehy.</t>
  </si>
  <si>
    <t>Taurus - Seven Sisters</t>
  </si>
  <si>
    <t>Mueller Eng. - Northeast Loma Novia Dehy.</t>
  </si>
  <si>
    <t>Hurd Ent. - Yorba 1 Dehy.</t>
  </si>
  <si>
    <t>Texas Safari - Alice 1 Dehy.</t>
  </si>
  <si>
    <t>Shoreline - Cook #1</t>
  </si>
  <si>
    <t>Laguna - Magnolia City Dehy.</t>
  </si>
  <si>
    <t>TGP - West Magnolia City</t>
  </si>
  <si>
    <t>ST</t>
  </si>
  <si>
    <t>Duke - La Gloria Transport</t>
  </si>
  <si>
    <t>OBA</t>
  </si>
  <si>
    <t>Hoechst - Premont</t>
  </si>
  <si>
    <t>Hoechst - Kingsville</t>
  </si>
  <si>
    <t>UPRC - Gulf Plains</t>
  </si>
  <si>
    <t>TGP - Aqua Dulce Receipts</t>
  </si>
  <si>
    <t>TGP - Aqua Dulce Deliveries</t>
  </si>
  <si>
    <t>HPL - Agua Dulce Receipts</t>
  </si>
  <si>
    <t>HPL</t>
  </si>
  <si>
    <t>HPL - Agua Dulce Deliveries</t>
  </si>
  <si>
    <t>Lobo - Channel Agua Dulce</t>
  </si>
  <si>
    <t>PG &amp; E Valero - Agua Dulce</t>
  </si>
  <si>
    <t>Tejas - Robstown Receipts</t>
  </si>
  <si>
    <t>Tejas - Robstown Deliveries</t>
  </si>
  <si>
    <t>Delhi - Saxet</t>
  </si>
  <si>
    <t>TP</t>
  </si>
  <si>
    <t>Pena - Banquette</t>
  </si>
  <si>
    <t>Dominion - Banquette Transport</t>
  </si>
  <si>
    <t>Dominion - Riverside</t>
  </si>
  <si>
    <t>NGPL - Riverside</t>
  </si>
  <si>
    <t>Tejas - Calallen</t>
  </si>
  <si>
    <t>Equistar - Corpus Christi</t>
  </si>
  <si>
    <t>CP &amp; L - Lon C. Hill</t>
  </si>
  <si>
    <t>Tejas - Riverside</t>
  </si>
  <si>
    <t>PG &amp; E - Cardwell</t>
  </si>
  <si>
    <t>HPL - Odem</t>
  </si>
  <si>
    <t>Florida - Sinton</t>
  </si>
  <si>
    <t>PG &amp; E - Taft Transport</t>
  </si>
  <si>
    <t>Abraxas - White Point</t>
  </si>
  <si>
    <t>Dominion - Northwest Taft</t>
  </si>
  <si>
    <t>Houston American Petroleum</t>
  </si>
  <si>
    <t>W L Roots - W L Roots</t>
  </si>
  <si>
    <t>Dinero - East Plymouth Sales</t>
  </si>
  <si>
    <t>HPL - Gregory Deliveries</t>
  </si>
  <si>
    <t>HPL - Gregory Receipts</t>
  </si>
  <si>
    <t>Koch - Bayside</t>
  </si>
  <si>
    <t>Texana - Bonnie View</t>
  </si>
  <si>
    <t>Copano - Copano Bay</t>
  </si>
  <si>
    <t>HPL - Refugio</t>
  </si>
  <si>
    <t>HPL - San Antonio Bay</t>
  </si>
  <si>
    <t>Northern Natural - Tivoli</t>
  </si>
  <si>
    <t>Seadrift - Seadrift Plant</t>
  </si>
  <si>
    <t>Union Carbide - Seadrift Plant</t>
  </si>
  <si>
    <t>EPFS -Tomcat MILSP</t>
  </si>
  <si>
    <t>Entex - Port Lavaca East</t>
  </si>
  <si>
    <t>Entex - Port Lavaca West</t>
  </si>
  <si>
    <t>Castillo - East Sheriff</t>
  </si>
  <si>
    <t>Formosa - Co-Gen</t>
  </si>
  <si>
    <t>Formosa - Low Pressure</t>
  </si>
  <si>
    <t>Formosa - Point Comfort</t>
  </si>
  <si>
    <t>Formosa - Plant</t>
  </si>
  <si>
    <t>Alcoa - Point Comfort</t>
  </si>
  <si>
    <t>CP &amp; L - Joslin Deliveries</t>
  </si>
  <si>
    <t>HPL - Swan Lake Deliveries</t>
  </si>
  <si>
    <t>Formosa - Traylor</t>
  </si>
  <si>
    <t>SAB - Maude Traylor</t>
  </si>
  <si>
    <t>PIE - Carancuhua Bay</t>
  </si>
  <si>
    <t>Peterson Grass Farms</t>
  </si>
  <si>
    <t>Entex - Palacios City</t>
  </si>
  <si>
    <t>Farmers - Blessing #1</t>
  </si>
  <si>
    <t>Sue Ann - Blessing Field</t>
  </si>
  <si>
    <t>Entex - Blessing City Gate</t>
  </si>
  <si>
    <t>EPFS -El Gordo Blessing</t>
  </si>
  <si>
    <t>EPFS - Seahawk Blessing</t>
  </si>
  <si>
    <t>Farmers - Blessing #2</t>
  </si>
  <si>
    <t>Elerida - Southwest Pheasant</t>
  </si>
  <si>
    <t>Markham - Markham City Gate</t>
  </si>
  <si>
    <t>Hoechst - Bay City Plant</t>
  </si>
  <si>
    <t>Moltem - Bay City Deliveries</t>
  </si>
  <si>
    <t>Transco - Markham</t>
  </si>
  <si>
    <t>RBWI - Bay City</t>
  </si>
  <si>
    <t>Florida Gas  - Magnet Withers</t>
  </si>
  <si>
    <t>EOC-North Bay City</t>
  </si>
  <si>
    <t>HPL - Pledger Texas</t>
  </si>
  <si>
    <t>Amoco - Old Ocean</t>
  </si>
  <si>
    <t>Phillips - Sweeny Plant</t>
  </si>
  <si>
    <t>Penzoil -  Pledger</t>
  </si>
  <si>
    <t>American Explorer - Pledger</t>
  </si>
  <si>
    <t>HPL - Pledger New Gulf</t>
  </si>
  <si>
    <t>MRF - Milseka Rice Farm</t>
  </si>
  <si>
    <t>GRF - Gless Rice Farms</t>
  </si>
  <si>
    <t>SAGE Energy - Lochridge Field</t>
  </si>
  <si>
    <t>Entex - Ramsey Unit</t>
  </si>
  <si>
    <t>HPL - Rosharon City Gate</t>
  </si>
  <si>
    <t>DOW DT - Iowa Colony</t>
  </si>
  <si>
    <t>HPL - Manville</t>
  </si>
  <si>
    <t>DOW - Julliff</t>
  </si>
  <si>
    <t>Dominion Pipeline - Arcola Field</t>
  </si>
  <si>
    <t>PG&amp;E - Alvin Deliveries</t>
  </si>
  <si>
    <t>HPL - Pearland Deliveries</t>
  </si>
  <si>
    <t>HPL - Hastings</t>
  </si>
  <si>
    <t>Tejas - Hastings</t>
  </si>
  <si>
    <t>HPL - Friendswood City Gate</t>
  </si>
  <si>
    <t>Exxon Mobil - Webster Dehy</t>
  </si>
  <si>
    <t>TPC - Genoa Deliveries</t>
  </si>
  <si>
    <t>Entex - Clearlake City#2</t>
  </si>
  <si>
    <t>Exxon - Clearlake</t>
  </si>
  <si>
    <t>PG&amp;E - Red Bluff</t>
  </si>
  <si>
    <t>HL&amp;P - Red Bluff</t>
  </si>
  <si>
    <t>Oxy Chemical - Bayport</t>
  </si>
  <si>
    <t>Zeneca - Bayport</t>
  </si>
  <si>
    <t>M G Industries - Bayport</t>
  </si>
  <si>
    <t>Hoechst - Bayport - CIG</t>
  </si>
  <si>
    <t>Goodyear - Bayport</t>
  </si>
  <si>
    <t>Rohm &amp;Haas - Bayport</t>
  </si>
  <si>
    <t>Rohm &amp; Hass - Bayport</t>
  </si>
  <si>
    <t>HPL - La Porte City Gate</t>
  </si>
  <si>
    <t>Laurel - La Porte</t>
  </si>
  <si>
    <t>Air Products - La Porte</t>
  </si>
  <si>
    <t>Quantum (Linde Gas) - La Porte</t>
  </si>
  <si>
    <t>Oxy Chemical - Battleground</t>
  </si>
  <si>
    <t>Midcon - Deer Park</t>
  </si>
  <si>
    <t>Rohm &amp;Haas - Deer Park</t>
  </si>
  <si>
    <t>Dupont - Deer Park</t>
  </si>
  <si>
    <t>Lubrizol - Deer Park</t>
  </si>
  <si>
    <t>Shell Oil - Deer Park</t>
  </si>
  <si>
    <t>Calpine - Pasedena</t>
  </si>
  <si>
    <t>Calpine Cogen #2 Pasedena</t>
  </si>
  <si>
    <t>Able Marle - Deer Park</t>
  </si>
  <si>
    <t>Georgia - Pasadena</t>
  </si>
  <si>
    <t>Oxy Chemical - Deer Park</t>
  </si>
  <si>
    <t>Shell Oil - Deer Park Cogen</t>
  </si>
  <si>
    <t>Lyondell - CITGO Plant</t>
  </si>
  <si>
    <t>Air Products - Pasadena</t>
  </si>
  <si>
    <t>Oxy Chem - Pasadena</t>
  </si>
  <si>
    <t>Aristech - Pasadena</t>
  </si>
  <si>
    <t>Amoco - Lomax #2</t>
  </si>
  <si>
    <t>Monsanto - Baytown</t>
  </si>
  <si>
    <t>US Steel - Baytown</t>
  </si>
  <si>
    <t>Vintage - Baytown</t>
  </si>
  <si>
    <t>HL&amp;P - Cedar Bayou</t>
  </si>
  <si>
    <t>Bayer - Cedar Bayou Plant</t>
  </si>
  <si>
    <t>HPL - Warren Delivery</t>
  </si>
  <si>
    <t>Ace - Cotton Lake</t>
  </si>
  <si>
    <t>Central Point - Garth A1</t>
  </si>
  <si>
    <t>Hil-Corp - Cotton Lake</t>
  </si>
  <si>
    <t>HPL - Daniel #1</t>
  </si>
  <si>
    <t>Duer Wagner - Alligator Bayou</t>
  </si>
  <si>
    <t>PacifiCorp - Moss Bluff With</t>
  </si>
  <si>
    <t>PacifiCorp - Moss Bluff Inj</t>
  </si>
  <si>
    <t>Ames - South Raywood Fild</t>
  </si>
  <si>
    <t>Sun - Anahuac Field</t>
  </si>
  <si>
    <t>DOW - Schoenjahn</t>
  </si>
  <si>
    <t>Gulf Energy - Walla Boyt</t>
  </si>
  <si>
    <t>Sun - W.C. White</t>
  </si>
  <si>
    <t>Sun - Blanke Field</t>
  </si>
  <si>
    <t>Midcon - Devers</t>
  </si>
  <si>
    <t>Mobil - Dunagen #1</t>
  </si>
  <si>
    <t>Southern Union - Nome City</t>
  </si>
  <si>
    <t>Entex - China City</t>
  </si>
  <si>
    <t>Cokinos - China</t>
  </si>
  <si>
    <t>Midcon - West Beaumont</t>
  </si>
  <si>
    <t>HPL - Beaumont</t>
  </si>
  <si>
    <t>Tri C - Adams Field</t>
  </si>
  <si>
    <t>Cokinos - Beaumont</t>
  </si>
  <si>
    <t>HPL - Texoma</t>
  </si>
  <si>
    <t>Vastar - Big Thicket Plant</t>
  </si>
  <si>
    <t>Amerada - Vidor Plant</t>
  </si>
  <si>
    <t>Poynor - Singleton #1</t>
  </si>
  <si>
    <t>Texaco - AS Common</t>
  </si>
  <si>
    <t>TXP - EF Williams #1</t>
  </si>
  <si>
    <t>Gulf States Utility</t>
  </si>
  <si>
    <t>Greenhill - Champion #1</t>
  </si>
  <si>
    <t>Entex - Mauriceville</t>
  </si>
  <si>
    <t>PG&amp;E - Long Prairie Field</t>
  </si>
  <si>
    <t>Cokinos - Starks Found #2</t>
  </si>
  <si>
    <t>Cokinos - Starks Found #1</t>
  </si>
  <si>
    <t>Manuel</t>
  </si>
  <si>
    <t>Centana - Orange Deliveries</t>
  </si>
  <si>
    <t>Sabine - Orange Exchange</t>
  </si>
  <si>
    <t>Bayer - Orange</t>
  </si>
  <si>
    <t>Dupont - Sabine River</t>
  </si>
  <si>
    <t>Hankamer</t>
  </si>
  <si>
    <t>Cokinos - Bledsoe Lindsey #1</t>
  </si>
  <si>
    <t>Sedona - Hartburg #2</t>
  </si>
  <si>
    <t>Exxon - Arbor</t>
  </si>
  <si>
    <t>Inland Orange - Inland Container</t>
  </si>
  <si>
    <t>Cokinos - Rachel Hudson</t>
  </si>
  <si>
    <t>Tri C - Hankamer #2</t>
  </si>
  <si>
    <t>TGP - Sabine River</t>
  </si>
  <si>
    <t>D&amp;H - Deweyville City</t>
  </si>
  <si>
    <t>A/S Receipts</t>
  </si>
  <si>
    <t>Withdrals</t>
  </si>
  <si>
    <t>Total A/S Receipts</t>
  </si>
  <si>
    <t>A/S Deliveries</t>
  </si>
  <si>
    <t>Injections</t>
  </si>
  <si>
    <t>Fuel</t>
  </si>
  <si>
    <t>Total A/S Deliveries</t>
  </si>
  <si>
    <t>A/S System Balance</t>
  </si>
  <si>
    <t>(Calculated A/S Line Pack Change)</t>
  </si>
  <si>
    <t>Net A/S UAF</t>
  </si>
  <si>
    <t>Current A/S Calculated Line Pack</t>
  </si>
  <si>
    <t>EPFS Moss Bluff Allocation</t>
  </si>
  <si>
    <t>800 to 802 Line Pack</t>
  </si>
  <si>
    <t>802 to 804 Line Pack</t>
  </si>
  <si>
    <t>804 to 806 Line Pack</t>
  </si>
  <si>
    <t>806 to 809 Line Pack</t>
  </si>
  <si>
    <t>809 to 812 Line Pack</t>
  </si>
  <si>
    <t>812 to 8141A Line Pack</t>
  </si>
  <si>
    <t>8141A to 820 Line Pack</t>
  </si>
  <si>
    <t>Line Pack Change</t>
  </si>
  <si>
    <t>Silegsen Check</t>
  </si>
  <si>
    <t>sta 812 check</t>
  </si>
  <si>
    <t>sta 816 check</t>
  </si>
  <si>
    <t>sta804 check</t>
  </si>
  <si>
    <t>Parish Plant</t>
  </si>
  <si>
    <t>TGP Katy</t>
  </si>
  <si>
    <t>Exxon Katy</t>
  </si>
  <si>
    <t>DT to Parish Plant</t>
  </si>
  <si>
    <t>Sta 812 Bypass</t>
  </si>
  <si>
    <t>Equistar - Corpus Christi Gas Temp</t>
  </si>
  <si>
    <t>Copano - Copano Bay Gas Temp</t>
  </si>
  <si>
    <t>804 Disch Temp</t>
  </si>
  <si>
    <t>806 Suct Temp</t>
  </si>
  <si>
    <t>806 Disch Temp</t>
  </si>
  <si>
    <t>809 Suct Temp</t>
  </si>
  <si>
    <t>809 Disch Temp</t>
  </si>
  <si>
    <t>Dow - Julliff Gas Temp</t>
  </si>
  <si>
    <t>Enron Methanol Gas Temp</t>
  </si>
  <si>
    <t>Dupont Sabine Gas Temp</t>
  </si>
  <si>
    <t>TGP Sabine Gas Temp</t>
  </si>
  <si>
    <t>Moss Bluff Receipt Pressure</t>
  </si>
  <si>
    <t>Seahawk Blessing Plant Side Pressure</t>
  </si>
  <si>
    <t>Seahawk Blessing Pipeline Side Pressure</t>
  </si>
  <si>
    <t>TGP Agua Dulce Pressure</t>
  </si>
  <si>
    <t>Aristech - Pasadena Disch Pressure</t>
  </si>
  <si>
    <t>Enron - Methanol Discharge Pressure</t>
  </si>
  <si>
    <t>Moss Bluff Delivery Pressure</t>
  </si>
  <si>
    <t>Centana - Orange Delivery Pressure</t>
  </si>
  <si>
    <t>Dupont - Sabine Disch Pressure</t>
  </si>
  <si>
    <t>TGP - Sabine Disch Pressure</t>
  </si>
  <si>
    <t>Parish Plant Customer Pressure</t>
  </si>
  <si>
    <t>DT to Parish Plant Disch Pressure</t>
  </si>
  <si>
    <t>800 Suction Pressure</t>
  </si>
  <si>
    <t>802 Suction Pressure</t>
  </si>
  <si>
    <t>802 Discharge Pressure</t>
  </si>
  <si>
    <t>804 Suction Pressure</t>
  </si>
  <si>
    <t>804 Discharge Pressure</t>
  </si>
  <si>
    <t>806 Suction Pressure</t>
  </si>
  <si>
    <t>806 Discharge Pressure</t>
  </si>
  <si>
    <t>809 Suction Pressure</t>
  </si>
  <si>
    <t>809 Discharge Pressure</t>
  </si>
  <si>
    <t>812 Suction Pressure</t>
  </si>
  <si>
    <t>812 Discharge Pressure</t>
  </si>
  <si>
    <t>813 Discharge Pressure</t>
  </si>
  <si>
    <t>812-1-A Suction Pressure</t>
  </si>
  <si>
    <t>812-1-A Discharge Pressure</t>
  </si>
  <si>
    <t>Lomax Pressure</t>
  </si>
  <si>
    <t xml:space="preserve"> 402-A01R  </t>
  </si>
  <si>
    <t xml:space="preserve"> 402-A01A  </t>
  </si>
  <si>
    <t xml:space="preserve"> 402-A02R  </t>
  </si>
  <si>
    <t xml:space="preserve"> 402-A02A  </t>
  </si>
  <si>
    <t xml:space="preserve"> 804-A01R  </t>
  </si>
  <si>
    <t xml:space="preserve"> 804-A01A  </t>
  </si>
  <si>
    <t xml:space="preserve"> 804-A02R  </t>
  </si>
  <si>
    <t xml:space="preserve"> 804-A02A  </t>
  </si>
  <si>
    <t xml:space="preserve"> 806-A01R  </t>
  </si>
  <si>
    <t xml:space="preserve"> 806-A01A  </t>
  </si>
  <si>
    <t xml:space="preserve"> 806-A02R  </t>
  </si>
  <si>
    <t xml:space="preserve"> 806-A02A  </t>
  </si>
  <si>
    <t xml:space="preserve"> 806-A03R  </t>
  </si>
  <si>
    <t xml:space="preserve"> 806-A03A  </t>
  </si>
  <si>
    <t xml:space="preserve"> 809-A02R  </t>
  </si>
  <si>
    <t xml:space="preserve"> 809-A02A  </t>
  </si>
  <si>
    <t xml:space="preserve"> 809-A03R  </t>
  </si>
  <si>
    <t xml:space="preserve"> 809-A03A  </t>
  </si>
  <si>
    <t xml:space="preserve"> 809-B01R  </t>
  </si>
  <si>
    <t xml:space="preserve"> 809-B01A  </t>
  </si>
  <si>
    <t xml:space="preserve"> 812-A01R  </t>
  </si>
  <si>
    <t xml:space="preserve"> 812-A01A  </t>
  </si>
  <si>
    <t xml:space="preserve"> 812-A02R  </t>
  </si>
  <si>
    <t xml:space="preserve"> 812-A02A  </t>
  </si>
  <si>
    <t xml:space="preserve"> 812-A03R  </t>
  </si>
  <si>
    <t xml:space="preserve"> 812-A03A  </t>
  </si>
  <si>
    <t>OBA w/o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</si>
</sst>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3" formatCode="_(* #,##0.00_);_(* \(#,##0.00\);_(* &quot;-&quot;??_);_(@_)"/>
    <numFmt numFmtId="166" formatCode="_(* #,##0.0_);_(* \(#,##0.0\);_(* &quot;-&quot;??_);_(@_)"/>
    <numFmt numFmtId="167" formatCode="_(* #,##0_);_(* \(#,##0\);_(* &quot;-&quot;??_);_(@_)"/>
    <numFmt numFmtId="170" formatCode="0.0%"/>
    <numFmt numFmtId="171" formatCode="0.0%;[Red]\(0.0%\)"/>
    <numFmt numFmtId="173" formatCode="m/d"/>
    <numFmt numFmtId="175" formatCode="yymmdd"/>
    <numFmt numFmtId="176" formatCode="0.0"/>
    <numFmt numFmtId="179" formatCode="0_);[Red]\(0\)"/>
    <numFmt numFmtId="194" formatCode="0.0_);[Red]\(0.0\)"/>
    <numFmt numFmtId="198" formatCode="0.000_);[Red]\(0.000\)"/>
    <numFmt numFmtId="217" formatCode="0.000"/>
    <numFmt numFmtId="218" formatCode="m/d/yy\ h:mm\ AM/PM"/>
    <numFmt numFmtId="225" formatCode="mm\-dd\-yy"/>
    <numFmt numFmtId="227" formatCode="mm\-dd\-yy\ hmm\ AM/PM"/>
    <numFmt numFmtId="228" formatCode="0.0_);\(0.0\)"/>
    <numFmt numFmtId="229" formatCode="0\ \f"/>
    <numFmt numFmtId="233" formatCode="0.00%;[Red]\(0.00%\)"/>
  </numFmts>
  <fonts count="31">
    <font>
      <sz val="10"/>
      <name val="Times New Roman"/>
    </font>
    <font>
      <sz val="10"/>
      <name val="Times New Roman"/>
    </font>
    <font>
      <sz val="12"/>
      <name val="SWISS"/>
    </font>
    <font>
      <sz val="10"/>
      <color indexed="8"/>
      <name val="MS Sans Serif"/>
    </font>
    <font>
      <sz val="12"/>
      <name val="Arial"/>
    </font>
    <font>
      <sz val="10"/>
      <name val="Arial"/>
    </font>
    <font>
      <sz val="12"/>
      <name val="Times New Roman"/>
    </font>
    <font>
      <sz val="8"/>
      <name val="Times New Roman"/>
      <family val="1"/>
    </font>
    <font>
      <b/>
      <sz val="12"/>
      <name val="Times New Roman"/>
      <family val="1"/>
    </font>
    <font>
      <b/>
      <sz val="10"/>
      <name val="Times New Roman"/>
      <family val="1"/>
    </font>
    <font>
      <b/>
      <sz val="10"/>
      <color indexed="10"/>
      <name val="Times New Roman"/>
      <family val="1"/>
    </font>
    <font>
      <b/>
      <sz val="12"/>
      <color indexed="10"/>
      <name val="Times New Roman"/>
      <family val="1"/>
    </font>
    <font>
      <b/>
      <sz val="12"/>
      <name val="Times New Roman"/>
    </font>
    <font>
      <b/>
      <sz val="11"/>
      <name val="Times New Roman"/>
      <family val="1"/>
    </font>
    <font>
      <b/>
      <sz val="8"/>
      <name val="Times New Roman"/>
      <family val="1"/>
    </font>
    <font>
      <sz val="10"/>
      <name val="Times New Roman"/>
      <family val="1"/>
    </font>
    <font>
      <sz val="8"/>
      <name val="Times New Roman"/>
    </font>
    <font>
      <b/>
      <sz val="16"/>
      <name val="Times New Roman"/>
      <family val="1"/>
    </font>
    <font>
      <b/>
      <u/>
      <sz val="8"/>
      <name val="Times New Roman"/>
    </font>
    <font>
      <u/>
      <sz val="8"/>
      <name val="Times New Roman"/>
    </font>
    <font>
      <u/>
      <sz val="8"/>
      <name val="Times New Roman"/>
      <family val="1"/>
    </font>
    <font>
      <b/>
      <u/>
      <sz val="8"/>
      <name val="Times New Roman"/>
      <family val="1"/>
    </font>
    <font>
      <b/>
      <sz val="8"/>
      <color indexed="10"/>
      <name val="Times New Roman"/>
      <family val="1"/>
    </font>
    <font>
      <b/>
      <sz val="10"/>
      <name val="Times New Roman"/>
    </font>
    <font>
      <b/>
      <sz val="8"/>
      <name val="Times New Roman"/>
    </font>
    <font>
      <sz val="8"/>
      <color indexed="22"/>
      <name val="Times New Roman"/>
      <family val="1"/>
    </font>
    <font>
      <sz val="10"/>
      <color indexed="22"/>
      <name val="Times New Roman"/>
      <family val="1"/>
    </font>
    <font>
      <u/>
      <sz val="10"/>
      <name val="Times New Roman"/>
    </font>
    <font>
      <b/>
      <sz val="8"/>
      <color indexed="81"/>
      <name val="Tahoma"/>
    </font>
    <font>
      <sz val="8"/>
      <color indexed="81"/>
      <name val="Tahoma"/>
    </font>
    <font>
      <sz val="8"/>
      <name val="Tahoma"/>
      <family val="2"/>
    </font>
  </fonts>
  <fills count="7">
    <fill>
      <patternFill patternType="none"/>
    </fill>
    <fill>
      <patternFill patternType="gray125"/>
    </fill>
    <fill>
      <patternFill patternType="solid">
        <fgColor indexed="9"/>
      </patternFill>
    </fill>
    <fill>
      <patternFill patternType="solid">
        <fgColor indexed="9"/>
        <bgColor indexed="64"/>
      </patternFill>
    </fill>
    <fill>
      <patternFill patternType="solid">
        <fgColor indexed="15"/>
        <bgColor indexed="64"/>
      </patternFill>
    </fill>
    <fill>
      <patternFill patternType="solid">
        <fgColor indexed="13"/>
        <bgColor indexed="64"/>
      </patternFill>
    </fill>
    <fill>
      <patternFill patternType="solid">
        <fgColor indexed="11"/>
        <bgColor indexed="64"/>
      </patternFill>
    </fill>
  </fills>
  <borders count="148">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55"/>
      </left>
      <right/>
      <top style="thin">
        <color indexed="55"/>
      </top>
      <bottom style="thin">
        <color indexed="55"/>
      </bottom>
      <diagonal/>
    </border>
    <border>
      <left/>
      <right style="thin">
        <color indexed="64"/>
      </right>
      <top style="thin">
        <color indexed="55"/>
      </top>
      <bottom style="thin">
        <color indexed="55"/>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dotted">
        <color indexed="55"/>
      </left>
      <right/>
      <top/>
      <bottom/>
      <diagonal/>
    </border>
    <border>
      <left/>
      <right style="dotted">
        <color indexed="55"/>
      </right>
      <top/>
      <bottom/>
      <diagonal/>
    </border>
    <border>
      <left/>
      <right style="dotted">
        <color indexed="55"/>
      </right>
      <top/>
      <bottom style="double">
        <color indexed="64"/>
      </bottom>
      <diagonal/>
    </border>
    <border>
      <left style="dotted">
        <color indexed="55"/>
      </left>
      <right/>
      <top/>
      <bottom style="dotted">
        <color indexed="55"/>
      </bottom>
      <diagonal/>
    </border>
    <border>
      <left/>
      <right style="dotted">
        <color indexed="55"/>
      </right>
      <top/>
      <bottom style="dotted">
        <color indexed="5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right style="medium">
        <color indexed="64"/>
      </right>
      <top style="double">
        <color indexed="64"/>
      </top>
      <bottom/>
      <diagonal/>
    </border>
    <border>
      <left style="medium">
        <color indexed="64"/>
      </left>
      <right style="hair">
        <color indexed="64"/>
      </right>
      <top style="double">
        <color indexed="64"/>
      </top>
      <bottom style="medium">
        <color indexed="64"/>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hair">
        <color indexed="64"/>
      </bottom>
      <diagonal/>
    </border>
    <border>
      <left/>
      <right style="double">
        <color indexed="64"/>
      </right>
      <top style="medium">
        <color indexed="64"/>
      </top>
      <bottom style="hair">
        <color indexed="64"/>
      </bottom>
      <diagonal/>
    </border>
    <border>
      <left style="double">
        <color indexed="64"/>
      </left>
      <right style="thick">
        <color indexed="64"/>
      </right>
      <top style="medium">
        <color indexed="64"/>
      </top>
      <bottom style="hair">
        <color indexed="64"/>
      </bottom>
      <diagonal/>
    </border>
    <border>
      <left/>
      <right/>
      <top style="medium">
        <color indexed="64"/>
      </top>
      <bottom style="hair">
        <color indexed="64"/>
      </bottom>
      <diagonal/>
    </border>
    <border>
      <left style="double">
        <color indexed="64"/>
      </left>
      <right style="medium">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style="thick">
        <color indexed="64"/>
      </right>
      <top style="hair">
        <color indexed="64"/>
      </top>
      <bottom style="hair">
        <color indexed="64"/>
      </bottom>
      <diagonal/>
    </border>
    <border>
      <left/>
      <right/>
      <top style="hair">
        <color indexed="64"/>
      </top>
      <bottom style="hair">
        <color indexed="64"/>
      </bottom>
      <diagonal/>
    </border>
    <border>
      <left style="double">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right style="double">
        <color indexed="64"/>
      </right>
      <top style="hair">
        <color indexed="64"/>
      </top>
      <bottom/>
      <diagonal/>
    </border>
    <border>
      <left style="medium">
        <color indexed="64"/>
      </left>
      <right/>
      <top/>
      <bottom style="hair">
        <color indexed="64"/>
      </bottom>
      <diagonal/>
    </border>
    <border>
      <left/>
      <right style="double">
        <color indexed="64"/>
      </right>
      <top/>
      <bottom style="hair">
        <color indexed="64"/>
      </bottom>
      <diagonal/>
    </border>
    <border>
      <left/>
      <right style="double">
        <color indexed="64"/>
      </right>
      <top style="hair">
        <color indexed="64"/>
      </top>
      <bottom style="medium">
        <color indexed="64"/>
      </bottom>
      <diagonal/>
    </border>
    <border>
      <left/>
      <right style="double">
        <color indexed="64"/>
      </right>
      <top/>
      <bottom style="medium">
        <color indexed="64"/>
      </bottom>
      <diagonal/>
    </border>
    <border>
      <left style="double">
        <color indexed="64"/>
      </left>
      <right style="thick">
        <color indexed="64"/>
      </right>
      <top/>
      <bottom style="medium">
        <color indexed="64"/>
      </bottom>
      <diagonal/>
    </border>
    <border>
      <left style="double">
        <color indexed="64"/>
      </left>
      <right style="medium">
        <color indexed="64"/>
      </right>
      <top/>
      <bottom style="medium">
        <color indexed="64"/>
      </bottom>
      <diagonal/>
    </border>
    <border>
      <left/>
      <right/>
      <top style="thin">
        <color indexed="64"/>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23"/>
      </left>
      <right/>
      <top style="medium">
        <color indexed="23"/>
      </top>
      <bottom/>
      <diagonal/>
    </border>
    <border>
      <left style="medium">
        <color indexed="23"/>
      </left>
      <right style="medium">
        <color indexed="23"/>
      </right>
      <top style="medium">
        <color indexed="23"/>
      </top>
      <bottom/>
      <diagonal/>
    </border>
    <border>
      <left/>
      <right style="thick">
        <color indexed="64"/>
      </right>
      <top/>
      <bottom style="medium">
        <color indexed="64"/>
      </bottom>
      <diagonal/>
    </border>
    <border>
      <left style="medium">
        <color indexed="23"/>
      </left>
      <right/>
      <top/>
      <bottom style="medium">
        <color indexed="23"/>
      </bottom>
      <diagonal/>
    </border>
    <border>
      <left style="medium">
        <color indexed="23"/>
      </left>
      <right style="medium">
        <color indexed="23"/>
      </right>
      <top/>
      <bottom style="medium">
        <color indexed="23"/>
      </bottom>
      <diagonal/>
    </border>
    <border>
      <left style="medium">
        <color indexed="64"/>
      </left>
      <right/>
      <top style="thin">
        <color indexed="64"/>
      </top>
      <bottom/>
      <diagonal/>
    </border>
    <border>
      <left/>
      <right style="double">
        <color indexed="64"/>
      </right>
      <top style="thin">
        <color indexed="64"/>
      </top>
      <bottom/>
      <diagonal/>
    </border>
    <border>
      <left/>
      <right style="hair">
        <color indexed="64"/>
      </right>
      <top style="thin">
        <color indexed="64"/>
      </top>
      <bottom/>
      <diagonal/>
    </border>
    <border>
      <left/>
      <right style="thick">
        <color indexed="64"/>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medium">
        <color indexed="23"/>
      </left>
      <right/>
      <top/>
      <bottom/>
      <diagonal/>
    </border>
    <border>
      <left style="medium">
        <color indexed="23"/>
      </left>
      <right style="medium">
        <color indexed="23"/>
      </right>
      <top/>
      <bottom/>
      <diagonal/>
    </border>
    <border>
      <left style="thick">
        <color indexed="64"/>
      </left>
      <right/>
      <top/>
      <bottom/>
      <diagonal/>
    </border>
    <border>
      <left/>
      <right style="double">
        <color indexed="64"/>
      </right>
      <top/>
      <bottom/>
      <diagonal/>
    </border>
    <border>
      <left/>
      <right style="hair">
        <color indexed="64"/>
      </right>
      <top/>
      <bottom/>
      <diagonal/>
    </border>
    <border>
      <left style="thin">
        <color indexed="64"/>
      </left>
      <right/>
      <top/>
      <bottom/>
      <diagonal/>
    </border>
    <border>
      <left style="hair">
        <color indexed="64"/>
      </left>
      <right/>
      <top/>
      <bottom/>
      <diagonal/>
    </border>
    <border>
      <left/>
      <right style="thick">
        <color indexed="64"/>
      </right>
      <top/>
      <bottom style="double">
        <color indexed="64"/>
      </bottom>
      <diagonal/>
    </border>
    <border>
      <left/>
      <right style="double">
        <color indexed="64"/>
      </right>
      <top/>
      <bottom style="double">
        <color indexed="64"/>
      </bottom>
      <diagonal/>
    </border>
    <border>
      <left/>
      <right style="hair">
        <color indexed="64"/>
      </right>
      <top/>
      <bottom style="double">
        <color indexed="64"/>
      </bottom>
      <diagonal/>
    </border>
    <border>
      <left/>
      <right style="medium">
        <color indexed="64"/>
      </right>
      <top/>
      <bottom style="double">
        <color indexed="64"/>
      </bottom>
      <diagonal/>
    </border>
    <border>
      <left style="thin">
        <color indexed="64"/>
      </left>
      <right/>
      <top/>
      <bottom style="double">
        <color indexed="64"/>
      </bottom>
      <diagonal/>
    </border>
    <border>
      <left style="hair">
        <color indexed="64"/>
      </left>
      <right/>
      <top/>
      <bottom style="double">
        <color indexed="64"/>
      </bottom>
      <diagonal/>
    </border>
    <border>
      <left/>
      <right style="medium">
        <color indexed="23"/>
      </right>
      <top/>
      <bottom style="double">
        <color indexed="64"/>
      </bottom>
      <diagonal/>
    </border>
    <border>
      <left style="medium">
        <color indexed="23"/>
      </left>
      <right/>
      <top/>
      <bottom style="double">
        <color indexed="23"/>
      </bottom>
      <diagonal/>
    </border>
    <border>
      <left style="medium">
        <color indexed="23"/>
      </left>
      <right style="medium">
        <color indexed="23"/>
      </right>
      <top/>
      <bottom style="double">
        <color indexed="23"/>
      </bottom>
      <diagonal/>
    </border>
    <border>
      <left/>
      <right style="hair">
        <color indexed="64"/>
      </right>
      <top/>
      <bottom style="medium">
        <color indexed="64"/>
      </bottom>
      <diagonal/>
    </border>
    <border>
      <left style="hair">
        <color indexed="64"/>
      </left>
      <right/>
      <top/>
      <bottom style="medium">
        <color indexed="64"/>
      </bottom>
      <diagonal/>
    </border>
    <border>
      <left/>
      <right/>
      <top/>
      <bottom style="hair">
        <color indexed="64"/>
      </bottom>
      <diagonal/>
    </border>
    <border>
      <left/>
      <right style="thick">
        <color indexed="64"/>
      </right>
      <top/>
      <bottom style="hair">
        <color indexed="64"/>
      </bottom>
      <diagonal/>
    </border>
    <border>
      <left/>
      <right style="hair">
        <color indexed="64"/>
      </right>
      <top/>
      <bottom style="hair">
        <color indexed="64"/>
      </bottom>
      <diagonal/>
    </border>
    <border>
      <left/>
      <right style="medium">
        <color indexed="64"/>
      </right>
      <top/>
      <bottom style="hair">
        <color indexed="64"/>
      </bottom>
      <diagonal/>
    </border>
    <border>
      <left style="thin">
        <color indexed="64"/>
      </left>
      <right/>
      <top/>
      <bottom style="hair">
        <color indexed="64"/>
      </bottom>
      <diagonal/>
    </border>
    <border>
      <left style="hair">
        <color indexed="64"/>
      </left>
      <right/>
      <top/>
      <bottom style="hair">
        <color indexed="64"/>
      </bottom>
      <diagonal/>
    </border>
    <border>
      <left style="medium">
        <color indexed="23"/>
      </left>
      <right/>
      <top/>
      <bottom style="hair">
        <color indexed="23"/>
      </bottom>
      <diagonal/>
    </border>
    <border>
      <left style="medium">
        <color indexed="23"/>
      </left>
      <right style="medium">
        <color indexed="23"/>
      </right>
      <top/>
      <bottom style="hair">
        <color indexed="23"/>
      </bottom>
      <diagonal/>
    </border>
    <border>
      <left style="thin">
        <color indexed="64"/>
      </left>
      <right style="thin">
        <color indexed="64"/>
      </right>
      <top style="thin">
        <color indexed="64"/>
      </top>
      <bottom style="thin">
        <color indexed="64"/>
      </bottom>
      <diagonal/>
    </border>
    <border>
      <left/>
      <right/>
      <top/>
      <bottom style="dashed">
        <color indexed="23"/>
      </bottom>
      <diagonal/>
    </border>
    <border>
      <left/>
      <right style="hair">
        <color indexed="64"/>
      </right>
      <top/>
      <bottom style="dashed">
        <color indexed="23"/>
      </bottom>
      <diagonal/>
    </border>
    <border>
      <left/>
      <right style="thick">
        <color indexed="64"/>
      </right>
      <top/>
      <bottom style="dashed">
        <color indexed="23"/>
      </bottom>
      <diagonal/>
    </border>
    <border>
      <left/>
      <right style="double">
        <color indexed="64"/>
      </right>
      <top/>
      <bottom style="dashed">
        <color indexed="23"/>
      </bottom>
      <diagonal/>
    </border>
    <border>
      <left/>
      <right style="medium">
        <color indexed="64"/>
      </right>
      <top/>
      <bottom style="dashed">
        <color indexed="23"/>
      </bottom>
      <diagonal/>
    </border>
    <border>
      <left style="thin">
        <color indexed="64"/>
      </left>
      <right/>
      <top/>
      <bottom style="dashed">
        <color indexed="23"/>
      </bottom>
      <diagonal/>
    </border>
    <border>
      <left style="hair">
        <color indexed="64"/>
      </left>
      <right/>
      <top/>
      <bottom style="dashed">
        <color indexed="23"/>
      </bottom>
      <diagonal/>
    </border>
    <border>
      <left style="medium">
        <color indexed="23"/>
      </left>
      <right/>
      <top/>
      <bottom style="dashed">
        <color indexed="23"/>
      </bottom>
      <diagonal/>
    </border>
    <border>
      <left style="medium">
        <color indexed="23"/>
      </left>
      <right style="medium">
        <color indexed="23"/>
      </right>
      <top/>
      <bottom style="dashed">
        <color indexed="23"/>
      </bottom>
      <diagonal/>
    </border>
    <border>
      <left/>
      <right style="thick">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hair">
        <color indexed="64"/>
      </left>
      <right/>
      <top/>
      <bottom style="thin">
        <color indexed="64"/>
      </bottom>
      <diagonal/>
    </border>
    <border>
      <left style="medium">
        <color indexed="23"/>
      </left>
      <right/>
      <top/>
      <bottom style="thin">
        <color indexed="23"/>
      </bottom>
      <diagonal/>
    </border>
    <border>
      <left style="medium">
        <color indexed="23"/>
      </left>
      <right style="medium">
        <color indexed="23"/>
      </right>
      <top/>
      <bottom style="thin">
        <color indexed="23"/>
      </bottom>
      <diagonal/>
    </border>
    <border>
      <left style="medium">
        <color indexed="23"/>
      </left>
      <right style="medium">
        <color indexed="23"/>
      </right>
      <top style="medium">
        <color indexed="64"/>
      </top>
      <bottom/>
      <diagonal/>
    </border>
    <border>
      <left style="medium">
        <color indexed="23"/>
      </left>
      <right style="medium">
        <color indexed="23"/>
      </right>
      <top/>
      <bottom style="medium">
        <color indexed="64"/>
      </bottom>
      <diagonal/>
    </border>
    <border>
      <left style="hair">
        <color indexed="64"/>
      </left>
      <right/>
      <top style="double">
        <color indexed="64"/>
      </top>
      <bottom style="thick">
        <color indexed="64"/>
      </bottom>
      <diagonal/>
    </border>
    <border>
      <left/>
      <right style="thick">
        <color indexed="64"/>
      </right>
      <top style="double">
        <color indexed="64"/>
      </top>
      <bottom style="thick">
        <color indexed="64"/>
      </bottom>
      <diagonal/>
    </border>
    <border>
      <left style="medium">
        <color indexed="64"/>
      </left>
      <right/>
      <top style="double">
        <color indexed="64"/>
      </top>
      <bottom style="medium">
        <color indexed="64"/>
      </bottom>
      <diagonal/>
    </border>
    <border>
      <left style="thick">
        <color indexed="64"/>
      </left>
      <right/>
      <top style="medium">
        <color indexed="64"/>
      </top>
      <bottom/>
      <diagonal/>
    </border>
    <border>
      <left/>
      <right style="double">
        <color indexed="64"/>
      </right>
      <top style="medium">
        <color indexed="64"/>
      </top>
      <bottom/>
      <diagonal/>
    </border>
    <border>
      <left style="double">
        <color indexed="64"/>
      </left>
      <right style="thick">
        <color indexed="64"/>
      </right>
      <top style="medium">
        <color indexed="64"/>
      </top>
      <bottom/>
      <diagonal/>
    </border>
    <border>
      <left style="double">
        <color indexed="64"/>
      </left>
      <right style="medium">
        <color indexed="64"/>
      </right>
      <top style="medium">
        <color indexed="64"/>
      </top>
      <bottom/>
      <diagonal/>
    </border>
    <border>
      <left style="thick">
        <color indexed="64"/>
      </left>
      <right/>
      <top/>
      <bottom style="medium">
        <color indexed="64"/>
      </bottom>
      <diagonal/>
    </border>
    <border>
      <left style="thick">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ck">
        <color indexed="64"/>
      </right>
      <top style="medium">
        <color indexed="64"/>
      </top>
      <bottom style="thin">
        <color indexed="64"/>
      </bottom>
      <diagonal/>
    </border>
    <border>
      <left style="medium">
        <color indexed="64"/>
      </left>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23"/>
      </left>
      <right/>
      <top/>
      <bottom style="thin">
        <color indexed="64"/>
      </bottom>
      <diagonal/>
    </border>
    <border>
      <left style="medium">
        <color indexed="23"/>
      </left>
      <right style="medium">
        <color indexed="23"/>
      </right>
      <top/>
      <bottom style="thin">
        <color indexed="64"/>
      </bottom>
      <diagonal/>
    </border>
    <border>
      <left style="double">
        <color indexed="64"/>
      </left>
      <right style="thick">
        <color indexed="64"/>
      </right>
      <top/>
      <bottom/>
      <diagonal/>
    </border>
    <border>
      <left style="double">
        <color indexed="64"/>
      </left>
      <right style="medium">
        <color indexed="64"/>
      </right>
      <top/>
      <bottom/>
      <diagonal/>
    </border>
    <border>
      <left style="medium">
        <color indexed="23"/>
      </left>
      <right/>
      <top/>
      <bottom style="medium">
        <color indexed="64"/>
      </bottom>
      <diagonal/>
    </border>
    <border>
      <left style="thick">
        <color indexed="64"/>
      </left>
      <right/>
      <top style="medium">
        <color indexed="64"/>
      </top>
      <bottom style="double">
        <color indexed="64"/>
      </bottom>
      <diagonal/>
    </border>
    <border>
      <left/>
      <right style="double">
        <color indexed="64"/>
      </right>
      <top style="medium">
        <color indexed="64"/>
      </top>
      <bottom style="double">
        <color indexed="64"/>
      </bottom>
      <diagonal/>
    </border>
    <border>
      <left style="double">
        <color indexed="64"/>
      </left>
      <right style="thick">
        <color indexed="64"/>
      </right>
      <top style="medium">
        <color indexed="64"/>
      </top>
      <bottom style="double">
        <color indexed="64"/>
      </bottom>
      <diagonal/>
    </border>
    <border>
      <left style="medium">
        <color indexed="64"/>
      </left>
      <right/>
      <top style="medium">
        <color indexed="64"/>
      </top>
      <bottom style="double">
        <color indexed="64"/>
      </bottom>
      <diagonal/>
    </border>
    <border>
      <left style="double">
        <color indexed="64"/>
      </left>
      <right style="medium">
        <color indexed="64"/>
      </right>
      <top style="medium">
        <color indexed="64"/>
      </top>
      <bottom style="double">
        <color indexed="64"/>
      </bottom>
      <diagonal/>
    </border>
    <border>
      <left style="medium">
        <color indexed="23"/>
      </left>
      <right/>
      <top style="medium">
        <color indexed="64"/>
      </top>
      <bottom style="double">
        <color indexed="64"/>
      </bottom>
      <diagonal/>
    </border>
    <border>
      <left style="medium">
        <color indexed="23"/>
      </left>
      <right style="medium">
        <color indexed="23"/>
      </right>
      <top style="medium">
        <color indexed="64"/>
      </top>
      <bottom style="double">
        <color indexed="64"/>
      </bottom>
      <diagonal/>
    </border>
    <border>
      <left style="thick">
        <color indexed="64"/>
      </left>
      <right/>
      <top/>
      <bottom style="thick">
        <color indexed="64"/>
      </bottom>
      <diagonal/>
    </border>
    <border>
      <left/>
      <right style="double">
        <color indexed="64"/>
      </right>
      <top/>
      <bottom style="thick">
        <color indexed="64"/>
      </bottom>
      <diagonal/>
    </border>
    <border>
      <left style="double">
        <color indexed="64"/>
      </left>
      <right style="thick">
        <color indexed="64"/>
      </right>
      <top/>
      <bottom style="thick">
        <color indexed="64"/>
      </bottom>
      <diagonal/>
    </border>
    <border>
      <left/>
      <right style="double">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5" fillId="0" borderId="0"/>
    <xf numFmtId="0" fontId="6" fillId="0" borderId="0"/>
    <xf numFmtId="9" fontId="1" fillId="0" borderId="0" applyFont="0" applyFill="0" applyBorder="0" applyAlignment="0" applyProtection="0"/>
  </cellStyleXfs>
  <cellXfs count="439">
    <xf numFmtId="0" fontId="0" fillId="0" borderId="0" xfId="0"/>
    <xf numFmtId="0" fontId="6" fillId="0" borderId="1" xfId="3" applyBorder="1" applyProtection="1">
      <protection hidden="1"/>
    </xf>
    <xf numFmtId="0" fontId="6" fillId="0" borderId="2" xfId="3" applyBorder="1" applyProtection="1">
      <protection hidden="1"/>
    </xf>
    <xf numFmtId="0" fontId="6" fillId="0" borderId="3" xfId="3" applyBorder="1" applyProtection="1">
      <protection hidden="1"/>
    </xf>
    <xf numFmtId="0" fontId="7" fillId="0" borderId="2" xfId="3" applyFont="1" applyBorder="1" applyAlignment="1" applyProtection="1">
      <alignment horizontal="right"/>
      <protection hidden="1"/>
    </xf>
    <xf numFmtId="0" fontId="7" fillId="0" borderId="4" xfId="3" applyFont="1" applyBorder="1" applyAlignment="1" applyProtection="1">
      <alignment horizontal="right"/>
      <protection hidden="1"/>
    </xf>
    <xf numFmtId="0" fontId="6" fillId="0" borderId="4" xfId="3" applyBorder="1" applyProtection="1">
      <protection hidden="1"/>
    </xf>
    <xf numFmtId="0" fontId="6" fillId="0" borderId="0" xfId="3"/>
    <xf numFmtId="0" fontId="6" fillId="0" borderId="5" xfId="3" applyBorder="1" applyProtection="1">
      <protection hidden="1"/>
    </xf>
    <xf numFmtId="0" fontId="6" fillId="0" borderId="0" xfId="3" applyBorder="1" applyProtection="1">
      <protection hidden="1"/>
    </xf>
    <xf numFmtId="0" fontId="6" fillId="0" borderId="6" xfId="3" applyBorder="1" applyProtection="1">
      <protection hidden="1"/>
    </xf>
    <xf numFmtId="0" fontId="6" fillId="0" borderId="7" xfId="3" applyFont="1" applyBorder="1" applyAlignment="1" applyProtection="1">
      <alignment horizontal="right"/>
      <protection hidden="1"/>
    </xf>
    <xf numFmtId="0" fontId="6" fillId="0" borderId="8" xfId="3" applyBorder="1" applyProtection="1">
      <protection hidden="1"/>
    </xf>
    <xf numFmtId="0" fontId="7" fillId="0" borderId="9" xfId="3" applyFont="1" applyBorder="1" applyAlignment="1" applyProtection="1">
      <alignment horizontal="right"/>
      <protection hidden="1"/>
    </xf>
    <xf numFmtId="228" fontId="7" fillId="0" borderId="10" xfId="3" applyNumberFormat="1" applyFont="1" applyBorder="1" applyAlignment="1" applyProtection="1">
      <alignment horizontal="center"/>
      <protection hidden="1"/>
    </xf>
    <xf numFmtId="0" fontId="6" fillId="0" borderId="11" xfId="3" applyBorder="1" applyProtection="1">
      <protection hidden="1"/>
    </xf>
    <xf numFmtId="0" fontId="7" fillId="0" borderId="12" xfId="3" applyFont="1" applyBorder="1" applyAlignment="1" applyProtection="1">
      <alignment horizontal="right"/>
      <protection hidden="1"/>
    </xf>
    <xf numFmtId="176" fontId="7" fillId="0" borderId="13" xfId="3" applyNumberFormat="1" applyFont="1" applyBorder="1" applyProtection="1">
      <protection hidden="1"/>
    </xf>
    <xf numFmtId="176" fontId="7" fillId="0" borderId="14" xfId="3" applyNumberFormat="1" applyFont="1" applyBorder="1" applyProtection="1">
      <protection hidden="1"/>
    </xf>
    <xf numFmtId="218" fontId="8" fillId="0" borderId="5" xfId="3" applyNumberFormat="1" applyFont="1" applyBorder="1" applyAlignment="1" applyProtection="1">
      <alignment horizontal="right"/>
      <protection hidden="1"/>
    </xf>
    <xf numFmtId="14" fontId="9" fillId="0" borderId="0" xfId="3" applyNumberFormat="1" applyFont="1" applyBorder="1" applyAlignment="1" applyProtection="1">
      <alignment horizontal="left"/>
      <protection hidden="1"/>
    </xf>
    <xf numFmtId="0" fontId="7" fillId="0" borderId="15" xfId="3" applyFont="1" applyBorder="1" applyAlignment="1" applyProtection="1">
      <alignment horizontal="right"/>
      <protection hidden="1"/>
    </xf>
    <xf numFmtId="176" fontId="7" fillId="0" borderId="16" xfId="3" applyNumberFormat="1" applyFont="1" applyBorder="1" applyProtection="1">
      <protection hidden="1"/>
    </xf>
    <xf numFmtId="0" fontId="6" fillId="0" borderId="0" xfId="3" applyProtection="1">
      <protection hidden="1"/>
    </xf>
    <xf numFmtId="0" fontId="8" fillId="0" borderId="5" xfId="3" applyFont="1" applyBorder="1" applyAlignment="1" applyProtection="1">
      <alignment horizontal="left"/>
      <protection hidden="1"/>
    </xf>
    <xf numFmtId="0" fontId="8" fillId="0" borderId="0" xfId="3" applyFont="1" applyBorder="1" applyAlignment="1" applyProtection="1">
      <alignment horizontal="left"/>
      <protection hidden="1"/>
    </xf>
    <xf numFmtId="0" fontId="8" fillId="0" borderId="5" xfId="3" applyFont="1" applyBorder="1" applyProtection="1">
      <protection hidden="1"/>
    </xf>
    <xf numFmtId="218" fontId="8" fillId="0" borderId="0" xfId="3" applyNumberFormat="1" applyFont="1" applyBorder="1" applyAlignment="1" applyProtection="1">
      <alignment horizontal="center"/>
      <protection hidden="1"/>
    </xf>
    <xf numFmtId="179" fontId="10" fillId="0" borderId="17" xfId="2" applyNumberFormat="1" applyFont="1" applyBorder="1" applyAlignment="1" applyProtection="1">
      <alignment horizontal="left"/>
      <protection hidden="1"/>
    </xf>
    <xf numFmtId="0" fontId="6" fillId="0" borderId="18" xfId="3" applyBorder="1" applyProtection="1">
      <protection hidden="1"/>
    </xf>
    <xf numFmtId="179" fontId="10" fillId="0" borderId="19" xfId="2" applyNumberFormat="1" applyFont="1" applyBorder="1" applyAlignment="1" applyProtection="1">
      <alignment horizontal="right"/>
      <protection hidden="1"/>
    </xf>
    <xf numFmtId="179" fontId="11" fillId="0" borderId="0" xfId="2" applyNumberFormat="1" applyFont="1" applyBorder="1" applyAlignment="1" applyProtection="1">
      <alignment horizontal="right"/>
      <protection hidden="1"/>
    </xf>
    <xf numFmtId="0" fontId="9" fillId="0" borderId="5" xfId="3" applyFont="1" applyBorder="1" applyAlignment="1" applyProtection="1">
      <alignment horizontal="center"/>
      <protection hidden="1"/>
    </xf>
    <xf numFmtId="0" fontId="6" fillId="0" borderId="0" xfId="3" applyFont="1" applyBorder="1" applyProtection="1">
      <protection hidden="1"/>
    </xf>
    <xf numFmtId="0" fontId="12" fillId="0" borderId="0" xfId="3" applyFont="1" applyBorder="1" applyAlignment="1" applyProtection="1">
      <alignment horizontal="right"/>
      <protection hidden="1"/>
    </xf>
    <xf numFmtId="14" fontId="13" fillId="0" borderId="0" xfId="3" applyNumberFormat="1" applyFont="1" applyBorder="1" applyProtection="1">
      <protection hidden="1"/>
    </xf>
    <xf numFmtId="0" fontId="12" fillId="0" borderId="0" xfId="3" applyFont="1" applyBorder="1" applyAlignment="1" applyProtection="1">
      <alignment horizontal="center"/>
      <protection hidden="1"/>
    </xf>
    <xf numFmtId="14" fontId="13" fillId="0" borderId="11" xfId="3" applyNumberFormat="1" applyFont="1" applyBorder="1" applyAlignment="1" applyProtection="1">
      <alignment horizontal="left"/>
      <protection hidden="1"/>
    </xf>
    <xf numFmtId="0" fontId="9" fillId="0" borderId="0" xfId="0" applyFont="1" applyBorder="1" applyProtection="1">
      <protection hidden="1"/>
    </xf>
    <xf numFmtId="0" fontId="9" fillId="0" borderId="20" xfId="0" applyFont="1" applyBorder="1" applyProtection="1">
      <protection hidden="1"/>
    </xf>
    <xf numFmtId="0" fontId="9" fillId="0" borderId="21" xfId="0" applyFont="1" applyBorder="1" applyProtection="1">
      <protection hidden="1"/>
    </xf>
    <xf numFmtId="0" fontId="9" fillId="0" borderId="11" xfId="0" applyFont="1" applyBorder="1" applyAlignment="1" applyProtection="1">
      <alignment horizontal="right"/>
      <protection hidden="1"/>
    </xf>
    <xf numFmtId="194" fontId="9" fillId="0" borderId="0" xfId="0" applyNumberFormat="1" applyFont="1" applyBorder="1" applyProtection="1">
      <protection hidden="1"/>
    </xf>
    <xf numFmtId="194" fontId="9" fillId="0" borderId="22" xfId="0" applyNumberFormat="1" applyFont="1" applyBorder="1" applyProtection="1">
      <protection hidden="1"/>
    </xf>
    <xf numFmtId="194" fontId="9" fillId="0" borderId="23" xfId="0" applyNumberFormat="1" applyFont="1" applyBorder="1" applyProtection="1">
      <protection hidden="1"/>
    </xf>
    <xf numFmtId="194" fontId="9" fillId="0" borderId="11" xfId="0" applyNumberFormat="1" applyFont="1" applyBorder="1" applyProtection="1">
      <protection hidden="1"/>
    </xf>
    <xf numFmtId="194" fontId="9" fillId="0" borderId="24" xfId="0" applyNumberFormat="1" applyFont="1" applyBorder="1" applyProtection="1">
      <protection hidden="1"/>
    </xf>
    <xf numFmtId="194" fontId="9" fillId="0" borderId="25" xfId="0" applyNumberFormat="1" applyFont="1" applyBorder="1" applyProtection="1">
      <protection hidden="1"/>
    </xf>
    <xf numFmtId="194" fontId="9" fillId="0" borderId="26" xfId="0" applyNumberFormat="1" applyFont="1" applyBorder="1" applyProtection="1">
      <protection hidden="1"/>
    </xf>
    <xf numFmtId="0" fontId="9" fillId="0" borderId="0" xfId="0" applyFont="1" applyBorder="1" applyAlignment="1" applyProtection="1">
      <alignment horizontal="right"/>
      <protection hidden="1"/>
    </xf>
    <xf numFmtId="194" fontId="9" fillId="0" borderId="0" xfId="0" applyNumberFormat="1" applyFont="1" applyProtection="1">
      <protection hidden="1"/>
    </xf>
    <xf numFmtId="194" fontId="9" fillId="0" borderId="27" xfId="0" applyNumberFormat="1" applyFont="1" applyBorder="1" applyProtection="1">
      <protection hidden="1"/>
    </xf>
    <xf numFmtId="194" fontId="14" fillId="0" borderId="0" xfId="2" applyNumberFormat="1" applyFont="1" applyBorder="1" applyAlignment="1" applyProtection="1">
      <alignment horizontal="right"/>
      <protection hidden="1"/>
    </xf>
    <xf numFmtId="194" fontId="9" fillId="0" borderId="20" xfId="0" applyNumberFormat="1" applyFont="1" applyBorder="1" applyProtection="1">
      <protection hidden="1"/>
    </xf>
    <xf numFmtId="194" fontId="14" fillId="0" borderId="26" xfId="2" applyNumberFormat="1" applyFont="1" applyBorder="1" applyAlignment="1" applyProtection="1">
      <alignment horizontal="left"/>
      <protection hidden="1"/>
    </xf>
    <xf numFmtId="1" fontId="9" fillId="0" borderId="0" xfId="2" applyNumberFormat="1" applyFont="1" applyBorder="1" applyAlignment="1" applyProtection="1">
      <alignment horizontal="right"/>
      <protection hidden="1"/>
    </xf>
    <xf numFmtId="194" fontId="9" fillId="0" borderId="28" xfId="0" applyNumberFormat="1" applyFont="1" applyBorder="1" applyProtection="1">
      <protection hidden="1"/>
    </xf>
    <xf numFmtId="170" fontId="9" fillId="0" borderId="29" xfId="4" applyNumberFormat="1" applyFont="1" applyBorder="1" applyProtection="1">
      <protection hidden="1"/>
    </xf>
    <xf numFmtId="0" fontId="9" fillId="0" borderId="0" xfId="0" applyFont="1" applyProtection="1">
      <protection hidden="1"/>
    </xf>
    <xf numFmtId="0" fontId="6" fillId="0" borderId="30" xfId="3" applyBorder="1" applyProtection="1">
      <protection hidden="1"/>
    </xf>
    <xf numFmtId="0" fontId="6" fillId="0" borderId="9" xfId="3" applyBorder="1" applyProtection="1">
      <protection hidden="1"/>
    </xf>
    <xf numFmtId="0" fontId="8" fillId="0" borderId="9" xfId="3" applyFont="1" applyBorder="1" applyAlignment="1" applyProtection="1">
      <alignment horizontal="right"/>
      <protection hidden="1"/>
    </xf>
    <xf numFmtId="0" fontId="9" fillId="0" borderId="10" xfId="0" applyFont="1" applyBorder="1" applyAlignment="1" applyProtection="1">
      <alignment horizontal="right"/>
      <protection hidden="1"/>
    </xf>
    <xf numFmtId="167" fontId="9" fillId="0" borderId="31" xfId="1" applyNumberFormat="1" applyFont="1" applyBorder="1" applyProtection="1">
      <protection hidden="1"/>
    </xf>
    <xf numFmtId="194" fontId="9" fillId="0" borderId="9" xfId="0" applyNumberFormat="1" applyFont="1" applyBorder="1" applyProtection="1">
      <protection hidden="1"/>
    </xf>
    <xf numFmtId="194" fontId="9" fillId="0" borderId="10" xfId="0" applyNumberFormat="1" applyFont="1" applyBorder="1" applyProtection="1">
      <protection hidden="1"/>
    </xf>
    <xf numFmtId="175" fontId="7" fillId="0" borderId="0" xfId="3" applyNumberFormat="1" applyFont="1"/>
    <xf numFmtId="176" fontId="7" fillId="0" borderId="0" xfId="3" applyNumberFormat="1" applyFont="1"/>
    <xf numFmtId="0" fontId="15" fillId="0" borderId="0" xfId="3" applyFont="1"/>
    <xf numFmtId="176" fontId="15" fillId="0" borderId="0" xfId="3" applyNumberFormat="1" applyFont="1"/>
    <xf numFmtId="0" fontId="6" fillId="0" borderId="0" xfId="3" applyFont="1" applyBorder="1"/>
    <xf numFmtId="229" fontId="6" fillId="0" borderId="0" xfId="3" applyNumberFormat="1" applyFont="1" applyBorder="1"/>
    <xf numFmtId="0" fontId="6" fillId="0" borderId="0" xfId="3" applyBorder="1"/>
    <xf numFmtId="166" fontId="15" fillId="0" borderId="0" xfId="1" applyNumberFormat="1" applyFont="1"/>
    <xf numFmtId="0" fontId="7" fillId="0" borderId="0" xfId="3" applyFont="1"/>
    <xf numFmtId="194" fontId="7" fillId="0" borderId="0" xfId="3" applyNumberFormat="1" applyFont="1"/>
    <xf numFmtId="0" fontId="6" fillId="0" borderId="0" xfId="3" applyFont="1"/>
    <xf numFmtId="1" fontId="16" fillId="0" borderId="0" xfId="2" applyNumberFormat="1" applyFont="1" applyBorder="1" applyAlignment="1" applyProtection="1">
      <alignment horizontal="left"/>
      <protection hidden="1"/>
    </xf>
    <xf numFmtId="194" fontId="16" fillId="0" borderId="0" xfId="2" applyNumberFormat="1" applyFont="1" applyBorder="1" applyProtection="1">
      <protection hidden="1"/>
    </xf>
    <xf numFmtId="194" fontId="16" fillId="0" borderId="32" xfId="2" applyNumberFormat="1" applyFont="1" applyBorder="1" applyAlignment="1" applyProtection="1">
      <alignment horizontal="left"/>
      <protection hidden="1"/>
    </xf>
    <xf numFmtId="194" fontId="6" fillId="0" borderId="0" xfId="3" applyNumberFormat="1" applyProtection="1">
      <protection hidden="1"/>
    </xf>
    <xf numFmtId="0" fontId="17" fillId="0" borderId="1" xfId="0" applyFont="1" applyBorder="1" applyAlignment="1" applyProtection="1">
      <alignment horizontal="left"/>
      <protection hidden="1"/>
    </xf>
    <xf numFmtId="0" fontId="17" fillId="0" borderId="2" xfId="0" applyFont="1" applyBorder="1" applyAlignment="1" applyProtection="1">
      <alignment horizontal="center"/>
      <protection hidden="1"/>
    </xf>
    <xf numFmtId="0" fontId="17" fillId="0" borderId="4" xfId="0" applyFont="1" applyBorder="1" applyAlignment="1" applyProtection="1">
      <alignment horizontal="center"/>
      <protection hidden="1"/>
    </xf>
    <xf numFmtId="0" fontId="0" fillId="0" borderId="0" xfId="0" applyBorder="1" applyProtection="1">
      <protection hidden="1"/>
    </xf>
    <xf numFmtId="0" fontId="0" fillId="0" borderId="11" xfId="0" applyBorder="1" applyProtection="1">
      <protection hidden="1"/>
    </xf>
    <xf numFmtId="0" fontId="0" fillId="0" borderId="5" xfId="0" applyBorder="1" applyProtection="1">
      <protection hidden="1"/>
    </xf>
    <xf numFmtId="0" fontId="8" fillId="0" borderId="0" xfId="0" applyFont="1" applyBorder="1" applyAlignment="1" applyProtection="1">
      <alignment horizontal="center" wrapText="1"/>
      <protection hidden="1"/>
    </xf>
    <xf numFmtId="194" fontId="0" fillId="0" borderId="33" xfId="0" applyNumberFormat="1" applyBorder="1" applyProtection="1">
      <protection hidden="1"/>
    </xf>
    <xf numFmtId="194" fontId="0" fillId="0" borderId="34" xfId="0" applyNumberFormat="1" applyBorder="1" applyProtection="1">
      <protection hidden="1"/>
    </xf>
    <xf numFmtId="194" fontId="0" fillId="0" borderId="35" xfId="0" applyNumberFormat="1" applyBorder="1" applyProtection="1">
      <protection hidden="1"/>
    </xf>
    <xf numFmtId="194" fontId="0" fillId="0" borderId="36" xfId="0" applyNumberFormat="1" applyBorder="1" applyProtection="1">
      <protection hidden="1"/>
    </xf>
    <xf numFmtId="194" fontId="0" fillId="0" borderId="37" xfId="0" applyNumberFormat="1" applyBorder="1" applyProtection="1">
      <protection hidden="1"/>
    </xf>
    <xf numFmtId="194" fontId="0" fillId="0" borderId="38" xfId="0" applyNumberFormat="1" applyBorder="1" applyProtection="1">
      <protection hidden="1"/>
    </xf>
    <xf numFmtId="194" fontId="0" fillId="0" borderId="39" xfId="0" applyNumberFormat="1" applyBorder="1" applyProtection="1">
      <protection hidden="1"/>
    </xf>
    <xf numFmtId="194" fontId="0" fillId="0" borderId="40" xfId="0" applyNumberFormat="1" applyBorder="1" applyProtection="1">
      <protection hidden="1"/>
    </xf>
    <xf numFmtId="194" fontId="0" fillId="0" borderId="41" xfId="0" applyNumberFormat="1" applyBorder="1" applyProtection="1">
      <protection hidden="1"/>
    </xf>
    <xf numFmtId="194" fontId="0" fillId="0" borderId="42" xfId="0" applyNumberFormat="1" applyBorder="1" applyProtection="1">
      <protection hidden="1"/>
    </xf>
    <xf numFmtId="194" fontId="0" fillId="0" borderId="43" xfId="0" applyNumberFormat="1" applyBorder="1" applyProtection="1">
      <protection hidden="1"/>
    </xf>
    <xf numFmtId="194" fontId="0" fillId="0" borderId="44" xfId="0" applyNumberFormat="1" applyBorder="1" applyProtection="1">
      <protection hidden="1"/>
    </xf>
    <xf numFmtId="194" fontId="0" fillId="0" borderId="45" xfId="0" applyNumberFormat="1" applyBorder="1" applyProtection="1">
      <protection hidden="1"/>
    </xf>
    <xf numFmtId="194" fontId="0" fillId="0" borderId="46" xfId="0" applyNumberFormat="1" applyBorder="1" applyProtection="1">
      <protection hidden="1"/>
    </xf>
    <xf numFmtId="194" fontId="0" fillId="0" borderId="47" xfId="0" applyNumberFormat="1" applyBorder="1" applyProtection="1">
      <protection hidden="1"/>
    </xf>
    <xf numFmtId="194" fontId="0" fillId="0" borderId="48" xfId="0" applyNumberFormat="1" applyBorder="1" applyProtection="1">
      <protection hidden="1"/>
    </xf>
    <xf numFmtId="194" fontId="0" fillId="0" borderId="30" xfId="0" applyNumberFormat="1" applyBorder="1" applyProtection="1">
      <protection hidden="1"/>
    </xf>
    <xf numFmtId="194" fontId="0" fillId="0" borderId="49" xfId="0" applyNumberFormat="1" applyBorder="1" applyProtection="1">
      <protection hidden="1"/>
    </xf>
    <xf numFmtId="194" fontId="0" fillId="0" borderId="50" xfId="0" applyNumberFormat="1" applyBorder="1" applyProtection="1">
      <protection hidden="1"/>
    </xf>
    <xf numFmtId="194" fontId="0" fillId="0" borderId="51" xfId="0" applyNumberFormat="1" applyBorder="1" applyProtection="1">
      <protection hidden="1"/>
    </xf>
    <xf numFmtId="194" fontId="0" fillId="0" borderId="9" xfId="0" applyNumberFormat="1" applyBorder="1" applyProtection="1">
      <protection hidden="1"/>
    </xf>
    <xf numFmtId="194" fontId="0" fillId="0" borderId="52" xfId="0" applyNumberFormat="1" applyBorder="1" applyProtection="1">
      <protection hidden="1"/>
    </xf>
    <xf numFmtId="194" fontId="0" fillId="0" borderId="10" xfId="0" applyNumberFormat="1" applyBorder="1" applyProtection="1">
      <protection hidden="1"/>
    </xf>
    <xf numFmtId="0" fontId="0" fillId="0" borderId="30" xfId="0" applyBorder="1" applyAlignment="1" applyProtection="1">
      <alignment horizontal="right"/>
      <protection hidden="1"/>
    </xf>
    <xf numFmtId="0" fontId="0" fillId="0" borderId="10" xfId="0" applyBorder="1" applyProtection="1">
      <protection hidden="1"/>
    </xf>
    <xf numFmtId="0" fontId="0" fillId="0" borderId="0" xfId="0" applyBorder="1"/>
    <xf numFmtId="0" fontId="0" fillId="0" borderId="2" xfId="0" applyBorder="1" applyProtection="1">
      <protection hidden="1"/>
    </xf>
    <xf numFmtId="0" fontId="0" fillId="0" borderId="0" xfId="0" applyBorder="1" applyAlignment="1" applyProtection="1">
      <alignment horizontal="left"/>
      <protection hidden="1"/>
    </xf>
    <xf numFmtId="176" fontId="0" fillId="0" borderId="0" xfId="0" applyNumberFormat="1" applyBorder="1" applyProtection="1">
      <protection hidden="1"/>
    </xf>
    <xf numFmtId="0" fontId="0" fillId="0" borderId="0" xfId="0" applyAlignment="1" applyProtection="1">
      <alignment horizontal="left"/>
      <protection hidden="1"/>
    </xf>
    <xf numFmtId="176" fontId="0" fillId="0" borderId="0" xfId="0" applyNumberFormat="1" applyProtection="1">
      <protection hidden="1"/>
    </xf>
    <xf numFmtId="0" fontId="0" fillId="0" borderId="0" xfId="0" applyProtection="1">
      <protection hidden="1"/>
    </xf>
    <xf numFmtId="0" fontId="6" fillId="0" borderId="53" xfId="3" applyFont="1" applyBorder="1"/>
    <xf numFmtId="173" fontId="18" fillId="0" borderId="0" xfId="3" applyNumberFormat="1" applyFont="1" applyBorder="1" applyAlignment="1" applyProtection="1">
      <alignment horizontal="right"/>
      <protection locked="0" hidden="1"/>
    </xf>
    <xf numFmtId="0" fontId="7" fillId="0" borderId="0" xfId="2" applyFont="1" applyBorder="1" applyProtection="1">
      <protection hidden="1"/>
    </xf>
    <xf numFmtId="175" fontId="7" fillId="0" borderId="0" xfId="3" applyNumberFormat="1" applyFont="1" applyBorder="1" applyAlignment="1" applyProtection="1">
      <alignment horizontal="left"/>
      <protection locked="0" hidden="1"/>
    </xf>
    <xf numFmtId="14" fontId="18" fillId="0" borderId="0" xfId="3" applyNumberFormat="1" applyFont="1" applyBorder="1" applyAlignment="1" applyProtection="1">
      <alignment horizontal="right"/>
      <protection locked="0" hidden="1"/>
    </xf>
    <xf numFmtId="1" fontId="15" fillId="0" borderId="0" xfId="2" applyNumberFormat="1" applyFont="1" applyAlignment="1">
      <alignment horizontal="right"/>
    </xf>
    <xf numFmtId="14" fontId="18" fillId="0" borderId="0" xfId="3" applyNumberFormat="1" applyFont="1" applyBorder="1" applyAlignment="1" applyProtection="1">
      <alignment horizontal="right" wrapText="1"/>
      <protection locked="0" hidden="1"/>
    </xf>
    <xf numFmtId="1" fontId="18" fillId="0" borderId="0" xfId="3" applyNumberFormat="1" applyFont="1" applyBorder="1" applyAlignment="1" applyProtection="1">
      <alignment horizontal="right"/>
      <protection locked="0" hidden="1"/>
    </xf>
    <xf numFmtId="194" fontId="15" fillId="0" borderId="17" xfId="2" applyNumberFormat="1" applyFont="1" applyBorder="1"/>
    <xf numFmtId="194" fontId="15" fillId="0" borderId="18" xfId="2" applyNumberFormat="1" applyFont="1" applyBorder="1"/>
    <xf numFmtId="179" fontId="11" fillId="0" borderId="18" xfId="2" applyNumberFormat="1" applyFont="1" applyBorder="1" applyAlignment="1" applyProtection="1">
      <alignment horizontal="right"/>
      <protection hidden="1"/>
    </xf>
    <xf numFmtId="179" fontId="11" fillId="0" borderId="19" xfId="2" applyNumberFormat="1" applyFont="1" applyBorder="1" applyAlignment="1" applyProtection="1">
      <alignment horizontal="left"/>
      <protection hidden="1"/>
    </xf>
    <xf numFmtId="179" fontId="11" fillId="0" borderId="19" xfId="2" applyNumberFormat="1" applyFont="1" applyBorder="1" applyAlignment="1" applyProtection="1">
      <alignment horizontal="right"/>
      <protection hidden="1"/>
    </xf>
    <xf numFmtId="194" fontId="15" fillId="0" borderId="0" xfId="2" applyNumberFormat="1" applyFont="1"/>
    <xf numFmtId="194" fontId="7" fillId="0" borderId="0" xfId="2" applyNumberFormat="1" applyFont="1" applyBorder="1" applyProtection="1">
      <protection hidden="1"/>
    </xf>
    <xf numFmtId="0" fontId="15" fillId="0" borderId="0" xfId="2" applyFont="1" applyFill="1" applyBorder="1"/>
    <xf numFmtId="218" fontId="8" fillId="0" borderId="0" xfId="3" applyNumberFormat="1" applyFont="1" applyBorder="1" applyAlignment="1">
      <alignment horizontal="center"/>
    </xf>
    <xf numFmtId="218" fontId="8" fillId="0" borderId="0" xfId="3" applyNumberFormat="1" applyFont="1" applyBorder="1" applyAlignment="1">
      <alignment horizontal="right"/>
    </xf>
    <xf numFmtId="225" fontId="8" fillId="0" borderId="0" xfId="3" applyNumberFormat="1" applyFont="1" applyBorder="1" applyAlignment="1">
      <alignment horizontal="left"/>
    </xf>
    <xf numFmtId="14" fontId="18" fillId="0" borderId="0" xfId="3" applyNumberFormat="1" applyFont="1" applyFill="1" applyBorder="1" applyAlignment="1" applyProtection="1">
      <alignment horizontal="right"/>
      <protection locked="0" hidden="1"/>
    </xf>
    <xf numFmtId="18" fontId="18" fillId="0" borderId="0" xfId="3" applyNumberFormat="1" applyFont="1" applyBorder="1" applyAlignment="1" applyProtection="1">
      <alignment horizontal="right"/>
      <protection locked="0" hidden="1"/>
    </xf>
    <xf numFmtId="0" fontId="19" fillId="0" borderId="0" xfId="3" applyNumberFormat="1" applyFont="1" applyBorder="1" applyAlignment="1" applyProtection="1">
      <alignment horizontal="right"/>
      <protection locked="0" hidden="1"/>
    </xf>
    <xf numFmtId="194" fontId="8" fillId="0" borderId="0" xfId="2" applyNumberFormat="1" applyFont="1"/>
    <xf numFmtId="218" fontId="8" fillId="0" borderId="0" xfId="3" applyNumberFormat="1" applyFont="1" applyBorder="1" applyAlignment="1"/>
    <xf numFmtId="227" fontId="8" fillId="0" borderId="0" xfId="3" applyNumberFormat="1" applyFont="1" applyBorder="1" applyAlignment="1">
      <alignment horizontal="left"/>
    </xf>
    <xf numFmtId="0" fontId="18" fillId="0" borderId="0" xfId="3" applyNumberFormat="1" applyFont="1" applyBorder="1" applyAlignment="1" applyProtection="1">
      <alignment horizontal="right"/>
      <protection locked="0" hidden="1"/>
    </xf>
    <xf numFmtId="1" fontId="18" fillId="0" borderId="54" xfId="3" applyNumberFormat="1" applyFont="1" applyBorder="1" applyAlignment="1" applyProtection="1">
      <alignment horizontal="right"/>
      <protection locked="0" hidden="1"/>
    </xf>
    <xf numFmtId="1" fontId="8" fillId="0" borderId="55" xfId="3" applyNumberFormat="1" applyFont="1" applyBorder="1" applyAlignment="1">
      <alignment horizontal="centerContinuous"/>
    </xf>
    <xf numFmtId="1" fontId="14" fillId="0" borderId="56" xfId="3" applyNumberFormat="1" applyFont="1" applyBorder="1" applyAlignment="1">
      <alignment horizontal="centerContinuous"/>
    </xf>
    <xf numFmtId="1" fontId="14" fillId="0" borderId="57" xfId="2" applyNumberFormat="1" applyFont="1" applyBorder="1" applyAlignment="1" applyProtection="1">
      <alignment horizontal="centerContinuous"/>
      <protection hidden="1"/>
    </xf>
    <xf numFmtId="1" fontId="14" fillId="0" borderId="2" xfId="3" applyNumberFormat="1" applyFont="1" applyBorder="1" applyAlignment="1">
      <alignment horizontal="left"/>
    </xf>
    <xf numFmtId="1" fontId="14" fillId="0" borderId="2" xfId="3" applyNumberFormat="1" applyFont="1" applyBorder="1" applyAlignment="1">
      <alignment horizontal="right"/>
    </xf>
    <xf numFmtId="1" fontId="14" fillId="0" borderId="2" xfId="3" applyNumberFormat="1" applyFont="1" applyBorder="1" applyAlignment="1">
      <alignment horizontal="centerContinuous"/>
    </xf>
    <xf numFmtId="1" fontId="9" fillId="0" borderId="4" xfId="2" applyNumberFormat="1" applyFont="1" applyBorder="1" applyAlignment="1" applyProtection="1">
      <alignment horizontal="centerContinuous"/>
      <protection hidden="1"/>
    </xf>
    <xf numFmtId="1" fontId="15" fillId="0" borderId="2" xfId="2" applyNumberFormat="1" applyFont="1" applyBorder="1" applyAlignment="1">
      <alignment horizontal="centerContinuous"/>
    </xf>
    <xf numFmtId="1" fontId="9" fillId="0" borderId="2" xfId="2" applyNumberFormat="1" applyFont="1" applyBorder="1" applyAlignment="1" applyProtection="1">
      <alignment horizontal="centerContinuous"/>
      <protection hidden="1"/>
    </xf>
    <xf numFmtId="1" fontId="14" fillId="0" borderId="58" xfId="3" applyNumberFormat="1" applyFont="1" applyBorder="1" applyAlignment="1">
      <alignment horizontal="centerContinuous"/>
    </xf>
    <xf numFmtId="1" fontId="14" fillId="0" borderId="59" xfId="3" applyNumberFormat="1" applyFont="1" applyBorder="1" applyAlignment="1">
      <alignment horizontal="centerContinuous"/>
    </xf>
    <xf numFmtId="1" fontId="15" fillId="0" borderId="0" xfId="2" applyNumberFormat="1" applyFont="1" applyFill="1" applyBorder="1"/>
    <xf numFmtId="0" fontId="19" fillId="0" borderId="0" xfId="2" applyFont="1" applyAlignment="1" applyProtection="1">
      <alignment wrapText="1"/>
      <protection hidden="1"/>
    </xf>
    <xf numFmtId="1" fontId="20" fillId="0" borderId="0" xfId="2" applyNumberFormat="1" applyFont="1" applyAlignment="1" applyProtection="1">
      <alignment wrapText="1"/>
      <protection hidden="1"/>
    </xf>
    <xf numFmtId="0" fontId="20" fillId="0" borderId="0" xfId="2" applyFont="1" applyAlignment="1" applyProtection="1">
      <alignment wrapText="1"/>
      <protection hidden="1"/>
    </xf>
    <xf numFmtId="1" fontId="19" fillId="0" borderId="0" xfId="2" applyNumberFormat="1" applyFont="1" applyAlignment="1" applyProtection="1">
      <alignment wrapText="1"/>
      <protection hidden="1"/>
    </xf>
    <xf numFmtId="1" fontId="20" fillId="0" borderId="0" xfId="2" applyNumberFormat="1" applyFont="1" applyAlignment="1" applyProtection="1">
      <alignment horizontal="right" wrapText="1"/>
      <protection hidden="1"/>
    </xf>
    <xf numFmtId="1" fontId="20" fillId="0" borderId="54" xfId="2" applyNumberFormat="1" applyFont="1" applyBorder="1" applyAlignment="1" applyProtection="1">
      <alignment wrapText="1"/>
      <protection hidden="1"/>
    </xf>
    <xf numFmtId="194" fontId="21" fillId="0" borderId="30" xfId="2" applyNumberFormat="1" applyFont="1" applyBorder="1" applyAlignment="1" applyProtection="1">
      <alignment horizontal="right" wrapText="1"/>
      <protection hidden="1"/>
    </xf>
    <xf numFmtId="194" fontId="21" fillId="0" borderId="9" xfId="2" applyNumberFormat="1" applyFont="1" applyBorder="1" applyAlignment="1" applyProtection="1">
      <alignment horizontal="right" wrapText="1"/>
      <protection hidden="1"/>
    </xf>
    <xf numFmtId="194" fontId="21" fillId="0" borderId="60" xfId="2" applyNumberFormat="1" applyFont="1" applyBorder="1" applyAlignment="1" applyProtection="1">
      <alignment horizontal="right" wrapText="1"/>
      <protection hidden="1"/>
    </xf>
    <xf numFmtId="194" fontId="21" fillId="0" borderId="10" xfId="2" applyNumberFormat="1" applyFont="1" applyBorder="1" applyAlignment="1" applyProtection="1">
      <alignment horizontal="right" wrapText="1"/>
      <protection hidden="1"/>
    </xf>
    <xf numFmtId="194" fontId="21" fillId="0" borderId="61" xfId="2" applyNumberFormat="1" applyFont="1" applyBorder="1" applyAlignment="1" applyProtection="1">
      <alignment horizontal="right" wrapText="1"/>
      <protection hidden="1"/>
    </xf>
    <xf numFmtId="194" fontId="21" fillId="0" borderId="62" xfId="2" applyNumberFormat="1" applyFont="1" applyBorder="1" applyAlignment="1" applyProtection="1">
      <alignment horizontal="right" wrapText="1"/>
      <protection hidden="1"/>
    </xf>
    <xf numFmtId="0" fontId="16" fillId="0" borderId="0" xfId="2" applyFont="1" applyProtection="1"/>
    <xf numFmtId="1" fontId="16" fillId="0" borderId="0" xfId="2" quotePrefix="1" applyNumberFormat="1" applyFont="1" applyProtection="1"/>
    <xf numFmtId="1" fontId="16" fillId="0" borderId="0" xfId="2" applyNumberFormat="1" applyFont="1" applyProtection="1"/>
    <xf numFmtId="1" fontId="16" fillId="0" borderId="0" xfId="2" applyNumberFormat="1" applyFont="1" applyAlignment="1" applyProtection="1">
      <alignment horizontal="right"/>
    </xf>
    <xf numFmtId="217" fontId="16" fillId="0" borderId="0" xfId="2" applyNumberFormat="1" applyFont="1" applyAlignment="1" applyProtection="1">
      <alignment horizontal="right"/>
      <protection hidden="1"/>
    </xf>
    <xf numFmtId="1" fontId="22" fillId="0" borderId="54" xfId="2" applyNumberFormat="1" applyFont="1" applyBorder="1" applyProtection="1">
      <protection hidden="1"/>
    </xf>
    <xf numFmtId="194" fontId="16" fillId="3" borderId="63" xfId="2" applyNumberFormat="1" applyFont="1" applyFill="1" applyBorder="1" applyProtection="1">
      <protection hidden="1"/>
    </xf>
    <xf numFmtId="194" fontId="16" fillId="3" borderId="64" xfId="2" applyNumberFormat="1" applyFont="1" applyFill="1" applyBorder="1" applyProtection="1">
      <protection hidden="1"/>
    </xf>
    <xf numFmtId="194" fontId="16" fillId="3" borderId="65" xfId="2" applyNumberFormat="1" applyFont="1" applyFill="1" applyBorder="1" applyProtection="1">
      <protection hidden="1"/>
    </xf>
    <xf numFmtId="194" fontId="16" fillId="3" borderId="53" xfId="2" applyNumberFormat="1" applyFont="1" applyFill="1" applyBorder="1" applyProtection="1">
      <protection hidden="1"/>
    </xf>
    <xf numFmtId="194" fontId="16" fillId="0" borderId="66" xfId="2" applyNumberFormat="1" applyFont="1" applyBorder="1" applyProtection="1">
      <protection hidden="1"/>
    </xf>
    <xf numFmtId="194" fontId="16" fillId="0" borderId="67" xfId="2" applyNumberFormat="1" applyFont="1" applyBorder="1" applyProtection="1">
      <protection hidden="1"/>
    </xf>
    <xf numFmtId="194" fontId="16" fillId="3" borderId="68" xfId="2" applyNumberFormat="1" applyFont="1" applyFill="1" applyBorder="1" applyProtection="1">
      <protection hidden="1"/>
    </xf>
    <xf numFmtId="194" fontId="16" fillId="0" borderId="69" xfId="2" applyNumberFormat="1" applyFont="1" applyBorder="1" applyProtection="1">
      <protection hidden="1"/>
    </xf>
    <xf numFmtId="194" fontId="16" fillId="0" borderId="53" xfId="2" applyNumberFormat="1" applyFont="1" applyBorder="1" applyProtection="1">
      <protection hidden="1"/>
    </xf>
    <xf numFmtId="194" fontId="16" fillId="3" borderId="70" xfId="2" applyNumberFormat="1" applyFont="1" applyFill="1" applyBorder="1" applyProtection="1">
      <protection hidden="1"/>
    </xf>
    <xf numFmtId="194" fontId="16" fillId="3" borderId="71" xfId="2" applyNumberFormat="1" applyFont="1" applyFill="1" applyBorder="1" applyProtection="1">
      <protection hidden="1"/>
    </xf>
    <xf numFmtId="0" fontId="15" fillId="0" borderId="0" xfId="2" applyNumberFormat="1" applyFont="1" applyFill="1" applyBorder="1"/>
    <xf numFmtId="0" fontId="15" fillId="0" borderId="0" xfId="2" quotePrefix="1" applyNumberFormat="1" applyFont="1" applyFill="1" applyBorder="1"/>
    <xf numFmtId="1" fontId="7" fillId="0" borderId="0" xfId="2" applyNumberFormat="1" applyFont="1" applyProtection="1"/>
    <xf numFmtId="194" fontId="16" fillId="3" borderId="72" xfId="2" applyNumberFormat="1" applyFont="1" applyFill="1" applyBorder="1" applyProtection="1">
      <protection hidden="1"/>
    </xf>
    <xf numFmtId="194" fontId="16" fillId="3" borderId="73" xfId="2" applyNumberFormat="1" applyFont="1" applyFill="1" applyBorder="1" applyProtection="1">
      <protection hidden="1"/>
    </xf>
    <xf numFmtId="194" fontId="16" fillId="3" borderId="74" xfId="2" applyNumberFormat="1" applyFont="1" applyFill="1" applyBorder="1" applyProtection="1">
      <protection hidden="1"/>
    </xf>
    <xf numFmtId="194" fontId="16" fillId="3" borderId="0" xfId="2" applyNumberFormat="1" applyFont="1" applyFill="1" applyBorder="1" applyProtection="1">
      <protection hidden="1"/>
    </xf>
    <xf numFmtId="194" fontId="16" fillId="0" borderId="54" xfId="2" applyNumberFormat="1" applyFont="1" applyBorder="1" applyProtection="1">
      <protection hidden="1"/>
    </xf>
    <xf numFmtId="194" fontId="16" fillId="0" borderId="11" xfId="2" applyNumberFormat="1" applyFont="1" applyBorder="1" applyProtection="1">
      <protection hidden="1"/>
    </xf>
    <xf numFmtId="194" fontId="16" fillId="3" borderId="75" xfId="2" applyNumberFormat="1" applyFont="1" applyFill="1" applyBorder="1" applyProtection="1">
      <protection hidden="1"/>
    </xf>
    <xf numFmtId="194" fontId="16" fillId="0" borderId="76" xfId="2" applyNumberFormat="1" applyFont="1" applyBorder="1" applyProtection="1">
      <protection hidden="1"/>
    </xf>
    <xf numFmtId="194" fontId="16" fillId="0" borderId="5" xfId="2" applyNumberFormat="1" applyFont="1" applyBorder="1" applyProtection="1">
      <protection hidden="1"/>
    </xf>
    <xf numFmtId="194" fontId="16" fillId="0" borderId="73" xfId="2" applyNumberFormat="1" applyFont="1" applyBorder="1" applyProtection="1">
      <protection hidden="1"/>
    </xf>
    <xf numFmtId="194" fontId="16" fillId="0" borderId="74" xfId="2" applyNumberFormat="1" applyFont="1" applyBorder="1" applyProtection="1">
      <protection hidden="1"/>
    </xf>
    <xf numFmtId="194" fontId="16" fillId="0" borderId="75" xfId="2" applyNumberFormat="1" applyFont="1" applyBorder="1" applyProtection="1">
      <protection hidden="1"/>
    </xf>
    <xf numFmtId="194" fontId="16" fillId="0" borderId="70" xfId="2" applyNumberFormat="1" applyFont="1" applyBorder="1" applyProtection="1">
      <protection hidden="1"/>
    </xf>
    <xf numFmtId="194" fontId="16" fillId="0" borderId="71" xfId="2" applyNumberFormat="1" applyFont="1" applyBorder="1" applyProtection="1">
      <protection hidden="1"/>
    </xf>
    <xf numFmtId="0" fontId="16" fillId="0" borderId="0" xfId="2" applyFont="1" applyBorder="1" applyProtection="1"/>
    <xf numFmtId="1" fontId="16" fillId="0" borderId="0" xfId="2" applyNumberFormat="1" applyFont="1" applyBorder="1" applyProtection="1"/>
    <xf numFmtId="1" fontId="16" fillId="0" borderId="0" xfId="2" applyNumberFormat="1" applyFont="1" applyBorder="1" applyAlignment="1" applyProtection="1">
      <alignment horizontal="right"/>
    </xf>
    <xf numFmtId="217" fontId="16" fillId="0" borderId="0" xfId="2" applyNumberFormat="1" applyFont="1" applyBorder="1" applyAlignment="1" applyProtection="1">
      <alignment horizontal="right"/>
      <protection hidden="1"/>
    </xf>
    <xf numFmtId="1" fontId="16" fillId="4" borderId="0" xfId="2" applyNumberFormat="1" applyFont="1" applyFill="1" applyProtection="1"/>
    <xf numFmtId="194" fontId="16" fillId="5" borderId="5" xfId="2" applyNumberFormat="1" applyFont="1" applyFill="1" applyBorder="1" applyProtection="1">
      <protection hidden="1"/>
    </xf>
    <xf numFmtId="0" fontId="16" fillId="0" borderId="26" xfId="2" applyFont="1" applyBorder="1" applyProtection="1"/>
    <xf numFmtId="1" fontId="16" fillId="0" borderId="26" xfId="2" applyNumberFormat="1" applyFont="1" applyBorder="1" applyProtection="1"/>
    <xf numFmtId="1" fontId="16" fillId="0" borderId="26" xfId="2" applyNumberFormat="1" applyFont="1" applyBorder="1" applyAlignment="1" applyProtection="1">
      <alignment horizontal="right"/>
    </xf>
    <xf numFmtId="217" fontId="16" fillId="0" borderId="26" xfId="2" applyNumberFormat="1" applyFont="1" applyBorder="1" applyAlignment="1" applyProtection="1">
      <alignment horizontal="right"/>
      <protection hidden="1"/>
    </xf>
    <xf numFmtId="1" fontId="22" fillId="0" borderId="77" xfId="2" applyNumberFormat="1" applyFont="1" applyBorder="1" applyProtection="1">
      <protection hidden="1"/>
    </xf>
    <xf numFmtId="194" fontId="16" fillId="0" borderId="24" xfId="2" applyNumberFormat="1" applyFont="1" applyBorder="1" applyProtection="1">
      <protection hidden="1"/>
    </xf>
    <xf numFmtId="194" fontId="16" fillId="0" borderId="78" xfId="2" applyNumberFormat="1" applyFont="1" applyBorder="1" applyProtection="1">
      <protection hidden="1"/>
    </xf>
    <xf numFmtId="194" fontId="16" fillId="0" borderId="79" xfId="2" applyNumberFormat="1" applyFont="1" applyBorder="1" applyProtection="1">
      <protection hidden="1"/>
    </xf>
    <xf numFmtId="194" fontId="16" fillId="0" borderId="26" xfId="2" applyNumberFormat="1" applyFont="1" applyBorder="1" applyProtection="1">
      <protection hidden="1"/>
    </xf>
    <xf numFmtId="194" fontId="16" fillId="0" borderId="77" xfId="2" applyNumberFormat="1" applyFont="1" applyBorder="1" applyProtection="1">
      <protection hidden="1"/>
    </xf>
    <xf numFmtId="194" fontId="16" fillId="0" borderId="80" xfId="2" applyNumberFormat="1" applyFont="1" applyBorder="1" applyProtection="1">
      <protection hidden="1"/>
    </xf>
    <xf numFmtId="194" fontId="16" fillId="0" borderId="81" xfId="2" applyNumberFormat="1" applyFont="1" applyBorder="1" applyProtection="1">
      <protection hidden="1"/>
    </xf>
    <xf numFmtId="194" fontId="16" fillId="0" borderId="82" xfId="2" applyNumberFormat="1" applyFont="1" applyBorder="1" applyProtection="1">
      <protection hidden="1"/>
    </xf>
    <xf numFmtId="194" fontId="16" fillId="0" borderId="83" xfId="2" applyNumberFormat="1" applyFont="1" applyBorder="1" applyProtection="1">
      <protection hidden="1"/>
    </xf>
    <xf numFmtId="194" fontId="16" fillId="0" borderId="84" xfId="2" applyNumberFormat="1" applyFont="1" applyBorder="1" applyProtection="1">
      <protection hidden="1"/>
    </xf>
    <xf numFmtId="194" fontId="16" fillId="0" borderId="85" xfId="2" applyNumberFormat="1" applyFont="1" applyBorder="1" applyProtection="1">
      <protection hidden="1"/>
    </xf>
    <xf numFmtId="217" fontId="16" fillId="0" borderId="0" xfId="2" applyNumberFormat="1" applyFont="1" applyFill="1" applyBorder="1" applyAlignment="1" applyProtection="1">
      <alignment horizontal="right"/>
      <protection hidden="1"/>
    </xf>
    <xf numFmtId="1" fontId="22" fillId="0" borderId="54" xfId="2" applyNumberFormat="1" applyFont="1" applyFill="1" applyBorder="1" applyProtection="1">
      <protection hidden="1"/>
    </xf>
    <xf numFmtId="194" fontId="16" fillId="0" borderId="72" xfId="2" applyNumberFormat="1" applyFont="1" applyFill="1" applyBorder="1" applyProtection="1">
      <protection hidden="1"/>
    </xf>
    <xf numFmtId="0" fontId="23" fillId="0" borderId="0" xfId="2" applyFont="1" applyFill="1" applyBorder="1"/>
    <xf numFmtId="0" fontId="23" fillId="0" borderId="0" xfId="2" applyNumberFormat="1" applyFont="1" applyFill="1" applyBorder="1"/>
    <xf numFmtId="1" fontId="24" fillId="0" borderId="0" xfId="2" applyNumberFormat="1" applyFont="1" applyProtection="1"/>
    <xf numFmtId="0" fontId="16" fillId="0" borderId="9" xfId="2" applyFont="1" applyBorder="1" applyProtection="1"/>
    <xf numFmtId="1" fontId="16" fillId="0" borderId="9" xfId="2" applyNumberFormat="1" applyFont="1" applyBorder="1" applyProtection="1"/>
    <xf numFmtId="1" fontId="16" fillId="0" borderId="9" xfId="2" applyNumberFormat="1" applyFont="1" applyBorder="1" applyAlignment="1" applyProtection="1">
      <alignment horizontal="right"/>
    </xf>
    <xf numFmtId="217" fontId="16" fillId="0" borderId="9" xfId="2" applyNumberFormat="1" applyFont="1" applyBorder="1" applyAlignment="1" applyProtection="1">
      <alignment horizontal="right"/>
      <protection hidden="1"/>
    </xf>
    <xf numFmtId="1" fontId="22" fillId="0" borderId="60" xfId="2" applyNumberFormat="1" applyFont="1" applyBorder="1" applyProtection="1">
      <protection hidden="1"/>
    </xf>
    <xf numFmtId="194" fontId="16" fillId="0" borderId="30" xfId="2" applyNumberFormat="1" applyFont="1" applyBorder="1" applyProtection="1">
      <protection hidden="1"/>
    </xf>
    <xf numFmtId="194" fontId="16" fillId="0" borderId="50" xfId="2" applyNumberFormat="1" applyFont="1" applyBorder="1" applyProtection="1">
      <protection hidden="1"/>
    </xf>
    <xf numFmtId="194" fontId="16" fillId="0" borderId="86" xfId="2" applyNumberFormat="1" applyFont="1" applyBorder="1" applyProtection="1">
      <protection hidden="1"/>
    </xf>
    <xf numFmtId="194" fontId="16" fillId="0" borderId="9" xfId="2" applyNumberFormat="1" applyFont="1" applyBorder="1" applyProtection="1">
      <protection hidden="1"/>
    </xf>
    <xf numFmtId="194" fontId="16" fillId="0" borderId="60" xfId="2" applyNumberFormat="1" applyFont="1" applyBorder="1" applyProtection="1">
      <protection hidden="1"/>
    </xf>
    <xf numFmtId="194" fontId="16" fillId="0" borderId="10" xfId="2" applyNumberFormat="1" applyFont="1" applyBorder="1" applyProtection="1">
      <protection hidden="1"/>
    </xf>
    <xf numFmtId="194" fontId="16" fillId="0" borderId="8" xfId="2" applyNumberFormat="1" applyFont="1" applyBorder="1" applyProtection="1">
      <protection hidden="1"/>
    </xf>
    <xf numFmtId="194" fontId="16" fillId="0" borderId="87" xfId="2" applyNumberFormat="1" applyFont="1" applyBorder="1" applyProtection="1">
      <protection hidden="1"/>
    </xf>
    <xf numFmtId="194" fontId="16" fillId="0" borderId="61" xfId="2" applyNumberFormat="1" applyFont="1" applyBorder="1" applyProtection="1">
      <protection hidden="1"/>
    </xf>
    <xf numFmtId="194" fontId="16" fillId="0" borderId="62" xfId="2" applyNumberFormat="1" applyFont="1" applyBorder="1" applyProtection="1">
      <protection hidden="1"/>
    </xf>
    <xf numFmtId="176" fontId="16" fillId="0" borderId="0" xfId="2" quotePrefix="1" applyNumberFormat="1" applyFont="1" applyProtection="1"/>
    <xf numFmtId="217" fontId="16" fillId="5" borderId="0" xfId="2" applyNumberFormat="1" applyFont="1" applyFill="1" applyAlignment="1" applyProtection="1">
      <alignment horizontal="right"/>
      <protection hidden="1"/>
    </xf>
    <xf numFmtId="1" fontId="22" fillId="5" borderId="54" xfId="2" applyNumberFormat="1" applyFont="1" applyFill="1" applyBorder="1" applyProtection="1">
      <protection hidden="1"/>
    </xf>
    <xf numFmtId="176" fontId="16" fillId="0" borderId="88" xfId="2" quotePrefix="1" applyNumberFormat="1" applyFont="1" applyBorder="1" applyProtection="1"/>
    <xf numFmtId="1" fontId="16" fillId="0" borderId="88" xfId="2" applyNumberFormat="1" applyFont="1" applyBorder="1" applyProtection="1"/>
    <xf numFmtId="0" fontId="16" fillId="0" borderId="88" xfId="2" applyFont="1" applyBorder="1" applyProtection="1"/>
    <xf numFmtId="1" fontId="7" fillId="0" borderId="88" xfId="2" applyNumberFormat="1" applyFont="1" applyBorder="1" applyProtection="1"/>
    <xf numFmtId="1" fontId="16" fillId="0" borderId="88" xfId="2" applyNumberFormat="1" applyFont="1" applyBorder="1" applyAlignment="1" applyProtection="1">
      <alignment horizontal="right"/>
    </xf>
    <xf numFmtId="217" fontId="16" fillId="0" borderId="88" xfId="2" applyNumberFormat="1" applyFont="1" applyBorder="1" applyAlignment="1" applyProtection="1">
      <alignment horizontal="right"/>
      <protection hidden="1"/>
    </xf>
    <xf numFmtId="1" fontId="22" fillId="0" borderId="89" xfId="2" applyNumberFormat="1" applyFont="1" applyBorder="1" applyProtection="1">
      <protection hidden="1"/>
    </xf>
    <xf numFmtId="194" fontId="16" fillId="0" borderId="47" xfId="2" applyNumberFormat="1" applyFont="1" applyBorder="1" applyProtection="1">
      <protection hidden="1"/>
    </xf>
    <xf numFmtId="194" fontId="16" fillId="0" borderId="48" xfId="2" applyNumberFormat="1" applyFont="1" applyBorder="1" applyProtection="1">
      <protection hidden="1"/>
    </xf>
    <xf numFmtId="194" fontId="16" fillId="0" borderId="90" xfId="2" applyNumberFormat="1" applyFont="1" applyBorder="1" applyProtection="1">
      <protection hidden="1"/>
    </xf>
    <xf numFmtId="194" fontId="16" fillId="0" borderId="88" xfId="2" applyNumberFormat="1" applyFont="1" applyBorder="1" applyProtection="1">
      <protection hidden="1"/>
    </xf>
    <xf numFmtId="194" fontId="16" fillId="0" borderId="89" xfId="2" applyNumberFormat="1" applyFont="1" applyBorder="1" applyProtection="1">
      <protection hidden="1"/>
    </xf>
    <xf numFmtId="194" fontId="16" fillId="0" borderId="91" xfId="2" applyNumberFormat="1" applyFont="1" applyBorder="1" applyProtection="1">
      <protection hidden="1"/>
    </xf>
    <xf numFmtId="194" fontId="16" fillId="0" borderId="92" xfId="2" applyNumberFormat="1" applyFont="1" applyBorder="1" applyProtection="1">
      <protection hidden="1"/>
    </xf>
    <xf numFmtId="194" fontId="16" fillId="0" borderId="93" xfId="2" applyNumberFormat="1" applyFont="1" applyBorder="1" applyProtection="1">
      <protection hidden="1"/>
    </xf>
    <xf numFmtId="194" fontId="16" fillId="0" borderId="94" xfId="2" applyNumberFormat="1" applyFont="1" applyBorder="1" applyProtection="1">
      <protection hidden="1"/>
    </xf>
    <xf numFmtId="194" fontId="16" fillId="0" borderId="95" xfId="2" applyNumberFormat="1" applyFont="1" applyBorder="1" applyProtection="1">
      <protection hidden="1"/>
    </xf>
    <xf numFmtId="176" fontId="16" fillId="0" borderId="0" xfId="2" quotePrefix="1" applyNumberFormat="1" applyFont="1" applyBorder="1" applyProtection="1"/>
    <xf numFmtId="176" fontId="16" fillId="0" borderId="9" xfId="2" quotePrefix="1" applyNumberFormat="1" applyFont="1" applyBorder="1" applyProtection="1"/>
    <xf numFmtId="1" fontId="22" fillId="0" borderId="54" xfId="2" applyNumberFormat="1" applyFont="1" applyBorder="1" applyAlignment="1" applyProtection="1">
      <alignment horizontal="left" vertical="top"/>
      <protection hidden="1"/>
    </xf>
    <xf numFmtId="1" fontId="16" fillId="0" borderId="0" xfId="2" quotePrefix="1" applyNumberFormat="1" applyFont="1" applyBorder="1" applyProtection="1"/>
    <xf numFmtId="1" fontId="22" fillId="0" borderId="54" xfId="2" quotePrefix="1" applyNumberFormat="1" applyFont="1" applyBorder="1" applyProtection="1">
      <protection hidden="1"/>
    </xf>
    <xf numFmtId="1" fontId="16" fillId="6" borderId="0" xfId="2" applyNumberFormat="1" applyFont="1" applyFill="1" applyProtection="1"/>
    <xf numFmtId="217" fontId="16" fillId="5" borderId="96" xfId="2" applyNumberFormat="1" applyFont="1" applyFill="1" applyBorder="1" applyAlignment="1" applyProtection="1">
      <alignment horizontal="right"/>
      <protection hidden="1"/>
    </xf>
    <xf numFmtId="176" fontId="16" fillId="0" borderId="97" xfId="2" quotePrefix="1" applyNumberFormat="1" applyFont="1" applyBorder="1" applyProtection="1"/>
    <xf numFmtId="1" fontId="16" fillId="0" borderId="97" xfId="2" applyNumberFormat="1" applyFont="1" applyBorder="1" applyProtection="1"/>
    <xf numFmtId="0" fontId="16" fillId="0" borderId="97" xfId="2" applyFont="1" applyBorder="1" applyProtection="1"/>
    <xf numFmtId="1" fontId="16" fillId="0" borderId="97" xfId="2" applyNumberFormat="1" applyFont="1" applyBorder="1" applyAlignment="1" applyProtection="1">
      <alignment horizontal="right"/>
    </xf>
    <xf numFmtId="194" fontId="16" fillId="0" borderId="98" xfId="2" applyNumberFormat="1" applyFont="1" applyBorder="1" applyProtection="1">
      <protection hidden="1"/>
    </xf>
    <xf numFmtId="194" fontId="16" fillId="0" borderId="97" xfId="2" applyNumberFormat="1" applyFont="1" applyBorder="1" applyProtection="1">
      <protection hidden="1"/>
    </xf>
    <xf numFmtId="194" fontId="16" fillId="0" borderId="99" xfId="2" applyNumberFormat="1" applyFont="1" applyBorder="1" applyProtection="1">
      <protection hidden="1"/>
    </xf>
    <xf numFmtId="194" fontId="16" fillId="0" borderId="100" xfId="2" applyNumberFormat="1" applyFont="1" applyBorder="1" applyProtection="1">
      <protection hidden="1"/>
    </xf>
    <xf numFmtId="194" fontId="16" fillId="0" borderId="101" xfId="2" applyNumberFormat="1" applyFont="1" applyBorder="1" applyProtection="1">
      <protection hidden="1"/>
    </xf>
    <xf numFmtId="194" fontId="16" fillId="0" borderId="102" xfId="2" applyNumberFormat="1" applyFont="1" applyBorder="1" applyProtection="1">
      <protection hidden="1"/>
    </xf>
    <xf numFmtId="194" fontId="16" fillId="0" borderId="103" xfId="2" applyNumberFormat="1" applyFont="1" applyBorder="1" applyProtection="1">
      <protection hidden="1"/>
    </xf>
    <xf numFmtId="194" fontId="16" fillId="0" borderId="104" xfId="2" applyNumberFormat="1" applyFont="1" applyBorder="1" applyProtection="1">
      <protection hidden="1"/>
    </xf>
    <xf numFmtId="194" fontId="16" fillId="0" borderId="105" xfId="2" applyNumberFormat="1" applyFont="1" applyBorder="1" applyProtection="1">
      <protection hidden="1"/>
    </xf>
    <xf numFmtId="176" fontId="16" fillId="0" borderId="0" xfId="2" quotePrefix="1" applyNumberFormat="1" applyFont="1" applyAlignment="1" applyProtection="1"/>
    <xf numFmtId="176" fontId="16" fillId="0" borderId="20" xfId="2" quotePrefix="1" applyNumberFormat="1" applyFont="1" applyBorder="1" applyProtection="1"/>
    <xf numFmtId="1" fontId="16" fillId="0" borderId="20" xfId="2" applyNumberFormat="1" applyFont="1" applyBorder="1" applyProtection="1"/>
    <xf numFmtId="0" fontId="16" fillId="0" borderId="20" xfId="2" applyFont="1" applyBorder="1" applyProtection="1"/>
    <xf numFmtId="1" fontId="16" fillId="0" borderId="20" xfId="2" applyNumberFormat="1" applyFont="1" applyBorder="1" applyAlignment="1" applyProtection="1">
      <alignment horizontal="right"/>
    </xf>
    <xf numFmtId="217" fontId="16" fillId="0" borderId="20" xfId="2" applyNumberFormat="1" applyFont="1" applyBorder="1" applyAlignment="1" applyProtection="1">
      <alignment horizontal="right"/>
      <protection hidden="1"/>
    </xf>
    <xf numFmtId="1" fontId="22" fillId="0" borderId="106" xfId="2" applyNumberFormat="1" applyFont="1" applyBorder="1" applyProtection="1">
      <protection hidden="1"/>
    </xf>
    <xf numFmtId="194" fontId="16" fillId="0" borderId="107" xfId="2" applyNumberFormat="1" applyFont="1" applyBorder="1" applyProtection="1">
      <protection hidden="1"/>
    </xf>
    <xf numFmtId="194" fontId="16" fillId="0" borderId="108" xfId="2" applyNumberFormat="1" applyFont="1" applyBorder="1" applyProtection="1">
      <protection hidden="1"/>
    </xf>
    <xf numFmtId="194" fontId="16" fillId="0" borderId="109" xfId="2" applyNumberFormat="1" applyFont="1" applyBorder="1" applyProtection="1">
      <protection hidden="1"/>
    </xf>
    <xf numFmtId="194" fontId="16" fillId="0" borderId="20" xfId="2" applyNumberFormat="1" applyFont="1" applyBorder="1" applyProtection="1">
      <protection hidden="1"/>
    </xf>
    <xf numFmtId="194" fontId="16" fillId="0" borderId="106" xfId="2" applyNumberFormat="1" applyFont="1" applyBorder="1" applyProtection="1">
      <protection hidden="1"/>
    </xf>
    <xf numFmtId="194" fontId="16" fillId="0" borderId="21" xfId="2" applyNumberFormat="1" applyFont="1" applyBorder="1" applyProtection="1">
      <protection hidden="1"/>
    </xf>
    <xf numFmtId="194" fontId="16" fillId="0" borderId="110" xfId="2" applyNumberFormat="1" applyFont="1" applyBorder="1" applyProtection="1">
      <protection hidden="1"/>
    </xf>
    <xf numFmtId="194" fontId="16" fillId="0" borderId="111" xfId="2" applyNumberFormat="1" applyFont="1" applyBorder="1" applyProtection="1">
      <protection hidden="1"/>
    </xf>
    <xf numFmtId="194" fontId="16" fillId="0" borderId="112" xfId="2" applyNumberFormat="1" applyFont="1" applyBorder="1" applyProtection="1">
      <protection hidden="1"/>
    </xf>
    <xf numFmtId="194" fontId="16" fillId="0" borderId="113" xfId="2" applyNumberFormat="1" applyFont="1" applyBorder="1" applyProtection="1">
      <protection hidden="1"/>
    </xf>
    <xf numFmtId="1" fontId="16" fillId="0" borderId="0" xfId="2" applyNumberFormat="1" applyFont="1" applyFill="1" applyProtection="1"/>
    <xf numFmtId="194" fontId="16" fillId="0" borderId="70" xfId="2" applyNumberFormat="1" applyFont="1" applyFill="1" applyBorder="1" applyProtection="1">
      <protection hidden="1"/>
    </xf>
    <xf numFmtId="194" fontId="16" fillId="0" borderId="114" xfId="2" applyNumberFormat="1" applyFont="1" applyFill="1" applyBorder="1" applyProtection="1">
      <protection hidden="1"/>
    </xf>
    <xf numFmtId="194" fontId="16" fillId="0" borderId="115" xfId="2" applyNumberFormat="1" applyFont="1" applyFill="1" applyBorder="1" applyProtection="1">
      <protection hidden="1"/>
    </xf>
    <xf numFmtId="194" fontId="16" fillId="3" borderId="5" xfId="2" applyNumberFormat="1" applyFont="1" applyFill="1" applyBorder="1" applyProtection="1">
      <protection hidden="1"/>
    </xf>
    <xf numFmtId="194" fontId="16" fillId="3" borderId="76" xfId="2" applyNumberFormat="1" applyFont="1" applyFill="1" applyBorder="1" applyProtection="1">
      <protection hidden="1"/>
    </xf>
    <xf numFmtId="1" fontId="16" fillId="0" borderId="88" xfId="2" quotePrefix="1" applyNumberFormat="1" applyFont="1" applyBorder="1" applyProtection="1"/>
    <xf numFmtId="194" fontId="16" fillId="3" borderId="47" xfId="2" applyNumberFormat="1" applyFont="1" applyFill="1" applyBorder="1" applyProtection="1">
      <protection hidden="1"/>
    </xf>
    <xf numFmtId="194" fontId="16" fillId="3" borderId="48" xfId="2" applyNumberFormat="1" applyFont="1" applyFill="1" applyBorder="1" applyProtection="1">
      <protection hidden="1"/>
    </xf>
    <xf numFmtId="194" fontId="16" fillId="3" borderId="90" xfId="2" applyNumberFormat="1" applyFont="1" applyFill="1" applyBorder="1" applyProtection="1">
      <protection hidden="1"/>
    </xf>
    <xf numFmtId="194" fontId="16" fillId="3" borderId="88" xfId="2" applyNumberFormat="1" applyFont="1" applyFill="1" applyBorder="1" applyProtection="1">
      <protection hidden="1"/>
    </xf>
    <xf numFmtId="194" fontId="16" fillId="3" borderId="92" xfId="2" applyNumberFormat="1" applyFont="1" applyFill="1" applyBorder="1" applyProtection="1">
      <protection hidden="1"/>
    </xf>
    <xf numFmtId="194" fontId="16" fillId="3" borderId="93" xfId="2" applyNumberFormat="1" applyFont="1" applyFill="1" applyBorder="1" applyProtection="1">
      <protection hidden="1"/>
    </xf>
    <xf numFmtId="194" fontId="16" fillId="3" borderId="94" xfId="2" applyNumberFormat="1" applyFont="1" applyFill="1" applyBorder="1" applyProtection="1">
      <protection hidden="1"/>
    </xf>
    <xf numFmtId="194" fontId="16" fillId="3" borderId="95" xfId="2" applyNumberFormat="1" applyFont="1" applyFill="1" applyBorder="1" applyProtection="1">
      <protection hidden="1"/>
    </xf>
    <xf numFmtId="1" fontId="16" fillId="4" borderId="0" xfId="2" applyNumberFormat="1" applyFont="1" applyFill="1" applyBorder="1" applyProtection="1"/>
    <xf numFmtId="1" fontId="24" fillId="0" borderId="0" xfId="2" applyNumberFormat="1" applyFont="1" applyBorder="1" applyProtection="1"/>
    <xf numFmtId="176" fontId="16" fillId="0" borderId="9" xfId="2" applyNumberFormat="1" applyFont="1" applyBorder="1" applyProtection="1">
      <protection hidden="1"/>
    </xf>
    <xf numFmtId="1" fontId="16" fillId="0" borderId="9" xfId="2" applyNumberFormat="1" applyFont="1" applyBorder="1" applyProtection="1">
      <protection hidden="1"/>
    </xf>
    <xf numFmtId="0" fontId="16" fillId="0" borderId="9" xfId="2" applyFont="1" applyBorder="1" applyProtection="1">
      <protection hidden="1"/>
    </xf>
    <xf numFmtId="1" fontId="16" fillId="0" borderId="9" xfId="2" applyNumberFormat="1" applyFont="1" applyBorder="1" applyAlignment="1" applyProtection="1">
      <alignment horizontal="right"/>
      <protection hidden="1"/>
    </xf>
    <xf numFmtId="1" fontId="16" fillId="0" borderId="60" xfId="2" applyNumberFormat="1" applyFont="1" applyBorder="1" applyAlignment="1" applyProtection="1">
      <alignment horizontal="right"/>
      <protection hidden="1"/>
    </xf>
    <xf numFmtId="194" fontId="16" fillId="0" borderId="116" xfId="2" applyNumberFormat="1" applyFont="1" applyBorder="1" applyProtection="1">
      <protection hidden="1"/>
    </xf>
    <xf numFmtId="194" fontId="16" fillId="0" borderId="117" xfId="2" applyNumberFormat="1" applyFont="1" applyBorder="1" applyProtection="1">
      <protection hidden="1"/>
    </xf>
    <xf numFmtId="194" fontId="16" fillId="0" borderId="118" xfId="2" applyNumberFormat="1" applyFont="1" applyBorder="1" applyProtection="1">
      <protection hidden="1"/>
    </xf>
    <xf numFmtId="176" fontId="16" fillId="0" borderId="0" xfId="2" applyNumberFormat="1" applyFont="1" applyBorder="1" applyAlignment="1" applyProtection="1">
      <protection hidden="1"/>
    </xf>
    <xf numFmtId="1" fontId="16" fillId="0" borderId="0" xfId="2" applyNumberFormat="1" applyFont="1" applyBorder="1" applyAlignment="1" applyProtection="1">
      <protection hidden="1"/>
    </xf>
    <xf numFmtId="0" fontId="16" fillId="0" borderId="0" xfId="2" applyFont="1" applyBorder="1" applyAlignment="1" applyProtection="1">
      <protection hidden="1"/>
    </xf>
    <xf numFmtId="0" fontId="15" fillId="0" borderId="0" xfId="2" applyFont="1" applyAlignment="1"/>
    <xf numFmtId="1" fontId="16" fillId="0" borderId="0" xfId="2" applyNumberFormat="1" applyFont="1" applyBorder="1" applyAlignment="1" applyProtection="1">
      <alignment horizontal="right"/>
      <protection hidden="1"/>
    </xf>
    <xf numFmtId="194" fontId="16" fillId="0" borderId="0" xfId="2" applyNumberFormat="1" applyFont="1" applyBorder="1" applyAlignment="1" applyProtection="1">
      <alignment horizontal="right"/>
      <protection hidden="1"/>
    </xf>
    <xf numFmtId="194" fontId="16" fillId="0" borderId="119" xfId="2" applyNumberFormat="1" applyFont="1" applyBorder="1" applyAlignment="1" applyProtection="1">
      <protection hidden="1"/>
    </xf>
    <xf numFmtId="194" fontId="16" fillId="0" borderId="120" xfId="2" applyNumberFormat="1" applyFont="1" applyBorder="1" applyAlignment="1" applyProtection="1">
      <protection hidden="1"/>
    </xf>
    <xf numFmtId="194" fontId="16" fillId="0" borderId="121" xfId="2" applyNumberFormat="1" applyFont="1" applyBorder="1" applyAlignment="1" applyProtection="1">
      <protection hidden="1"/>
    </xf>
    <xf numFmtId="194" fontId="16" fillId="0" borderId="0" xfId="2" applyNumberFormat="1" applyFont="1" applyBorder="1" applyAlignment="1" applyProtection="1">
      <protection hidden="1"/>
    </xf>
    <xf numFmtId="194" fontId="16" fillId="0" borderId="1" xfId="2" applyNumberFormat="1" applyFont="1" applyBorder="1" applyAlignment="1" applyProtection="1">
      <protection hidden="1"/>
    </xf>
    <xf numFmtId="194" fontId="16" fillId="0" borderId="122" xfId="2" applyNumberFormat="1" applyFont="1" applyBorder="1" applyAlignment="1" applyProtection="1">
      <protection hidden="1"/>
    </xf>
    <xf numFmtId="0" fontId="6" fillId="0" borderId="0" xfId="3" applyAlignment="1"/>
    <xf numFmtId="194" fontId="16" fillId="0" borderId="70" xfId="2" applyNumberFormat="1" applyFont="1" applyBorder="1" applyAlignment="1" applyProtection="1">
      <protection hidden="1"/>
    </xf>
    <xf numFmtId="194" fontId="16" fillId="0" borderId="71" xfId="2" applyNumberFormat="1" applyFont="1" applyBorder="1" applyAlignment="1" applyProtection="1">
      <protection hidden="1"/>
    </xf>
    <xf numFmtId="0" fontId="15" fillId="0" borderId="0" xfId="2" applyFont="1" applyFill="1" applyBorder="1" applyAlignment="1"/>
    <xf numFmtId="0" fontId="15" fillId="0" borderId="0" xfId="2" applyNumberFormat="1" applyFont="1" applyFill="1" applyBorder="1" applyAlignment="1"/>
    <xf numFmtId="194" fontId="16" fillId="0" borderId="123" xfId="2" applyNumberFormat="1" applyFont="1" applyBorder="1" applyAlignment="1" applyProtection="1">
      <protection hidden="1"/>
    </xf>
    <xf numFmtId="194" fontId="16" fillId="0" borderId="50" xfId="2" applyNumberFormat="1" applyFont="1" applyBorder="1" applyAlignment="1" applyProtection="1">
      <protection hidden="1"/>
    </xf>
    <xf numFmtId="194" fontId="16" fillId="0" borderId="51" xfId="2" applyNumberFormat="1" applyFont="1" applyBorder="1" applyAlignment="1" applyProtection="1">
      <protection hidden="1"/>
    </xf>
    <xf numFmtId="194" fontId="16" fillId="0" borderId="30" xfId="2" applyNumberFormat="1" applyFont="1" applyBorder="1" applyAlignment="1" applyProtection="1">
      <protection hidden="1"/>
    </xf>
    <xf numFmtId="194" fontId="16" fillId="0" borderId="52" xfId="2" applyNumberFormat="1" applyFont="1" applyBorder="1" applyAlignment="1" applyProtection="1">
      <protection hidden="1"/>
    </xf>
    <xf numFmtId="194" fontId="16" fillId="0" borderId="61" xfId="2" applyNumberFormat="1" applyFont="1" applyBorder="1" applyAlignment="1" applyProtection="1">
      <protection hidden="1"/>
    </xf>
    <xf numFmtId="194" fontId="16" fillId="0" borderId="62" xfId="2" applyNumberFormat="1" applyFont="1" applyBorder="1" applyAlignment="1" applyProtection="1">
      <protection hidden="1"/>
    </xf>
    <xf numFmtId="194" fontId="16" fillId="0" borderId="124" xfId="2" applyNumberFormat="1" applyFont="1" applyBorder="1" applyAlignment="1" applyProtection="1">
      <protection hidden="1"/>
    </xf>
    <xf numFmtId="194" fontId="16" fillId="0" borderId="125" xfId="2" applyNumberFormat="1" applyFont="1" applyBorder="1" applyAlignment="1" applyProtection="1">
      <protection hidden="1"/>
    </xf>
    <xf numFmtId="194" fontId="16" fillId="0" borderId="126" xfId="2" applyNumberFormat="1" applyFont="1" applyBorder="1" applyAlignment="1" applyProtection="1">
      <protection hidden="1"/>
    </xf>
    <xf numFmtId="194" fontId="16" fillId="0" borderId="127" xfId="2" applyNumberFormat="1" applyFont="1" applyBorder="1" applyAlignment="1" applyProtection="1">
      <protection hidden="1"/>
    </xf>
    <xf numFmtId="194" fontId="16" fillId="0" borderId="128" xfId="2" applyNumberFormat="1" applyFont="1" applyBorder="1" applyAlignment="1" applyProtection="1">
      <protection hidden="1"/>
    </xf>
    <xf numFmtId="194" fontId="16" fillId="0" borderId="129" xfId="2" applyNumberFormat="1" applyFont="1" applyBorder="1" applyAlignment="1" applyProtection="1">
      <protection hidden="1"/>
    </xf>
    <xf numFmtId="194" fontId="16" fillId="0" borderId="130" xfId="2" applyNumberFormat="1" applyFont="1" applyBorder="1" applyAlignment="1" applyProtection="1">
      <protection hidden="1"/>
    </xf>
    <xf numFmtId="194" fontId="16" fillId="0" borderId="72" xfId="2" applyNumberFormat="1" applyFont="1" applyBorder="1" applyAlignment="1" applyProtection="1">
      <protection hidden="1"/>
    </xf>
    <xf numFmtId="194" fontId="16" fillId="0" borderId="73" xfId="2" applyNumberFormat="1" applyFont="1" applyBorder="1" applyAlignment="1" applyProtection="1">
      <protection hidden="1"/>
    </xf>
    <xf numFmtId="194" fontId="16" fillId="0" borderId="131" xfId="2" applyNumberFormat="1" applyFont="1" applyBorder="1" applyAlignment="1" applyProtection="1">
      <protection hidden="1"/>
    </xf>
    <xf numFmtId="194" fontId="16" fillId="0" borderId="5" xfId="2" applyNumberFormat="1" applyFont="1" applyBorder="1" applyAlignment="1" applyProtection="1">
      <protection hidden="1"/>
    </xf>
    <xf numFmtId="194" fontId="16" fillId="0" borderId="132" xfId="2" applyNumberFormat="1" applyFont="1" applyBorder="1" applyAlignment="1" applyProtection="1">
      <protection hidden="1"/>
    </xf>
    <xf numFmtId="176" fontId="16" fillId="0" borderId="0" xfId="2" applyNumberFormat="1" applyFont="1" applyAlignment="1" applyProtection="1">
      <protection hidden="1"/>
    </xf>
    <xf numFmtId="0" fontId="25" fillId="0" borderId="0" xfId="2" applyFont="1" applyBorder="1" applyAlignment="1" applyProtection="1">
      <protection hidden="1"/>
    </xf>
    <xf numFmtId="194" fontId="16" fillId="0" borderId="0" xfId="2" applyNumberFormat="1" applyFont="1" applyBorder="1" applyAlignment="1" applyProtection="1">
      <alignment horizontal="left"/>
      <protection hidden="1"/>
    </xf>
    <xf numFmtId="49" fontId="7" fillId="0" borderId="0" xfId="2" applyNumberFormat="1" applyFont="1" applyBorder="1" applyAlignment="1" applyProtection="1">
      <alignment horizontal="right"/>
      <protection hidden="1"/>
    </xf>
    <xf numFmtId="194" fontId="19" fillId="0" borderId="0" xfId="2" applyNumberFormat="1" applyFont="1" applyBorder="1" applyAlignment="1" applyProtection="1">
      <alignment horizontal="right"/>
      <protection hidden="1"/>
    </xf>
    <xf numFmtId="194" fontId="16" fillId="0" borderId="133" xfId="2" applyNumberFormat="1" applyFont="1" applyBorder="1" applyAlignment="1" applyProtection="1">
      <protection hidden="1"/>
    </xf>
    <xf numFmtId="194" fontId="16" fillId="0" borderId="115" xfId="2" applyNumberFormat="1" applyFont="1" applyBorder="1" applyAlignment="1" applyProtection="1">
      <protection hidden="1"/>
    </xf>
    <xf numFmtId="1" fontId="25" fillId="0" borderId="0" xfId="2" applyNumberFormat="1" applyFont="1" applyBorder="1" applyAlignment="1" applyProtection="1">
      <protection hidden="1"/>
    </xf>
    <xf numFmtId="194" fontId="16" fillId="0" borderId="134" xfId="2" applyNumberFormat="1" applyFont="1" applyBorder="1" applyAlignment="1" applyProtection="1">
      <protection hidden="1"/>
    </xf>
    <xf numFmtId="194" fontId="16" fillId="0" borderId="135" xfId="2" applyNumberFormat="1" applyFont="1" applyBorder="1" applyAlignment="1" applyProtection="1">
      <protection hidden="1"/>
    </xf>
    <xf numFmtId="194" fontId="16" fillId="0" borderId="136" xfId="2" applyNumberFormat="1" applyFont="1" applyBorder="1" applyAlignment="1" applyProtection="1">
      <protection hidden="1"/>
    </xf>
    <xf numFmtId="194" fontId="16" fillId="0" borderId="137" xfId="2" applyNumberFormat="1" applyFont="1" applyBorder="1" applyAlignment="1" applyProtection="1">
      <protection hidden="1"/>
    </xf>
    <xf numFmtId="194" fontId="16" fillId="0" borderId="138" xfId="2" applyNumberFormat="1" applyFont="1" applyBorder="1" applyAlignment="1" applyProtection="1">
      <protection hidden="1"/>
    </xf>
    <xf numFmtId="194" fontId="16" fillId="0" borderId="139" xfId="2" applyNumberFormat="1" applyFont="1" applyBorder="1" applyAlignment="1" applyProtection="1">
      <protection hidden="1"/>
    </xf>
    <xf numFmtId="194" fontId="16" fillId="0" borderId="140" xfId="2" applyNumberFormat="1" applyFont="1" applyBorder="1" applyAlignment="1" applyProtection="1">
      <protection hidden="1"/>
    </xf>
    <xf numFmtId="194" fontId="16" fillId="0" borderId="141" xfId="2" applyNumberFormat="1" applyFont="1" applyBorder="1" applyAlignment="1" applyProtection="1">
      <protection hidden="1"/>
    </xf>
    <xf numFmtId="194" fontId="16" fillId="0" borderId="142" xfId="2" applyNumberFormat="1" applyFont="1" applyBorder="1" applyAlignment="1" applyProtection="1">
      <protection hidden="1"/>
    </xf>
    <xf numFmtId="194" fontId="16" fillId="0" borderId="143" xfId="2" applyNumberFormat="1" applyFont="1" applyBorder="1" applyAlignment="1" applyProtection="1">
      <protection hidden="1"/>
    </xf>
    <xf numFmtId="194" fontId="16" fillId="0" borderId="118" xfId="2" applyNumberFormat="1" applyFont="1" applyBorder="1" applyAlignment="1" applyProtection="1">
      <protection hidden="1"/>
    </xf>
    <xf numFmtId="194" fontId="16" fillId="0" borderId="144" xfId="2" applyNumberFormat="1" applyFont="1" applyBorder="1" applyAlignment="1" applyProtection="1">
      <protection hidden="1"/>
    </xf>
    <xf numFmtId="194" fontId="16" fillId="0" borderId="145" xfId="2" applyNumberFormat="1" applyFont="1" applyBorder="1" applyAlignment="1" applyProtection="1">
      <protection hidden="1"/>
    </xf>
    <xf numFmtId="0" fontId="25" fillId="0" borderId="0" xfId="2" quotePrefix="1" applyFont="1" applyBorder="1" applyAlignment="1" applyProtection="1">
      <protection hidden="1"/>
    </xf>
    <xf numFmtId="0" fontId="16" fillId="0" borderId="0" xfId="2" quotePrefix="1" applyFont="1" applyBorder="1" applyAlignment="1" applyProtection="1">
      <protection hidden="1"/>
    </xf>
    <xf numFmtId="0" fontId="19" fillId="0" borderId="0" xfId="2" applyNumberFormat="1" applyFont="1" applyBorder="1" applyAlignment="1" applyProtection="1">
      <alignment horizontal="right"/>
      <protection hidden="1"/>
    </xf>
    <xf numFmtId="194" fontId="16" fillId="0" borderId="0" xfId="2" applyNumberFormat="1" applyFont="1" applyBorder="1" applyAlignment="1" applyProtection="1">
      <alignment horizontal="center"/>
      <protection hidden="1"/>
    </xf>
    <xf numFmtId="0" fontId="15" fillId="0" borderId="0" xfId="2" applyFont="1" applyAlignment="1">
      <alignment horizontal="right"/>
    </xf>
    <xf numFmtId="0" fontId="7" fillId="0" borderId="0" xfId="3" applyFont="1" applyBorder="1" applyAlignment="1"/>
    <xf numFmtId="0" fontId="1" fillId="0" borderId="0" xfId="2" applyFont="1" applyAlignment="1" applyProtection="1">
      <protection hidden="1"/>
    </xf>
    <xf numFmtId="0" fontId="26" fillId="0" borderId="0" xfId="2" applyFont="1" applyAlignment="1" applyProtection="1">
      <protection hidden="1"/>
    </xf>
    <xf numFmtId="0" fontId="15" fillId="0" borderId="0" xfId="2" applyFont="1" applyAlignment="1" applyProtection="1">
      <protection hidden="1"/>
    </xf>
    <xf numFmtId="0" fontId="1" fillId="0" borderId="0" xfId="2" applyFont="1" applyBorder="1" applyAlignment="1" applyProtection="1">
      <protection hidden="1"/>
    </xf>
    <xf numFmtId="0" fontId="27" fillId="0" borderId="0" xfId="2" applyFont="1" applyBorder="1" applyAlignment="1" applyProtection="1">
      <alignment horizontal="right"/>
      <protection hidden="1"/>
    </xf>
    <xf numFmtId="0" fontId="15" fillId="0" borderId="0" xfId="2" applyFont="1" applyAlignment="1" applyProtection="1">
      <alignment horizontal="right"/>
      <protection hidden="1"/>
    </xf>
    <xf numFmtId="194" fontId="7" fillId="0" borderId="0" xfId="2" applyNumberFormat="1" applyFont="1" applyAlignment="1" applyProtection="1">
      <protection hidden="1"/>
    </xf>
    <xf numFmtId="233" fontId="7" fillId="0" borderId="0" xfId="4" applyNumberFormat="1" applyFont="1" applyAlignment="1" applyProtection="1">
      <protection hidden="1"/>
    </xf>
    <xf numFmtId="194" fontId="1" fillId="0" borderId="0" xfId="2" applyNumberFormat="1" applyFont="1" applyAlignment="1" applyProtection="1">
      <protection hidden="1"/>
    </xf>
    <xf numFmtId="171" fontId="7" fillId="0" borderId="0" xfId="4" applyNumberFormat="1" applyFont="1" applyAlignment="1" applyProtection="1">
      <protection hidden="1"/>
    </xf>
    <xf numFmtId="0" fontId="6" fillId="0" borderId="0" xfId="3" applyAlignment="1" applyProtection="1">
      <protection hidden="1"/>
    </xf>
    <xf numFmtId="194" fontId="27" fillId="0" borderId="0" xfId="2" applyNumberFormat="1" applyFont="1" applyAlignment="1" applyProtection="1">
      <alignment horizontal="right"/>
      <protection hidden="1"/>
    </xf>
    <xf numFmtId="194" fontId="14" fillId="0" borderId="146" xfId="2" applyNumberFormat="1" applyFont="1" applyBorder="1" applyAlignment="1">
      <alignment horizontal="right"/>
    </xf>
    <xf numFmtId="0" fontId="15" fillId="0" borderId="0" xfId="2" applyFont="1" applyFill="1" applyBorder="1" applyAlignment="1" applyProtection="1">
      <protection hidden="1"/>
    </xf>
    <xf numFmtId="0" fontId="15" fillId="0" borderId="0" xfId="2" applyNumberFormat="1" applyFont="1" applyFill="1" applyBorder="1" applyAlignment="1" applyProtection="1">
      <protection hidden="1"/>
    </xf>
    <xf numFmtId="1" fontId="26" fillId="0" borderId="0" xfId="2" applyNumberFormat="1" applyFont="1" applyAlignment="1" applyProtection="1">
      <protection hidden="1"/>
    </xf>
    <xf numFmtId="1" fontId="9" fillId="0" borderId="0" xfId="2" applyNumberFormat="1" applyFont="1" applyAlignment="1" applyProtection="1">
      <alignment horizontal="right"/>
      <protection hidden="1"/>
    </xf>
    <xf numFmtId="1" fontId="1" fillId="0" borderId="0" xfId="2" applyNumberFormat="1" applyFont="1" applyAlignment="1" applyProtection="1">
      <protection hidden="1"/>
    </xf>
    <xf numFmtId="1" fontId="7" fillId="0" borderId="0" xfId="2" applyNumberFormat="1" applyFont="1" applyAlignment="1" applyProtection="1">
      <alignment horizontal="center"/>
      <protection hidden="1"/>
    </xf>
    <xf numFmtId="198" fontId="1" fillId="0" borderId="0" xfId="2" applyNumberFormat="1" applyFont="1" applyAlignment="1" applyProtection="1">
      <protection hidden="1"/>
    </xf>
    <xf numFmtId="0" fontId="7" fillId="0" borderId="0" xfId="3" applyFont="1" applyAlignment="1" applyProtection="1">
      <alignment horizontal="right"/>
      <protection hidden="1"/>
    </xf>
    <xf numFmtId="194" fontId="9" fillId="0" borderId="147" xfId="0" applyNumberFormat="1" applyFont="1" applyBorder="1" applyAlignment="1"/>
    <xf numFmtId="1" fontId="15" fillId="0" borderId="0" xfId="2" applyNumberFormat="1" applyFont="1" applyAlignment="1" applyProtection="1">
      <protection hidden="1"/>
    </xf>
    <xf numFmtId="1" fontId="15" fillId="0" borderId="0" xfId="2" applyNumberFormat="1" applyFont="1" applyAlignment="1" applyProtection="1">
      <alignment horizontal="right"/>
      <protection hidden="1"/>
    </xf>
    <xf numFmtId="194" fontId="9" fillId="0" borderId="0" xfId="0" applyNumberFormat="1" applyFont="1" applyBorder="1" applyAlignment="1"/>
    <xf numFmtId="0" fontId="1" fillId="0" borderId="0" xfId="2" applyFont="1" applyAlignment="1"/>
    <xf numFmtId="1" fontId="15" fillId="0" borderId="0" xfId="2" applyNumberFormat="1" applyFont="1" applyAlignment="1"/>
    <xf numFmtId="194" fontId="15" fillId="0" borderId="0" xfId="2" applyNumberFormat="1" applyFont="1" applyAlignment="1"/>
    <xf numFmtId="194" fontId="7" fillId="0" borderId="0" xfId="2" applyNumberFormat="1" applyFont="1" applyFill="1" applyBorder="1" applyAlignment="1">
      <alignment horizontal="center" wrapText="1"/>
    </xf>
    <xf numFmtId="194" fontId="15" fillId="5" borderId="0" xfId="2" applyNumberFormat="1" applyFont="1" applyFill="1" applyAlignment="1"/>
    <xf numFmtId="167" fontId="7" fillId="0" borderId="0" xfId="1" applyNumberFormat="1" applyFont="1"/>
    <xf numFmtId="0" fontId="7" fillId="0" borderId="0" xfId="3" applyNumberFormat="1" applyFont="1"/>
    <xf numFmtId="194" fontId="15" fillId="0" borderId="0" xfId="2" applyNumberFormat="1" applyFont="1" applyBorder="1" applyAlignment="1"/>
    <xf numFmtId="1" fontId="15" fillId="0" borderId="0" xfId="2" applyNumberFormat="1" applyFont="1"/>
    <xf numFmtId="0" fontId="15" fillId="0" borderId="0" xfId="2" applyFont="1"/>
    <xf numFmtId="194" fontId="15" fillId="0" borderId="0" xfId="2" applyNumberFormat="1" applyFont="1" applyBorder="1"/>
    <xf numFmtId="0" fontId="1" fillId="0" borderId="0" xfId="2" applyFont="1"/>
    <xf numFmtId="194" fontId="15" fillId="0" borderId="0" xfId="2" quotePrefix="1" applyNumberFormat="1" applyFont="1"/>
    <xf numFmtId="167" fontId="7" fillId="0" borderId="0" xfId="1" applyNumberFormat="1" applyFont="1" applyBorder="1"/>
    <xf numFmtId="0" fontId="7" fillId="0" borderId="0" xfId="0" applyFont="1"/>
    <xf numFmtId="1" fontId="1" fillId="0" borderId="0" xfId="2" applyNumberFormat="1" applyFont="1"/>
    <xf numFmtId="194" fontId="15" fillId="0" borderId="0" xfId="2" applyNumberFormat="1" applyFont="1" applyAlignment="1">
      <alignment horizontal="right"/>
    </xf>
    <xf numFmtId="218" fontId="9" fillId="0" borderId="0" xfId="3" applyNumberFormat="1" applyFont="1" applyBorder="1" applyAlignment="1" applyProtection="1">
      <alignment horizontal="left"/>
      <protection hidden="1"/>
    </xf>
    <xf numFmtId="218" fontId="8" fillId="0" borderId="0" xfId="3" applyNumberFormat="1" applyFont="1" applyBorder="1" applyAlignment="1" applyProtection="1">
      <alignment horizontal="left"/>
      <protection hidden="1"/>
    </xf>
    <xf numFmtId="14" fontId="8" fillId="0" borderId="0" xfId="3" applyNumberFormat="1" applyFont="1" applyBorder="1" applyAlignment="1" applyProtection="1">
      <alignment horizontal="left"/>
      <protection hidden="1"/>
    </xf>
    <xf numFmtId="14" fontId="8" fillId="0" borderId="0" xfId="3" applyNumberFormat="1" applyFont="1" applyBorder="1" applyAlignment="1" applyProtection="1">
      <alignment horizontal="center"/>
      <protection hidden="1"/>
    </xf>
  </cellXfs>
  <cellStyles count="5">
    <cellStyle name="Comma" xfId="1" builtinId="3"/>
    <cellStyle name="Normal" xfId="0" builtinId="0"/>
    <cellStyle name="Normal_bon's worksheet 5 27" xfId="2"/>
    <cellStyle name="Normal_Channel Track 97" xfId="3"/>
    <cellStyle name="Percent" xfId="4" builtinId="5"/>
  </cellStyles>
  <dxfs count="3">
    <dxf>
      <fill>
        <patternFill>
          <bgColor indexed="11"/>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200631657019563E-2"/>
          <c:y val="6.5327033894042319E-2"/>
          <c:w val="0.92954083291788558"/>
          <c:h val="0.87437722288948938"/>
        </c:manualLayout>
      </c:layout>
      <c:lineChart>
        <c:grouping val="standard"/>
        <c:varyColors val="0"/>
        <c:ser>
          <c:idx val="0"/>
          <c:order val="0"/>
          <c:tx>
            <c:v>Current Pressure</c:v>
          </c:tx>
          <c:spPr>
            <a:ln w="38100">
              <a:solidFill>
                <a:srgbClr val="008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[1]Summary!$C$18:$C$33</c:f>
              <c:numCache>
                <c:formatCode>General</c:formatCode>
                <c:ptCount val="16"/>
                <c:pt idx="0">
                  <c:v>823.84533699999997</c:v>
                </c:pt>
                <c:pt idx="1">
                  <c:v>786.78839100000005</c:v>
                </c:pt>
                <c:pt idx="2">
                  <c:v>787.05694600000004</c:v>
                </c:pt>
                <c:pt idx="3">
                  <c:v>738</c:v>
                </c:pt>
                <c:pt idx="4">
                  <c:v>736</c:v>
                </c:pt>
                <c:pt idx="5">
                  <c:v>699.99401899999998</c:v>
                </c:pt>
                <c:pt idx="6">
                  <c:v>888.78698699999995</c:v>
                </c:pt>
                <c:pt idx="7">
                  <c:v>843.25457800000004</c:v>
                </c:pt>
                <c:pt idx="8">
                  <c:v>806.078979</c:v>
                </c:pt>
                <c:pt idx="9">
                  <c:v>803.942993</c:v>
                </c:pt>
                <c:pt idx="10">
                  <c:v>729.591858</c:v>
                </c:pt>
                <c:pt idx="11">
                  <c:v>722.07299799999998</c:v>
                </c:pt>
                <c:pt idx="12">
                  <c:v>719.11926300000005</c:v>
                </c:pt>
                <c:pt idx="13">
                  <c:v>703.54455600000006</c:v>
                </c:pt>
                <c:pt idx="14">
                  <c:v>632.78735400000005</c:v>
                </c:pt>
                <c:pt idx="15">
                  <c:v>634.80127000000005</c:v>
                </c:pt>
              </c:numCache>
            </c:numRef>
          </c:val>
          <c:smooth val="0"/>
          <c:extLst>
            <c:ext xmlns:c16="http://schemas.microsoft.com/office/drawing/2014/chart" uri="{C3380CC4-5D6E-409C-BE32-E72D297353CC}">
              <c16:uniqueId val="{00000000-CE64-445F-9C25-FB052C6188CF}"/>
            </c:ext>
          </c:extLst>
        </c:ser>
        <c:ser>
          <c:idx val="1"/>
          <c:order val="1"/>
          <c:tx>
            <c:v>MAOP</c:v>
          </c:tx>
          <c:spPr>
            <a:ln w="38100">
              <a:solidFill>
                <a:srgbClr val="FF0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[1]Summary!$E$18:$E$33</c:f>
              <c:numCache>
                <c:formatCode>General</c:formatCode>
                <c:ptCount val="16"/>
                <c:pt idx="0">
                  <c:v>925</c:v>
                </c:pt>
                <c:pt idx="1">
                  <c:v>936</c:v>
                </c:pt>
                <c:pt idx="2">
                  <c:v>936</c:v>
                </c:pt>
                <c:pt idx="3">
                  <c:v>936</c:v>
                </c:pt>
                <c:pt idx="4">
                  <c:v>936</c:v>
                </c:pt>
                <c:pt idx="5">
                  <c:v>936</c:v>
                </c:pt>
                <c:pt idx="6">
                  <c:v>926</c:v>
                </c:pt>
                <c:pt idx="7">
                  <c:v>926</c:v>
                </c:pt>
                <c:pt idx="8">
                  <c:v>926</c:v>
                </c:pt>
                <c:pt idx="9">
                  <c:v>936</c:v>
                </c:pt>
                <c:pt idx="10">
                  <c:v>936</c:v>
                </c:pt>
                <c:pt idx="11">
                  <c:v>936</c:v>
                </c:pt>
                <c:pt idx="12">
                  <c:v>936</c:v>
                </c:pt>
                <c:pt idx="13">
                  <c:v>715</c:v>
                </c:pt>
                <c:pt idx="14">
                  <c:v>715</c:v>
                </c:pt>
                <c:pt idx="15">
                  <c:v>936</c:v>
                </c:pt>
              </c:numCache>
            </c:numRef>
          </c:val>
          <c:smooth val="0"/>
          <c:extLst>
            <c:ext xmlns:c16="http://schemas.microsoft.com/office/drawing/2014/chart" uri="{C3380CC4-5D6E-409C-BE32-E72D297353CC}">
              <c16:uniqueId val="{00000001-CE64-445F-9C25-FB052C6188CF}"/>
            </c:ext>
          </c:extLst>
        </c:ser>
        <c:ser>
          <c:idx val="2"/>
          <c:order val="2"/>
          <c:tx>
            <c:strRef>
              <c:f>[1]Summary!$D$17</c:f>
              <c:strCache>
                <c:ptCount val="1"/>
                <c:pt idx="0">
                  <c:v>MIN</c:v>
                </c:pt>
              </c:strCache>
            </c:strRef>
          </c:tx>
          <c:spPr>
            <a:ln w="38100">
              <a:solidFill>
                <a:srgbClr val="FF0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[1]Summary!$D$18:$D$33</c:f>
              <c:numCache>
                <c:formatCode>General</c:formatCode>
                <c:ptCount val="16"/>
                <c:pt idx="0">
                  <c:v>750</c:v>
                </c:pt>
                <c:pt idx="1">
                  <c:v>750</c:v>
                </c:pt>
                <c:pt idx="4">
                  <c:v>600</c:v>
                </c:pt>
                <c:pt idx="5">
                  <c:v>600</c:v>
                </c:pt>
                <c:pt idx="14">
                  <c:v>535</c:v>
                </c:pt>
                <c:pt idx="15">
                  <c:v>530</c:v>
                </c:pt>
              </c:numCache>
            </c:numRef>
          </c:val>
          <c:smooth val="0"/>
          <c:extLst>
            <c:ext xmlns:c16="http://schemas.microsoft.com/office/drawing/2014/chart" uri="{C3380CC4-5D6E-409C-BE32-E72D297353CC}">
              <c16:uniqueId val="{00000002-CE64-445F-9C25-FB052C6188CF}"/>
            </c:ext>
          </c:extLst>
        </c:ser>
        <c:dLbls>
          <c:showLegendKey val="0"/>
          <c:showVal val="0"/>
          <c:showCatName val="0"/>
          <c:showSerName val="0"/>
          <c:showPercent val="0"/>
          <c:showBubbleSize val="0"/>
        </c:dLbls>
        <c:smooth val="0"/>
        <c:axId val="211619624"/>
        <c:axId val="1"/>
      </c:lineChart>
      <c:catAx>
        <c:axId val="211619624"/>
        <c:scaling>
          <c:orientation val="minMax"/>
        </c:scaling>
        <c:delete val="1"/>
        <c:axPos val="b"/>
        <c:majorGridlines>
          <c:spPr>
            <a:ln w="3175">
              <a:solidFill>
                <a:srgbClr val="000000"/>
              </a:solidFill>
              <a:prstDash val="solid"/>
            </a:ln>
          </c:spPr>
        </c:majorGridlines>
        <c:numFmt formatCode="General" sourceLinked="1"/>
        <c:majorTickMark val="out"/>
        <c:minorTickMark val="none"/>
        <c:tickLblPos val="nextTo"/>
        <c:crossAx val="1"/>
        <c:crossesAt val="490"/>
        <c:auto val="1"/>
        <c:lblAlgn val="ctr"/>
        <c:lblOffset val="100"/>
        <c:noMultiLvlLbl val="0"/>
      </c:catAx>
      <c:valAx>
        <c:axId val="1"/>
        <c:scaling>
          <c:orientation val="minMax"/>
          <c:max val="950"/>
          <c:min val="450"/>
        </c:scaling>
        <c:delete val="0"/>
        <c:axPos val="l"/>
        <c:majorGridlines>
          <c:spPr>
            <a:ln w="3175">
              <a:solidFill>
                <a:srgbClr val="008000"/>
              </a:solidFill>
              <a:prstDash val="solid"/>
            </a:ln>
          </c:spPr>
        </c:majorGridlines>
        <c:title>
          <c:tx>
            <c:rich>
              <a:bodyPr/>
              <a:lstStyle/>
              <a:p>
                <a:pPr>
                  <a:defRPr sz="325" b="0" i="0" u="none" strike="noStrike" baseline="0">
                    <a:solidFill>
                      <a:srgbClr val="000000"/>
                    </a:solidFill>
                    <a:latin typeface="Times New Roman"/>
                    <a:ea typeface="Times New Roman"/>
                    <a:cs typeface="Times New Roman"/>
                  </a:defRPr>
                </a:pPr>
                <a:r>
                  <a:rPr lang="en-US"/>
                  <a:t>PSI</a:t>
                </a:r>
              </a:p>
            </c:rich>
          </c:tx>
          <c:layout>
            <c:manualLayout>
              <c:xMode val="edge"/>
              <c:yMode val="edge"/>
              <c:x val="1.8970221079956849E-2"/>
              <c:y val="0.477389863071847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Times New Roman"/>
                <a:ea typeface="Times New Roman"/>
                <a:cs typeface="Times New Roman"/>
              </a:defRPr>
            </a:pPr>
            <a:endParaRPr lang="en-US"/>
          </a:p>
        </c:txPr>
        <c:crossAx val="211619624"/>
        <c:crosses val="autoZero"/>
        <c:crossBetween val="between"/>
        <c:majorUnit val="20"/>
      </c:valAx>
      <c:spPr>
        <a:solidFill>
          <a:srgbClr val="FFFFFF"/>
        </a:solidFill>
        <a:ln w="3175">
          <a:solidFill>
            <a:srgbClr val="FF0000"/>
          </a:solidFill>
          <a:prstDash val="solid"/>
        </a:ln>
      </c:spPr>
    </c:plotArea>
    <c:plotVisOnly val="1"/>
    <c:dispBlanksAs val="gap"/>
    <c:showDLblsOverMax val="0"/>
  </c:chart>
  <c:spPr>
    <a:solidFill>
      <a:srgbClr val="00FFFF"/>
    </a:solidFill>
    <a:ln w="3175">
      <a:solidFill>
        <a:srgbClr val="000000"/>
      </a:solidFill>
      <a:prstDash val="solid"/>
    </a:ln>
    <a:effectLst>
      <a:outerShdw dist="35921" dir="2700000" algn="br">
        <a:srgbClr val="000000"/>
      </a:outerShdw>
    </a:effectLst>
  </c:spPr>
  <c:txPr>
    <a:bodyPr/>
    <a:lstStyle/>
    <a:p>
      <a:pPr>
        <a:defRPr sz="3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385866947209697E-2"/>
          <c:y val="0.13157897755993783"/>
          <c:w val="0.85888399381691638"/>
          <c:h val="0.70864677914423646"/>
        </c:manualLayout>
      </c:layout>
      <c:lineChart>
        <c:grouping val="standard"/>
        <c:varyColors val="0"/>
        <c:ser>
          <c:idx val="0"/>
          <c:order val="0"/>
          <c:tx>
            <c:v>Current Pressure</c:v>
          </c:tx>
          <c:spPr>
            <a:ln w="25400">
              <a:solidFill>
                <a:srgbClr val="008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Summary!$C$18:$C$33</c:f>
              <c:numCache>
                <c:formatCode>0.0</c:formatCode>
                <c:ptCount val="16"/>
                <c:pt idx="0">
                  <c:v>823.84533699999997</c:v>
                </c:pt>
                <c:pt idx="1">
                  <c:v>786.78839100000005</c:v>
                </c:pt>
                <c:pt idx="2">
                  <c:v>787.05694600000004</c:v>
                </c:pt>
                <c:pt idx="3">
                  <c:v>738</c:v>
                </c:pt>
                <c:pt idx="4">
                  <c:v>736</c:v>
                </c:pt>
                <c:pt idx="5">
                  <c:v>699.99401899999998</c:v>
                </c:pt>
                <c:pt idx="6">
                  <c:v>888.78698699999995</c:v>
                </c:pt>
                <c:pt idx="7">
                  <c:v>843.25457800000004</c:v>
                </c:pt>
                <c:pt idx="8">
                  <c:v>806.078979</c:v>
                </c:pt>
                <c:pt idx="9">
                  <c:v>803.942993</c:v>
                </c:pt>
                <c:pt idx="10">
                  <c:v>729.591858</c:v>
                </c:pt>
                <c:pt idx="11">
                  <c:v>722.07299799999998</c:v>
                </c:pt>
                <c:pt idx="12">
                  <c:v>719.11926300000005</c:v>
                </c:pt>
                <c:pt idx="13">
                  <c:v>703.54455600000006</c:v>
                </c:pt>
                <c:pt idx="14">
                  <c:v>632.78735400000005</c:v>
                </c:pt>
                <c:pt idx="15">
                  <c:v>634.80127000000005</c:v>
                </c:pt>
              </c:numCache>
            </c:numRef>
          </c:val>
          <c:smooth val="0"/>
          <c:extLst>
            <c:ext xmlns:c16="http://schemas.microsoft.com/office/drawing/2014/chart" uri="{C3380CC4-5D6E-409C-BE32-E72D297353CC}">
              <c16:uniqueId val="{00000000-AF5A-4AD6-8F6F-48FECE29B989}"/>
            </c:ext>
          </c:extLst>
        </c:ser>
        <c:ser>
          <c:idx val="1"/>
          <c:order val="1"/>
          <c:tx>
            <c:v>MAOP</c:v>
          </c:tx>
          <c:spPr>
            <a:ln w="38100">
              <a:solidFill>
                <a:srgbClr val="FF0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Summary!$E$18:$E$33</c:f>
              <c:numCache>
                <c:formatCode>General</c:formatCode>
                <c:ptCount val="16"/>
                <c:pt idx="0">
                  <c:v>925</c:v>
                </c:pt>
                <c:pt idx="1">
                  <c:v>936</c:v>
                </c:pt>
                <c:pt idx="2">
                  <c:v>936</c:v>
                </c:pt>
                <c:pt idx="3">
                  <c:v>936</c:v>
                </c:pt>
                <c:pt idx="4">
                  <c:v>936</c:v>
                </c:pt>
                <c:pt idx="5">
                  <c:v>936</c:v>
                </c:pt>
                <c:pt idx="6">
                  <c:v>926</c:v>
                </c:pt>
                <c:pt idx="7">
                  <c:v>926</c:v>
                </c:pt>
                <c:pt idx="8">
                  <c:v>926</c:v>
                </c:pt>
                <c:pt idx="9">
                  <c:v>936</c:v>
                </c:pt>
                <c:pt idx="10">
                  <c:v>936</c:v>
                </c:pt>
                <c:pt idx="11">
                  <c:v>936</c:v>
                </c:pt>
                <c:pt idx="12">
                  <c:v>936</c:v>
                </c:pt>
                <c:pt idx="13">
                  <c:v>715</c:v>
                </c:pt>
                <c:pt idx="14">
                  <c:v>715</c:v>
                </c:pt>
                <c:pt idx="15">
                  <c:v>936</c:v>
                </c:pt>
              </c:numCache>
            </c:numRef>
          </c:val>
          <c:smooth val="0"/>
          <c:extLst>
            <c:ext xmlns:c16="http://schemas.microsoft.com/office/drawing/2014/chart" uri="{C3380CC4-5D6E-409C-BE32-E72D297353CC}">
              <c16:uniqueId val="{00000001-AF5A-4AD6-8F6F-48FECE29B989}"/>
            </c:ext>
          </c:extLst>
        </c:ser>
        <c:ser>
          <c:idx val="2"/>
          <c:order val="2"/>
          <c:tx>
            <c:strRef>
              <c:f>Summary!$D$17</c:f>
              <c:strCache>
                <c:ptCount val="1"/>
                <c:pt idx="0">
                  <c:v>MIN</c:v>
                </c:pt>
              </c:strCache>
            </c:strRef>
          </c:tx>
          <c:spPr>
            <a:ln w="38100">
              <a:solidFill>
                <a:srgbClr val="FF0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Summary!$D$18:$D$33</c:f>
              <c:numCache>
                <c:formatCode>0.0</c:formatCode>
                <c:ptCount val="16"/>
                <c:pt idx="0">
                  <c:v>750</c:v>
                </c:pt>
                <c:pt idx="1">
                  <c:v>750</c:v>
                </c:pt>
                <c:pt idx="4">
                  <c:v>600</c:v>
                </c:pt>
                <c:pt idx="5">
                  <c:v>600</c:v>
                </c:pt>
                <c:pt idx="14">
                  <c:v>535</c:v>
                </c:pt>
                <c:pt idx="15">
                  <c:v>530</c:v>
                </c:pt>
              </c:numCache>
            </c:numRef>
          </c:val>
          <c:smooth val="0"/>
          <c:extLst>
            <c:ext xmlns:c16="http://schemas.microsoft.com/office/drawing/2014/chart" uri="{C3380CC4-5D6E-409C-BE32-E72D297353CC}">
              <c16:uniqueId val="{00000002-AF5A-4AD6-8F6F-48FECE29B989}"/>
            </c:ext>
          </c:extLst>
        </c:ser>
        <c:dLbls>
          <c:showLegendKey val="0"/>
          <c:showVal val="0"/>
          <c:showCatName val="0"/>
          <c:showSerName val="0"/>
          <c:showPercent val="0"/>
          <c:showBubbleSize val="0"/>
        </c:dLbls>
        <c:smooth val="0"/>
        <c:axId val="211619952"/>
        <c:axId val="1"/>
      </c:lineChart>
      <c:catAx>
        <c:axId val="211619952"/>
        <c:scaling>
          <c:orientation val="minMax"/>
        </c:scaling>
        <c:delete val="1"/>
        <c:axPos val="b"/>
        <c:majorGridlines>
          <c:spPr>
            <a:ln w="3175">
              <a:solidFill>
                <a:srgbClr val="000000"/>
              </a:solidFill>
              <a:prstDash val="solid"/>
            </a:ln>
          </c:spPr>
        </c:majorGridlines>
        <c:numFmt formatCode="General" sourceLinked="1"/>
        <c:majorTickMark val="out"/>
        <c:minorTickMark val="none"/>
        <c:tickLblPos val="nextTo"/>
        <c:crossAx val="1"/>
        <c:crossesAt val="490"/>
        <c:auto val="1"/>
        <c:lblAlgn val="ctr"/>
        <c:lblOffset val="100"/>
        <c:noMultiLvlLbl val="0"/>
      </c:catAx>
      <c:valAx>
        <c:axId val="1"/>
        <c:scaling>
          <c:orientation val="minMax"/>
          <c:max val="950"/>
          <c:min val="450"/>
        </c:scaling>
        <c:delete val="0"/>
        <c:axPos val="l"/>
        <c:majorGridlines>
          <c:spPr>
            <a:ln w="3175">
              <a:solidFill>
                <a:srgbClr val="008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Times New Roman"/>
                <a:ea typeface="Times New Roman"/>
                <a:cs typeface="Times New Roman"/>
              </a:defRPr>
            </a:pPr>
            <a:endParaRPr lang="en-US"/>
          </a:p>
        </c:txPr>
        <c:crossAx val="211619952"/>
        <c:crosses val="autoZero"/>
        <c:crossBetween val="between"/>
        <c:majorUnit val="20"/>
      </c:valAx>
      <c:dTable>
        <c:showHorzBorder val="1"/>
        <c:showVertBorder val="1"/>
        <c:showOutline val="1"/>
        <c:showKeys val="0"/>
        <c:spPr>
          <a:ln w="12700">
            <a:solidFill>
              <a:srgbClr val="339966"/>
            </a:solidFill>
            <a:prstDash val="solid"/>
          </a:ln>
        </c:spPr>
        <c:txPr>
          <a:bodyPr/>
          <a:lstStyle/>
          <a:p>
            <a:pPr>
              <a:defRPr sz="625" b="0" i="0" u="none" strike="noStrike" baseline="0">
                <a:solidFill>
                  <a:srgbClr val="000000"/>
                </a:solidFill>
                <a:latin typeface="Times New Roman"/>
                <a:ea typeface="Times New Roman"/>
                <a:cs typeface="Times New Roman"/>
              </a:defRPr>
            </a:pPr>
            <a:endParaRPr lang="en-US"/>
          </a:p>
        </c:txPr>
      </c:dTable>
      <c:spPr>
        <a:solidFill>
          <a:srgbClr val="FFFFFF"/>
        </a:solidFill>
        <a:ln w="3175">
          <a:solidFill>
            <a:srgbClr val="FF0000"/>
          </a:solidFill>
          <a:prstDash val="solid"/>
        </a:ln>
      </c:spPr>
    </c:plotArea>
    <c:legend>
      <c:legendPos val="t"/>
      <c:layout>
        <c:manualLayout>
          <c:xMode val="edge"/>
          <c:yMode val="edge"/>
          <c:x val="0.39695465908086802"/>
          <c:y val="2.2556396153132197E-2"/>
          <c:w val="0.29137081114119978"/>
          <c:h val="4.6992491985692074E-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7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00FFFF"/>
    </a:solidFill>
    <a:ln w="3175">
      <a:solidFill>
        <a:srgbClr val="000000"/>
      </a:solidFill>
      <a:prstDash val="solid"/>
    </a:ln>
    <a:effectLst>
      <a:outerShdw dist="35921" dir="2700000" algn="br">
        <a:srgbClr val="000000"/>
      </a:outerShdw>
    </a:effectLst>
  </c:spPr>
  <c:txPr>
    <a:bodyPr/>
    <a:lstStyle/>
    <a:p>
      <a:pPr>
        <a:defRPr sz="8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c:printSettings>
</c:chartSpace>
</file>

<file path=xl/ctrlProps/ctrlProp1.xml><?xml version="1.0" encoding="utf-8"?>
<formControlPr xmlns="http://schemas.microsoft.com/office/spreadsheetml/2009/9/main" objectType="CheckBox" fmlaLink="savedailydata" lockText="1" noThreeD="1"/>
</file>

<file path=xl/ctrlProps/ctrlProp2.xml><?xml version="1.0" encoding="utf-8"?>
<formControlPr xmlns="http://schemas.microsoft.com/office/spreadsheetml/2009/9/main" objectType="CheckBox" fmlaLink="printmap" lockText="1"/>
</file>

<file path=xl/ctrlProps/ctrlProp3.xml><?xml version="1.0" encoding="utf-8"?>
<formControlPr xmlns="http://schemas.microsoft.com/office/spreadsheetml/2009/9/main" objectType="CheckBox" fmlaLink="printhplmap" lockText="1"/>
</file>

<file path=xl/ctrlProps/ctrlProp4.xml><?xml version="1.0" encoding="utf-8"?>
<formControlPr xmlns="http://schemas.microsoft.com/office/spreadsheetml/2009/9/main" objectType="CheckBox" fmlaLink="printsummary" lockText="1"/>
</file>

<file path=xl/ctrlProps/ctrlProp5.xml><?xml version="1.0" encoding="utf-8"?>
<formControlPr xmlns="http://schemas.microsoft.com/office/spreadsheetml/2009/9/main" objectType="CheckBox" fmlaLink="printdetail" lockText="1"/>
</file>

<file path=xl/drawings/_rels/drawing1.xml.rels><?xml version="1.0" encoding="UTF-8" standalone="yes"?>
<Relationships xmlns="http://schemas.openxmlformats.org/package/2006/relationships"><Relationship Id="rId3" Type="http://schemas.openxmlformats.org/officeDocument/2006/relationships/hyperlink" Target="http://www.nhc.noaa.gov/graphics.html" TargetMode="External"/><Relationship Id="rId2" Type="http://schemas.openxmlformats.org/officeDocument/2006/relationships/hyperlink" Target="http://www.weather.com/weather/cities/us_tx_houston.html" TargetMode="External"/><Relationship Id="rId1" Type="http://schemas.openxmlformats.org/officeDocument/2006/relationships/image" Target="../media/image1.emf"/><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absolute">
    <xdr:from>
      <xdr:col>11</xdr:col>
      <xdr:colOff>91440</xdr:colOff>
      <xdr:row>11</xdr:row>
      <xdr:rowOff>38100</xdr:rowOff>
    </xdr:from>
    <xdr:to>
      <xdr:col>11</xdr:col>
      <xdr:colOff>548640</xdr:colOff>
      <xdr:row>11</xdr:row>
      <xdr:rowOff>190500</xdr:rowOff>
    </xdr:to>
    <xdr:sp macro="" textlink="sch8141a">
      <xdr:nvSpPr>
        <xdr:cNvPr id="1025" name="Text 79"/>
        <xdr:cNvSpPr txBox="1">
          <a:spLocks noChangeArrowheads="1"/>
        </xdr:cNvSpPr>
      </xdr:nvSpPr>
      <xdr:spPr bwMode="auto">
        <a:xfrm>
          <a:off x="10195560" y="225552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C0BFF56-F1D7-4A0F-9667-81249B56950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22860</xdr:colOff>
      <xdr:row>1</xdr:row>
      <xdr:rowOff>45720</xdr:rowOff>
    </xdr:from>
    <xdr:to>
      <xdr:col>7</xdr:col>
      <xdr:colOff>457200</xdr:colOff>
      <xdr:row>1</xdr:row>
      <xdr:rowOff>182880</xdr:rowOff>
    </xdr:to>
    <xdr:sp macro="" textlink="_PS16297">
      <xdr:nvSpPr>
        <xdr:cNvPr id="1026" name="Text 97"/>
        <xdr:cNvSpPr txBox="1">
          <a:spLocks noChangeArrowheads="1" noTextEdit="1"/>
        </xdr:cNvSpPr>
      </xdr:nvSpPr>
      <xdr:spPr bwMode="auto">
        <a:xfrm>
          <a:off x="6835140" y="243840"/>
          <a:ext cx="43434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fld id="{89B7BDFD-0001-4779-93F0-12BB35D5870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121920</xdr:colOff>
      <xdr:row>2</xdr:row>
      <xdr:rowOff>30480</xdr:rowOff>
    </xdr:from>
    <xdr:to>
      <xdr:col>6</xdr:col>
      <xdr:colOff>647700</xdr:colOff>
      <xdr:row>2</xdr:row>
      <xdr:rowOff>190500</xdr:rowOff>
    </xdr:to>
    <xdr:sp macro="" textlink="schSCTTL">
      <xdr:nvSpPr>
        <xdr:cNvPr id="1027" name="Text 30"/>
        <xdr:cNvSpPr txBox="1">
          <a:spLocks noChangeArrowheads="1" noTextEdit="1"/>
        </xdr:cNvSpPr>
      </xdr:nvSpPr>
      <xdr:spPr bwMode="auto">
        <a:xfrm flipV="1">
          <a:off x="6111240" y="434340"/>
          <a:ext cx="52578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33B3264-B8B4-4810-9615-345019456AB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121920</xdr:colOff>
      <xdr:row>5</xdr:row>
      <xdr:rowOff>7620</xdr:rowOff>
    </xdr:from>
    <xdr:to>
      <xdr:col>12</xdr:col>
      <xdr:colOff>579120</xdr:colOff>
      <xdr:row>5</xdr:row>
      <xdr:rowOff>137160</xdr:rowOff>
    </xdr:to>
    <xdr:sp macro="" textlink="_sch26167">
      <xdr:nvSpPr>
        <xdr:cNvPr id="1028" name="Text 30"/>
        <xdr:cNvSpPr txBox="1">
          <a:spLocks noChangeArrowheads="1" noTextEdit="1"/>
        </xdr:cNvSpPr>
      </xdr:nvSpPr>
      <xdr:spPr bwMode="auto">
        <a:xfrm flipV="1">
          <a:off x="11049000" y="1021080"/>
          <a:ext cx="457200" cy="1295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70E539F-1975-48D4-B7A5-F7A47F9C5D4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723900</xdr:colOff>
      <xdr:row>2</xdr:row>
      <xdr:rowOff>30480</xdr:rowOff>
    </xdr:from>
    <xdr:to>
      <xdr:col>5</xdr:col>
      <xdr:colOff>342900</xdr:colOff>
      <xdr:row>3</xdr:row>
      <xdr:rowOff>15240</xdr:rowOff>
    </xdr:to>
    <xdr:sp macro="" textlink="_sch11159">
      <xdr:nvSpPr>
        <xdr:cNvPr id="1029" name="Text 30"/>
        <xdr:cNvSpPr txBox="1">
          <a:spLocks noChangeArrowheads="1" noTextEdit="1"/>
        </xdr:cNvSpPr>
      </xdr:nvSpPr>
      <xdr:spPr bwMode="auto">
        <a:xfrm flipV="1">
          <a:off x="5067300" y="434340"/>
          <a:ext cx="44196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38C974F-6C52-4848-A654-5229B3DE7EC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22860</xdr:colOff>
      <xdr:row>4</xdr:row>
      <xdr:rowOff>45720</xdr:rowOff>
    </xdr:from>
    <xdr:to>
      <xdr:col>4</xdr:col>
      <xdr:colOff>502920</xdr:colOff>
      <xdr:row>5</xdr:row>
      <xdr:rowOff>0</xdr:rowOff>
    </xdr:to>
    <xdr:sp macro="" textlink="_sch6148">
      <xdr:nvSpPr>
        <xdr:cNvPr id="1030" name="Text 30"/>
        <xdr:cNvSpPr txBox="1">
          <a:spLocks noChangeArrowheads="1" noTextEdit="1"/>
        </xdr:cNvSpPr>
      </xdr:nvSpPr>
      <xdr:spPr bwMode="auto">
        <a:xfrm flipV="1">
          <a:off x="4366260" y="853440"/>
          <a:ext cx="48006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B1297DE-D85F-4A27-974D-8685CE25AFD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403860</xdr:colOff>
      <xdr:row>8</xdr:row>
      <xdr:rowOff>76200</xdr:rowOff>
    </xdr:from>
    <xdr:to>
      <xdr:col>6</xdr:col>
      <xdr:colOff>106680</xdr:colOff>
      <xdr:row>9</xdr:row>
      <xdr:rowOff>7620</xdr:rowOff>
    </xdr:to>
    <xdr:sp macro="" textlink="_act56032">
      <xdr:nvSpPr>
        <xdr:cNvPr id="1031" name="Text 30"/>
        <xdr:cNvSpPr txBox="1">
          <a:spLocks noChangeArrowheads="1" noTextEdit="1"/>
        </xdr:cNvSpPr>
      </xdr:nvSpPr>
      <xdr:spPr bwMode="auto">
        <a:xfrm flipV="1">
          <a:off x="5570220" y="1691640"/>
          <a:ext cx="52578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BF5162A-F8D7-47F9-929D-1CD99922402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815340</xdr:colOff>
      <xdr:row>5</xdr:row>
      <xdr:rowOff>190500</xdr:rowOff>
    </xdr:from>
    <xdr:to>
      <xdr:col>4</xdr:col>
      <xdr:colOff>434340</xdr:colOff>
      <xdr:row>6</xdr:row>
      <xdr:rowOff>160020</xdr:rowOff>
    </xdr:to>
    <xdr:sp macro="" textlink="_act6148">
      <xdr:nvSpPr>
        <xdr:cNvPr id="1032" name="Text 30"/>
        <xdr:cNvSpPr txBox="1">
          <a:spLocks noChangeArrowheads="1" noTextEdit="1"/>
        </xdr:cNvSpPr>
      </xdr:nvSpPr>
      <xdr:spPr bwMode="auto">
        <a:xfrm flipV="1">
          <a:off x="4335780" y="1203960"/>
          <a:ext cx="441960" cy="1676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5208876-F95C-496D-A533-1D175FE23C9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121920</xdr:colOff>
      <xdr:row>28</xdr:row>
      <xdr:rowOff>68580</xdr:rowOff>
    </xdr:from>
    <xdr:to>
      <xdr:col>0</xdr:col>
      <xdr:colOff>563880</xdr:colOff>
      <xdr:row>29</xdr:row>
      <xdr:rowOff>15240</xdr:rowOff>
    </xdr:to>
    <xdr:sp macro="" textlink="_sch16347">
      <xdr:nvSpPr>
        <xdr:cNvPr id="1033" name="Text 30"/>
        <xdr:cNvSpPr txBox="1">
          <a:spLocks noChangeArrowheads="1" noTextEdit="1"/>
        </xdr:cNvSpPr>
      </xdr:nvSpPr>
      <xdr:spPr bwMode="auto">
        <a:xfrm flipV="1">
          <a:off x="121920" y="5654040"/>
          <a:ext cx="44196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C97BF1F-E60F-403D-843E-62EA5E81A31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121920</xdr:colOff>
      <xdr:row>30</xdr:row>
      <xdr:rowOff>0</xdr:rowOff>
    </xdr:from>
    <xdr:to>
      <xdr:col>0</xdr:col>
      <xdr:colOff>548640</xdr:colOff>
      <xdr:row>30</xdr:row>
      <xdr:rowOff>160020</xdr:rowOff>
    </xdr:to>
    <xdr:sp macro="" textlink="_act16347">
      <xdr:nvSpPr>
        <xdr:cNvPr id="1034" name="Text 30"/>
        <xdr:cNvSpPr txBox="1">
          <a:spLocks noChangeArrowheads="1" noTextEdit="1"/>
        </xdr:cNvSpPr>
      </xdr:nvSpPr>
      <xdr:spPr bwMode="auto">
        <a:xfrm flipV="1">
          <a:off x="121920" y="598170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3971B35-E6C8-4DC7-A0CA-7C1D6ED1103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259080</xdr:colOff>
      <xdr:row>1</xdr:row>
      <xdr:rowOff>30480</xdr:rowOff>
    </xdr:from>
    <xdr:to>
      <xdr:col>8</xdr:col>
      <xdr:colOff>754380</xdr:colOff>
      <xdr:row>1</xdr:row>
      <xdr:rowOff>160020</xdr:rowOff>
    </xdr:to>
    <xdr:sp macro="" textlink="_PD26164">
      <xdr:nvSpPr>
        <xdr:cNvPr id="1035" name="Text 97"/>
        <xdr:cNvSpPr txBox="1">
          <a:spLocks noChangeArrowheads="1" noTextEdit="1"/>
        </xdr:cNvSpPr>
      </xdr:nvSpPr>
      <xdr:spPr bwMode="auto">
        <a:xfrm>
          <a:off x="7894320" y="228600"/>
          <a:ext cx="4953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fld id="{1E44B6B8-2E8B-4FBB-BA3B-2A6B125F8A38}"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38100</xdr:colOff>
      <xdr:row>6</xdr:row>
      <xdr:rowOff>160020</xdr:rowOff>
    </xdr:from>
    <xdr:to>
      <xdr:col>11</xdr:col>
      <xdr:colOff>502920</xdr:colOff>
      <xdr:row>7</xdr:row>
      <xdr:rowOff>144780</xdr:rowOff>
    </xdr:to>
    <xdr:sp macro="" textlink="_sch26021">
      <xdr:nvSpPr>
        <xdr:cNvPr id="1036" name="Text 30"/>
        <xdr:cNvSpPr txBox="1">
          <a:spLocks noChangeArrowheads="1" noTextEdit="1"/>
        </xdr:cNvSpPr>
      </xdr:nvSpPr>
      <xdr:spPr bwMode="auto">
        <a:xfrm flipV="1">
          <a:off x="10142220" y="1371600"/>
          <a:ext cx="46482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CC8308F-04E7-4AB1-A049-566BCA20B0B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91440</xdr:colOff>
      <xdr:row>4</xdr:row>
      <xdr:rowOff>106680</xdr:rowOff>
    </xdr:from>
    <xdr:to>
      <xdr:col>6</xdr:col>
      <xdr:colOff>655320</xdr:colOff>
      <xdr:row>5</xdr:row>
      <xdr:rowOff>45720</xdr:rowOff>
    </xdr:to>
    <xdr:sp macro="" textlink="actSCTTL">
      <xdr:nvSpPr>
        <xdr:cNvPr id="1037" name="Text 30"/>
        <xdr:cNvSpPr txBox="1">
          <a:spLocks noChangeArrowheads="1" noTextEdit="1"/>
        </xdr:cNvSpPr>
      </xdr:nvSpPr>
      <xdr:spPr bwMode="auto">
        <a:xfrm flipV="1">
          <a:off x="6080760" y="914400"/>
          <a:ext cx="56388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D082C8D-AE61-4702-8D2B-F3552468AC3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533400</xdr:colOff>
      <xdr:row>6</xdr:row>
      <xdr:rowOff>45720</xdr:rowOff>
    </xdr:from>
    <xdr:to>
      <xdr:col>8</xdr:col>
      <xdr:colOff>152400</xdr:colOff>
      <xdr:row>8</xdr:row>
      <xdr:rowOff>7620</xdr:rowOff>
    </xdr:to>
    <xdr:sp macro="" textlink="">
      <xdr:nvSpPr>
        <xdr:cNvPr id="1038" name="Oval 14"/>
        <xdr:cNvSpPr>
          <a:spLocks noChangeArrowheads="1"/>
        </xdr:cNvSpPr>
      </xdr:nvSpPr>
      <xdr:spPr bwMode="auto">
        <a:xfrm>
          <a:off x="7345680" y="1257300"/>
          <a:ext cx="441960" cy="365760"/>
        </a:xfrm>
        <a:prstGeom prst="ellipse">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777240</xdr:colOff>
      <xdr:row>1</xdr:row>
      <xdr:rowOff>160020</xdr:rowOff>
    </xdr:from>
    <xdr:to>
      <xdr:col>10</xdr:col>
      <xdr:colOff>411480</xdr:colOff>
      <xdr:row>2</xdr:row>
      <xdr:rowOff>129540</xdr:rowOff>
    </xdr:to>
    <xdr:sp macro="" textlink="_act16335">
      <xdr:nvSpPr>
        <xdr:cNvPr id="1039" name="Text 30"/>
        <xdr:cNvSpPr txBox="1">
          <a:spLocks noChangeArrowheads="1" noTextEdit="1"/>
        </xdr:cNvSpPr>
      </xdr:nvSpPr>
      <xdr:spPr bwMode="auto">
        <a:xfrm flipV="1">
          <a:off x="9235440" y="358140"/>
          <a:ext cx="45720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D6BB681-25F6-4722-A96C-1A73AFD17BA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502920</xdr:colOff>
      <xdr:row>2</xdr:row>
      <xdr:rowOff>160020</xdr:rowOff>
    </xdr:from>
    <xdr:to>
      <xdr:col>8</xdr:col>
      <xdr:colOff>228600</xdr:colOff>
      <xdr:row>3</xdr:row>
      <xdr:rowOff>121920</xdr:rowOff>
    </xdr:to>
    <xdr:sp macro="" textlink="schcedar">
      <xdr:nvSpPr>
        <xdr:cNvPr id="1040" name="Text 30"/>
        <xdr:cNvSpPr txBox="1">
          <a:spLocks noChangeArrowheads="1" noTextEdit="1"/>
        </xdr:cNvSpPr>
      </xdr:nvSpPr>
      <xdr:spPr bwMode="auto">
        <a:xfrm flipV="1">
          <a:off x="7315200" y="563880"/>
          <a:ext cx="54864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4FD8FC8-ABD6-4554-889E-9F5621D130D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723900</xdr:colOff>
      <xdr:row>7</xdr:row>
      <xdr:rowOff>160020</xdr:rowOff>
    </xdr:from>
    <xdr:to>
      <xdr:col>11</xdr:col>
      <xdr:colOff>289560</xdr:colOff>
      <xdr:row>14</xdr:row>
      <xdr:rowOff>91440</xdr:rowOff>
    </xdr:to>
    <xdr:sp macro="" textlink="">
      <xdr:nvSpPr>
        <xdr:cNvPr id="1041" name="Line 17"/>
        <xdr:cNvSpPr>
          <a:spLocks noChangeShapeType="1"/>
        </xdr:cNvSpPr>
      </xdr:nvSpPr>
      <xdr:spPr bwMode="auto">
        <a:xfrm flipH="1" flipV="1">
          <a:off x="7536180" y="1569720"/>
          <a:ext cx="2857500" cy="13335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6</xdr:col>
      <xdr:colOff>91440</xdr:colOff>
      <xdr:row>5</xdr:row>
      <xdr:rowOff>144780</xdr:rowOff>
    </xdr:from>
    <xdr:to>
      <xdr:col>7</xdr:col>
      <xdr:colOff>213360</xdr:colOff>
      <xdr:row>10</xdr:row>
      <xdr:rowOff>15240</xdr:rowOff>
    </xdr:to>
    <xdr:sp macro="" textlink="">
      <xdr:nvSpPr>
        <xdr:cNvPr id="1042" name="Drawing 21"/>
        <xdr:cNvSpPr>
          <a:spLocks/>
        </xdr:cNvSpPr>
      </xdr:nvSpPr>
      <xdr:spPr bwMode="auto">
        <a:xfrm>
          <a:off x="6080760" y="1158240"/>
          <a:ext cx="944880" cy="876300"/>
        </a:xfrm>
        <a:custGeom>
          <a:avLst/>
          <a:gdLst>
            <a:gd name="T0" fmla="*/ 16384 w 16384"/>
            <a:gd name="T1" fmla="*/ 16384 h 16384"/>
            <a:gd name="T2" fmla="*/ 16384 w 16384"/>
            <a:gd name="T3" fmla="*/ 14813 h 16384"/>
            <a:gd name="T4" fmla="*/ 14073 w 16384"/>
            <a:gd name="T5" fmla="*/ 14588 h 16384"/>
            <a:gd name="T6" fmla="*/ 13023 w 16384"/>
            <a:gd name="T7" fmla="*/ 12569 h 16384"/>
            <a:gd name="T8" fmla="*/ 10713 w 16384"/>
            <a:gd name="T9" fmla="*/ 11446 h 16384"/>
            <a:gd name="T10" fmla="*/ 9662 w 16384"/>
            <a:gd name="T11" fmla="*/ 13466 h 16384"/>
            <a:gd name="T12" fmla="*/ 10713 w 16384"/>
            <a:gd name="T13" fmla="*/ 11671 h 16384"/>
            <a:gd name="T14" fmla="*/ 8192 w 16384"/>
            <a:gd name="T15" fmla="*/ 10100 h 16384"/>
            <a:gd name="T16" fmla="*/ 8192 w 16384"/>
            <a:gd name="T17" fmla="*/ 9202 h 16384"/>
            <a:gd name="T18" fmla="*/ 6932 w 16384"/>
            <a:gd name="T19" fmla="*/ 9202 h 16384"/>
            <a:gd name="T20" fmla="*/ 6302 w 16384"/>
            <a:gd name="T21" fmla="*/ 7182 h 16384"/>
            <a:gd name="T22" fmla="*/ 5041 w 16384"/>
            <a:gd name="T23" fmla="*/ 6060 h 16384"/>
            <a:gd name="T24" fmla="*/ 1680 w 16384"/>
            <a:gd name="T25" fmla="*/ 2469 h 16384"/>
            <a:gd name="T26" fmla="*/ 420 w 16384"/>
            <a:gd name="T27" fmla="*/ 1571 h 16384"/>
            <a:gd name="T28" fmla="*/ 630 w 16384"/>
            <a:gd name="T29" fmla="*/ 898 h 16384"/>
            <a:gd name="T30" fmla="*/ 0 w 16384"/>
            <a:gd name="T3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6384" y="16384"/>
              </a:moveTo>
              <a:lnTo>
                <a:pt x="16384" y="14813"/>
              </a:lnTo>
              <a:lnTo>
                <a:pt x="14073" y="14588"/>
              </a:lnTo>
              <a:lnTo>
                <a:pt x="13023" y="12569"/>
              </a:lnTo>
              <a:lnTo>
                <a:pt x="10713" y="11446"/>
              </a:lnTo>
              <a:lnTo>
                <a:pt x="9662" y="13466"/>
              </a:lnTo>
              <a:lnTo>
                <a:pt x="10713" y="11671"/>
              </a:lnTo>
              <a:lnTo>
                <a:pt x="8192" y="10100"/>
              </a:lnTo>
              <a:lnTo>
                <a:pt x="8192" y="9202"/>
              </a:lnTo>
              <a:lnTo>
                <a:pt x="6932" y="9202"/>
              </a:lnTo>
              <a:lnTo>
                <a:pt x="6302" y="7182"/>
              </a:lnTo>
              <a:lnTo>
                <a:pt x="5041" y="6060"/>
              </a:lnTo>
              <a:lnTo>
                <a:pt x="1680" y="2469"/>
              </a:lnTo>
              <a:lnTo>
                <a:pt x="420" y="1571"/>
              </a:lnTo>
              <a:lnTo>
                <a:pt x="630" y="898"/>
              </a:lnTo>
              <a:lnTo>
                <a:pt x="0"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6</xdr:col>
      <xdr:colOff>739140</xdr:colOff>
      <xdr:row>11</xdr:row>
      <xdr:rowOff>182880</xdr:rowOff>
    </xdr:from>
    <xdr:to>
      <xdr:col>7</xdr:col>
      <xdr:colOff>411480</xdr:colOff>
      <xdr:row>12</xdr:row>
      <xdr:rowOff>167640</xdr:rowOff>
    </xdr:to>
    <xdr:sp macro="" textlink="_sch26160">
      <xdr:nvSpPr>
        <xdr:cNvPr id="1043" name="Text 30"/>
        <xdr:cNvSpPr txBox="1">
          <a:spLocks noChangeArrowheads="1" noTextEdit="1"/>
        </xdr:cNvSpPr>
      </xdr:nvSpPr>
      <xdr:spPr bwMode="auto">
        <a:xfrm flipV="1">
          <a:off x="6728460" y="2400300"/>
          <a:ext cx="49530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EB839CD-5597-48F4-B5B5-D468F1F92AC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518160</xdr:colOff>
      <xdr:row>8</xdr:row>
      <xdr:rowOff>76200</xdr:rowOff>
    </xdr:from>
    <xdr:to>
      <xdr:col>5</xdr:col>
      <xdr:colOff>152400</xdr:colOff>
      <xdr:row>9</xdr:row>
      <xdr:rowOff>7620</xdr:rowOff>
    </xdr:to>
    <xdr:sp macro="" textlink="_act16088">
      <xdr:nvSpPr>
        <xdr:cNvPr id="1044" name="Text 30"/>
        <xdr:cNvSpPr txBox="1">
          <a:spLocks noChangeArrowheads="1" noTextEdit="1"/>
        </xdr:cNvSpPr>
      </xdr:nvSpPr>
      <xdr:spPr bwMode="auto">
        <a:xfrm flipV="1">
          <a:off x="4861560" y="1691640"/>
          <a:ext cx="45720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43638E1-2767-4BCF-ABBB-AD07ABC280B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91440</xdr:colOff>
      <xdr:row>6</xdr:row>
      <xdr:rowOff>129540</xdr:rowOff>
    </xdr:from>
    <xdr:to>
      <xdr:col>5</xdr:col>
      <xdr:colOff>518160</xdr:colOff>
      <xdr:row>7</xdr:row>
      <xdr:rowOff>91440</xdr:rowOff>
    </xdr:to>
    <xdr:sp macro="" textlink="_sch16088">
      <xdr:nvSpPr>
        <xdr:cNvPr id="1045" name="Text 30"/>
        <xdr:cNvSpPr txBox="1">
          <a:spLocks noChangeArrowheads="1" noTextEdit="1"/>
        </xdr:cNvSpPr>
      </xdr:nvSpPr>
      <xdr:spPr bwMode="auto">
        <a:xfrm flipV="1">
          <a:off x="5257800" y="134112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637EB55-B544-4D54-950C-5BA0E121D80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769620</xdr:colOff>
      <xdr:row>25</xdr:row>
      <xdr:rowOff>106680</xdr:rowOff>
    </xdr:from>
    <xdr:to>
      <xdr:col>3</xdr:col>
      <xdr:colOff>731520</xdr:colOff>
      <xdr:row>28</xdr:row>
      <xdr:rowOff>45720</xdr:rowOff>
    </xdr:to>
    <xdr:sp macro="" textlink="">
      <xdr:nvSpPr>
        <xdr:cNvPr id="1046" name="Line 22"/>
        <xdr:cNvSpPr>
          <a:spLocks noChangeShapeType="1"/>
        </xdr:cNvSpPr>
      </xdr:nvSpPr>
      <xdr:spPr bwMode="auto">
        <a:xfrm flipH="1" flipV="1">
          <a:off x="2552700" y="5097780"/>
          <a:ext cx="1699260" cy="53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106680</xdr:colOff>
      <xdr:row>26</xdr:row>
      <xdr:rowOff>190500</xdr:rowOff>
    </xdr:from>
    <xdr:to>
      <xdr:col>4</xdr:col>
      <xdr:colOff>533400</xdr:colOff>
      <xdr:row>27</xdr:row>
      <xdr:rowOff>144780</xdr:rowOff>
    </xdr:to>
    <xdr:sp macro="" textlink="_sch16244">
      <xdr:nvSpPr>
        <xdr:cNvPr id="1047" name="Text 30"/>
        <xdr:cNvSpPr txBox="1">
          <a:spLocks noChangeArrowheads="1" noTextEdit="1"/>
        </xdr:cNvSpPr>
      </xdr:nvSpPr>
      <xdr:spPr bwMode="auto">
        <a:xfrm flipV="1">
          <a:off x="4450080" y="5379720"/>
          <a:ext cx="42672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6296814-BEFC-4BAD-957C-72B275E0E20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441960</xdr:colOff>
      <xdr:row>27</xdr:row>
      <xdr:rowOff>0</xdr:rowOff>
    </xdr:from>
    <xdr:to>
      <xdr:col>2</xdr:col>
      <xdr:colOff>7620</xdr:colOff>
      <xdr:row>27</xdr:row>
      <xdr:rowOff>167640</xdr:rowOff>
    </xdr:to>
    <xdr:sp macro="" textlink="schhoest">
      <xdr:nvSpPr>
        <xdr:cNvPr id="1048" name="Text 30"/>
        <xdr:cNvSpPr txBox="1">
          <a:spLocks noChangeArrowheads="1" noTextEdit="1"/>
        </xdr:cNvSpPr>
      </xdr:nvSpPr>
      <xdr:spPr bwMode="auto">
        <a:xfrm flipV="1">
          <a:off x="2225040" y="5387340"/>
          <a:ext cx="480060" cy="1676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CA3C66D-0C3E-4291-B33F-1F8A19EA41F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510540</xdr:colOff>
      <xdr:row>24</xdr:row>
      <xdr:rowOff>129540</xdr:rowOff>
    </xdr:from>
    <xdr:to>
      <xdr:col>0</xdr:col>
      <xdr:colOff>952500</xdr:colOff>
      <xdr:row>25</xdr:row>
      <xdr:rowOff>83820</xdr:rowOff>
    </xdr:to>
    <xdr:sp macro="" textlink="_sch16066">
      <xdr:nvSpPr>
        <xdr:cNvPr id="1049" name="Text 30"/>
        <xdr:cNvSpPr txBox="1">
          <a:spLocks noChangeArrowheads="1" noTextEdit="1"/>
        </xdr:cNvSpPr>
      </xdr:nvSpPr>
      <xdr:spPr bwMode="auto">
        <a:xfrm flipV="1">
          <a:off x="510540" y="4922520"/>
          <a:ext cx="44196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B4D3EDA-6344-4206-A38F-744E8990F95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502920</xdr:colOff>
      <xdr:row>27</xdr:row>
      <xdr:rowOff>68580</xdr:rowOff>
    </xdr:from>
    <xdr:to>
      <xdr:col>0</xdr:col>
      <xdr:colOff>929640</xdr:colOff>
      <xdr:row>28</xdr:row>
      <xdr:rowOff>30480</xdr:rowOff>
    </xdr:to>
    <xdr:sp macro="" textlink="_act16066">
      <xdr:nvSpPr>
        <xdr:cNvPr id="1050" name="Text 30"/>
        <xdr:cNvSpPr txBox="1">
          <a:spLocks noChangeArrowheads="1" noTextEdit="1"/>
        </xdr:cNvSpPr>
      </xdr:nvSpPr>
      <xdr:spPr bwMode="auto">
        <a:xfrm flipV="1">
          <a:off x="502920" y="545592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2BA1B20-BFB9-4B3F-A7E9-E2B33F52D4F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91440</xdr:colOff>
      <xdr:row>28</xdr:row>
      <xdr:rowOff>167640</xdr:rowOff>
    </xdr:from>
    <xdr:to>
      <xdr:col>4</xdr:col>
      <xdr:colOff>518160</xdr:colOff>
      <xdr:row>29</xdr:row>
      <xdr:rowOff>114300</xdr:rowOff>
    </xdr:to>
    <xdr:sp macro="" textlink="_act16244">
      <xdr:nvSpPr>
        <xdr:cNvPr id="1051" name="Text 30"/>
        <xdr:cNvSpPr txBox="1">
          <a:spLocks noChangeArrowheads="1" noTextEdit="1"/>
        </xdr:cNvSpPr>
      </xdr:nvSpPr>
      <xdr:spPr bwMode="auto">
        <a:xfrm flipV="1">
          <a:off x="4434840" y="5753100"/>
          <a:ext cx="42672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A05D56E-DC23-4A2E-8AAA-EA91825A2A8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457200</xdr:colOff>
      <xdr:row>29</xdr:row>
      <xdr:rowOff>167640</xdr:rowOff>
    </xdr:from>
    <xdr:to>
      <xdr:col>2</xdr:col>
      <xdr:colOff>0</xdr:colOff>
      <xdr:row>30</xdr:row>
      <xdr:rowOff>160020</xdr:rowOff>
    </xdr:to>
    <xdr:sp macro="" textlink="acthoest">
      <xdr:nvSpPr>
        <xdr:cNvPr id="1052" name="Text 30"/>
        <xdr:cNvSpPr txBox="1">
          <a:spLocks noChangeArrowheads="1" noTextEdit="1"/>
        </xdr:cNvSpPr>
      </xdr:nvSpPr>
      <xdr:spPr bwMode="auto">
        <a:xfrm flipV="1">
          <a:off x="2240280" y="5951220"/>
          <a:ext cx="4572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4309EE0-1BE5-49D3-A2D0-D3FE052E02A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937260</xdr:colOff>
      <xdr:row>32</xdr:row>
      <xdr:rowOff>198120</xdr:rowOff>
    </xdr:from>
    <xdr:to>
      <xdr:col>0</xdr:col>
      <xdr:colOff>1348740</xdr:colOff>
      <xdr:row>33</xdr:row>
      <xdr:rowOff>114300</xdr:rowOff>
    </xdr:to>
    <xdr:sp macro="" textlink="_act16127">
      <xdr:nvSpPr>
        <xdr:cNvPr id="1053" name="Text 30"/>
        <xdr:cNvSpPr txBox="1">
          <a:spLocks noChangeArrowheads="1" noTextEdit="1"/>
        </xdr:cNvSpPr>
      </xdr:nvSpPr>
      <xdr:spPr bwMode="auto">
        <a:xfrm flipV="1">
          <a:off x="937260" y="6583680"/>
          <a:ext cx="41148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A4674D7-E359-4A17-A4F9-C12AA938DE4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541020</xdr:colOff>
      <xdr:row>23</xdr:row>
      <xdr:rowOff>114300</xdr:rowOff>
    </xdr:from>
    <xdr:to>
      <xdr:col>0</xdr:col>
      <xdr:colOff>815340</xdr:colOff>
      <xdr:row>24</xdr:row>
      <xdr:rowOff>83820</xdr:rowOff>
    </xdr:to>
    <xdr:sp macro="" textlink="ActTGPAD">
      <xdr:nvSpPr>
        <xdr:cNvPr id="1054" name="TGPAGUAS"/>
        <xdr:cNvSpPr txBox="1">
          <a:spLocks noChangeArrowheads="1" noTextEdit="1"/>
        </xdr:cNvSpPr>
      </xdr:nvSpPr>
      <xdr:spPr bwMode="auto">
        <a:xfrm>
          <a:off x="541020" y="4709160"/>
          <a:ext cx="27432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F24980DF-1A7C-4320-95A9-E5DCFEC53B8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373380</xdr:colOff>
      <xdr:row>1</xdr:row>
      <xdr:rowOff>190500</xdr:rowOff>
    </xdr:from>
    <xdr:to>
      <xdr:col>8</xdr:col>
      <xdr:colOff>198120</xdr:colOff>
      <xdr:row>2</xdr:row>
      <xdr:rowOff>121920</xdr:rowOff>
    </xdr:to>
    <xdr:sp macro="" textlink="actMB">
      <xdr:nvSpPr>
        <xdr:cNvPr id="1055" name="Text 121"/>
        <xdr:cNvSpPr txBox="1">
          <a:spLocks noChangeArrowheads="1"/>
        </xdr:cNvSpPr>
      </xdr:nvSpPr>
      <xdr:spPr bwMode="auto">
        <a:xfrm>
          <a:off x="7185660" y="388620"/>
          <a:ext cx="64770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6799361-EBA7-4E36-A6E7-6AEBC7AC146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121920</xdr:colOff>
      <xdr:row>12</xdr:row>
      <xdr:rowOff>160020</xdr:rowOff>
    </xdr:from>
    <xdr:to>
      <xdr:col>11</xdr:col>
      <xdr:colOff>579120</xdr:colOff>
      <xdr:row>13</xdr:row>
      <xdr:rowOff>114300</xdr:rowOff>
    </xdr:to>
    <xdr:sp macro="" textlink="act8141a">
      <xdr:nvSpPr>
        <xdr:cNvPr id="1056" name="Text 119"/>
        <xdr:cNvSpPr txBox="1">
          <a:spLocks noChangeArrowheads="1"/>
        </xdr:cNvSpPr>
      </xdr:nvSpPr>
      <xdr:spPr bwMode="auto">
        <a:xfrm>
          <a:off x="10226040" y="257556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88F02D6-623B-474D-A3A1-356ACADA6AE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213360</xdr:colOff>
      <xdr:row>15</xdr:row>
      <xdr:rowOff>45720</xdr:rowOff>
    </xdr:from>
    <xdr:to>
      <xdr:col>11</xdr:col>
      <xdr:colOff>670560</xdr:colOff>
      <xdr:row>16</xdr:row>
      <xdr:rowOff>7620</xdr:rowOff>
    </xdr:to>
    <xdr:sp macro="" textlink="_act814">
      <xdr:nvSpPr>
        <xdr:cNvPr id="1057" name="Text 118"/>
        <xdr:cNvSpPr txBox="1">
          <a:spLocks noChangeArrowheads="1"/>
        </xdr:cNvSpPr>
      </xdr:nvSpPr>
      <xdr:spPr bwMode="auto">
        <a:xfrm>
          <a:off x="10317480" y="3055620"/>
          <a:ext cx="4572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6515442-5CDF-47DC-A8AB-15FE11EB237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723900</xdr:colOff>
      <xdr:row>15</xdr:row>
      <xdr:rowOff>129540</xdr:rowOff>
    </xdr:from>
    <xdr:to>
      <xdr:col>10</xdr:col>
      <xdr:colOff>358140</xdr:colOff>
      <xdr:row>16</xdr:row>
      <xdr:rowOff>83820</xdr:rowOff>
    </xdr:to>
    <xdr:sp macro="" textlink="_act813">
      <xdr:nvSpPr>
        <xdr:cNvPr id="1058" name="Text 117"/>
        <xdr:cNvSpPr txBox="1">
          <a:spLocks noChangeArrowheads="1"/>
        </xdr:cNvSpPr>
      </xdr:nvSpPr>
      <xdr:spPr bwMode="auto">
        <a:xfrm>
          <a:off x="9182100" y="313944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2F5DD98-FB1B-41E1-945F-0893C3617BF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228600</xdr:colOff>
      <xdr:row>18</xdr:row>
      <xdr:rowOff>0</xdr:rowOff>
    </xdr:from>
    <xdr:to>
      <xdr:col>9</xdr:col>
      <xdr:colOff>685800</xdr:colOff>
      <xdr:row>18</xdr:row>
      <xdr:rowOff>129540</xdr:rowOff>
    </xdr:to>
    <xdr:sp macro="" textlink="_act812">
      <xdr:nvSpPr>
        <xdr:cNvPr id="1059" name="Text 116"/>
        <xdr:cNvSpPr txBox="1">
          <a:spLocks noChangeArrowheads="1"/>
        </xdr:cNvSpPr>
      </xdr:nvSpPr>
      <xdr:spPr bwMode="auto">
        <a:xfrm>
          <a:off x="8686800" y="3604260"/>
          <a:ext cx="4572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702D908-E740-461D-8FD4-2769BD0BDC7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723900</xdr:colOff>
      <xdr:row>20</xdr:row>
      <xdr:rowOff>182880</xdr:rowOff>
    </xdr:from>
    <xdr:to>
      <xdr:col>9</xdr:col>
      <xdr:colOff>251460</xdr:colOff>
      <xdr:row>21</xdr:row>
      <xdr:rowOff>152400</xdr:rowOff>
    </xdr:to>
    <xdr:sp macro="" textlink="_act809">
      <xdr:nvSpPr>
        <xdr:cNvPr id="1060" name="Text 115"/>
        <xdr:cNvSpPr txBox="1">
          <a:spLocks noChangeArrowheads="1"/>
        </xdr:cNvSpPr>
      </xdr:nvSpPr>
      <xdr:spPr bwMode="auto">
        <a:xfrm>
          <a:off x="8359140" y="4183380"/>
          <a:ext cx="35052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27D27BB8-1307-4B31-8648-65A51850980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739140</xdr:colOff>
      <xdr:row>24</xdr:row>
      <xdr:rowOff>45720</xdr:rowOff>
    </xdr:from>
    <xdr:to>
      <xdr:col>7</xdr:col>
      <xdr:colOff>373380</xdr:colOff>
      <xdr:row>24</xdr:row>
      <xdr:rowOff>190500</xdr:rowOff>
    </xdr:to>
    <xdr:sp macro="" textlink="_act806">
      <xdr:nvSpPr>
        <xdr:cNvPr id="1061" name="Text 114"/>
        <xdr:cNvSpPr txBox="1">
          <a:spLocks noChangeArrowheads="1"/>
        </xdr:cNvSpPr>
      </xdr:nvSpPr>
      <xdr:spPr bwMode="auto">
        <a:xfrm>
          <a:off x="6728460" y="483870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EAB30F1-1D21-4947-A4B5-BF99A081F73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83820</xdr:colOff>
      <xdr:row>25</xdr:row>
      <xdr:rowOff>160020</xdr:rowOff>
    </xdr:from>
    <xdr:to>
      <xdr:col>6</xdr:col>
      <xdr:colOff>533400</xdr:colOff>
      <xdr:row>26</xdr:row>
      <xdr:rowOff>114300</xdr:rowOff>
    </xdr:to>
    <xdr:sp macro="" textlink="_act804">
      <xdr:nvSpPr>
        <xdr:cNvPr id="1062" name="Text 113"/>
        <xdr:cNvSpPr txBox="1">
          <a:spLocks noChangeArrowheads="1"/>
        </xdr:cNvSpPr>
      </xdr:nvSpPr>
      <xdr:spPr bwMode="auto">
        <a:xfrm>
          <a:off x="6073140" y="5151120"/>
          <a:ext cx="4495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1BA5228-D5AE-4197-B88E-60EB289CF2C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0</xdr:colOff>
      <xdr:row>27</xdr:row>
      <xdr:rowOff>7620</xdr:rowOff>
    </xdr:from>
    <xdr:to>
      <xdr:col>5</xdr:col>
      <xdr:colOff>480060</xdr:colOff>
      <xdr:row>27</xdr:row>
      <xdr:rowOff>152400</xdr:rowOff>
    </xdr:to>
    <xdr:sp macro="" textlink="_act802">
      <xdr:nvSpPr>
        <xdr:cNvPr id="1063" name="Text 112"/>
        <xdr:cNvSpPr txBox="1">
          <a:spLocks noChangeArrowheads="1"/>
        </xdr:cNvSpPr>
      </xdr:nvSpPr>
      <xdr:spPr bwMode="auto">
        <a:xfrm>
          <a:off x="5166360" y="5394960"/>
          <a:ext cx="48006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8D60800-C174-4195-8C20-6A7C49C2CEC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167640</xdr:colOff>
      <xdr:row>31</xdr:row>
      <xdr:rowOff>106680</xdr:rowOff>
    </xdr:from>
    <xdr:to>
      <xdr:col>4</xdr:col>
      <xdr:colOff>563880</xdr:colOff>
      <xdr:row>32</xdr:row>
      <xdr:rowOff>30480</xdr:rowOff>
    </xdr:to>
    <xdr:sp macro="" textlink="actST">
      <xdr:nvSpPr>
        <xdr:cNvPr id="1064" name="Text 111"/>
        <xdr:cNvSpPr txBox="1">
          <a:spLocks noChangeArrowheads="1"/>
        </xdr:cNvSpPr>
      </xdr:nvSpPr>
      <xdr:spPr bwMode="auto">
        <a:xfrm>
          <a:off x="4511040" y="6286500"/>
          <a:ext cx="39624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826D2F2-778D-4140-8BA4-42ECE8C23AC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510540</xdr:colOff>
      <xdr:row>21</xdr:row>
      <xdr:rowOff>144780</xdr:rowOff>
    </xdr:from>
    <xdr:to>
      <xdr:col>0</xdr:col>
      <xdr:colOff>762000</xdr:colOff>
      <xdr:row>22</xdr:row>
      <xdr:rowOff>114300</xdr:rowOff>
    </xdr:to>
    <xdr:sp macro="" textlink="SchTGPAD">
      <xdr:nvSpPr>
        <xdr:cNvPr id="1065" name="TGPAGUAS"/>
        <xdr:cNvSpPr txBox="1">
          <a:spLocks noChangeArrowheads="1" noTextEdit="1"/>
        </xdr:cNvSpPr>
      </xdr:nvSpPr>
      <xdr:spPr bwMode="auto">
        <a:xfrm>
          <a:off x="510540" y="4343400"/>
          <a:ext cx="2514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A0671AE2-1212-4D44-A384-E130733A19F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259080</xdr:colOff>
      <xdr:row>7</xdr:row>
      <xdr:rowOff>83820</xdr:rowOff>
    </xdr:from>
    <xdr:to>
      <xdr:col>12</xdr:col>
      <xdr:colOff>723900</xdr:colOff>
      <xdr:row>8</xdr:row>
      <xdr:rowOff>38100</xdr:rowOff>
    </xdr:to>
    <xdr:sp macro="" textlink="_sch820">
      <xdr:nvSpPr>
        <xdr:cNvPr id="1066" name="Text 107"/>
        <xdr:cNvSpPr txBox="1">
          <a:spLocks noChangeArrowheads="1"/>
        </xdr:cNvSpPr>
      </xdr:nvSpPr>
      <xdr:spPr bwMode="auto">
        <a:xfrm>
          <a:off x="11186160" y="1493520"/>
          <a:ext cx="4648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0C0F5D0-D1F1-4301-BA07-5ECBA51ED2A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464820</xdr:colOff>
      <xdr:row>0</xdr:row>
      <xdr:rowOff>68580</xdr:rowOff>
    </xdr:from>
    <xdr:to>
      <xdr:col>8</xdr:col>
      <xdr:colOff>121920</xdr:colOff>
      <xdr:row>1</xdr:row>
      <xdr:rowOff>0</xdr:rowOff>
    </xdr:to>
    <xdr:sp macro="" textlink="schMB">
      <xdr:nvSpPr>
        <xdr:cNvPr id="1067" name="Text 97"/>
        <xdr:cNvSpPr txBox="1">
          <a:spLocks noChangeArrowheads="1"/>
        </xdr:cNvSpPr>
      </xdr:nvSpPr>
      <xdr:spPr bwMode="auto">
        <a:xfrm>
          <a:off x="7277100" y="68580"/>
          <a:ext cx="48006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6584DCB-0B02-4A10-9F1C-37B8AC32553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723900</xdr:colOff>
      <xdr:row>13</xdr:row>
      <xdr:rowOff>190500</xdr:rowOff>
    </xdr:from>
    <xdr:to>
      <xdr:col>10</xdr:col>
      <xdr:colOff>358140</xdr:colOff>
      <xdr:row>14</xdr:row>
      <xdr:rowOff>114300</xdr:rowOff>
    </xdr:to>
    <xdr:sp macro="" textlink="_sch813">
      <xdr:nvSpPr>
        <xdr:cNvPr id="1068" name="Text 73"/>
        <xdr:cNvSpPr txBox="1">
          <a:spLocks noChangeArrowheads="1"/>
        </xdr:cNvSpPr>
      </xdr:nvSpPr>
      <xdr:spPr bwMode="auto">
        <a:xfrm>
          <a:off x="9182100" y="280416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C8A6FB1-384D-4749-8242-BA4232BC527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121920</xdr:colOff>
      <xdr:row>11</xdr:row>
      <xdr:rowOff>15240</xdr:rowOff>
    </xdr:from>
    <xdr:to>
      <xdr:col>11</xdr:col>
      <xdr:colOff>579120</xdr:colOff>
      <xdr:row>11</xdr:row>
      <xdr:rowOff>167640</xdr:rowOff>
    </xdr:to>
    <xdr:sp macro="" textlink="sch8141a">
      <xdr:nvSpPr>
        <xdr:cNvPr id="1069" name="Text 79"/>
        <xdr:cNvSpPr txBox="1">
          <a:spLocks noChangeArrowheads="1"/>
        </xdr:cNvSpPr>
      </xdr:nvSpPr>
      <xdr:spPr bwMode="auto">
        <a:xfrm>
          <a:off x="10226040" y="223266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F505C90-708F-4DA0-BBEB-8B1D81391ED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213360</xdr:colOff>
      <xdr:row>13</xdr:row>
      <xdr:rowOff>121920</xdr:rowOff>
    </xdr:from>
    <xdr:to>
      <xdr:col>11</xdr:col>
      <xdr:colOff>670560</xdr:colOff>
      <xdr:row>14</xdr:row>
      <xdr:rowOff>83820</xdr:rowOff>
    </xdr:to>
    <xdr:sp macro="" textlink="_sch814">
      <xdr:nvSpPr>
        <xdr:cNvPr id="1070" name="Text 75"/>
        <xdr:cNvSpPr txBox="1">
          <a:spLocks noChangeArrowheads="1"/>
        </xdr:cNvSpPr>
      </xdr:nvSpPr>
      <xdr:spPr bwMode="auto">
        <a:xfrm>
          <a:off x="10317480" y="2735580"/>
          <a:ext cx="4572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39FD8FA-4232-4066-8632-65EC3470467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716280</xdr:colOff>
      <xdr:row>5</xdr:row>
      <xdr:rowOff>7620</xdr:rowOff>
    </xdr:from>
    <xdr:to>
      <xdr:col>12</xdr:col>
      <xdr:colOff>563880</xdr:colOff>
      <xdr:row>36</xdr:row>
      <xdr:rowOff>7620</xdr:rowOff>
    </xdr:to>
    <xdr:grpSp>
      <xdr:nvGrpSpPr>
        <xdr:cNvPr id="1071" name="Group 47"/>
        <xdr:cNvGrpSpPr>
          <a:grpSpLocks/>
        </xdr:cNvGrpSpPr>
      </xdr:nvGrpSpPr>
      <xdr:grpSpPr bwMode="auto">
        <a:xfrm>
          <a:off x="2499360" y="1021080"/>
          <a:ext cx="8991600" cy="6202680"/>
          <a:chOff x="-161" y="-3463"/>
          <a:chExt cx="19650" cy="655"/>
        </a:xfrm>
      </xdr:grpSpPr>
      <xdr:grpSp>
        <xdr:nvGrpSpPr>
          <xdr:cNvPr id="1072" name="Group 48"/>
          <xdr:cNvGrpSpPr>
            <a:grpSpLocks/>
          </xdr:cNvGrpSpPr>
        </xdr:nvGrpSpPr>
        <xdr:grpSpPr bwMode="auto">
          <a:xfrm>
            <a:off x="-161" y="-3463"/>
            <a:ext cx="19650" cy="655"/>
            <a:chOff x="2780000" y="104"/>
            <a:chExt cx="15720000" cy="655"/>
          </a:xfrm>
        </xdr:grpSpPr>
        <xdr:sp macro="" textlink="">
          <xdr:nvSpPr>
            <xdr:cNvPr id="1073" name="Drawing 8"/>
            <xdr:cNvSpPr>
              <a:spLocks/>
            </xdr:cNvSpPr>
          </xdr:nvSpPr>
          <xdr:spPr bwMode="auto">
            <a:xfrm>
              <a:off x="5500000" y="104"/>
              <a:ext cx="13000000" cy="381"/>
            </a:xfrm>
            <a:custGeom>
              <a:avLst/>
              <a:gdLst>
                <a:gd name="T0" fmla="*/ 15880 w 16384"/>
                <a:gd name="T1" fmla="*/ 1356 h 16384"/>
                <a:gd name="T2" fmla="*/ 14537 w 16384"/>
                <a:gd name="T3" fmla="*/ 1525 h 16384"/>
                <a:gd name="T4" fmla="*/ 13463 w 16384"/>
                <a:gd name="T5" fmla="*/ 1695 h 16384"/>
                <a:gd name="T6" fmla="*/ 12691 w 16384"/>
                <a:gd name="T7" fmla="*/ 1356 h 16384"/>
                <a:gd name="T8" fmla="*/ 13228 w 16384"/>
                <a:gd name="T9" fmla="*/ 452 h 16384"/>
                <a:gd name="T10" fmla="*/ 12557 w 16384"/>
                <a:gd name="T11" fmla="*/ 791 h 16384"/>
                <a:gd name="T12" fmla="*/ 12825 w 16384"/>
                <a:gd name="T13" fmla="*/ 2260 h 16384"/>
                <a:gd name="T14" fmla="*/ 11382 w 16384"/>
                <a:gd name="T15" fmla="*/ 2994 h 16384"/>
                <a:gd name="T16" fmla="*/ 10710 w 16384"/>
                <a:gd name="T17" fmla="*/ 3446 h 16384"/>
                <a:gd name="T18" fmla="*/ 9669 w 16384"/>
                <a:gd name="T19" fmla="*/ 4237 h 16384"/>
                <a:gd name="T20" fmla="*/ 9065 w 16384"/>
                <a:gd name="T21" fmla="*/ 4859 h 16384"/>
                <a:gd name="T22" fmla="*/ 9602 w 16384"/>
                <a:gd name="T23" fmla="*/ 4124 h 16384"/>
                <a:gd name="T24" fmla="*/ 10039 w 16384"/>
                <a:gd name="T25" fmla="*/ 3333 h 16384"/>
                <a:gd name="T26" fmla="*/ 9501 w 16384"/>
                <a:gd name="T27" fmla="*/ 3390 h 16384"/>
                <a:gd name="T28" fmla="*/ 9233 w 16384"/>
                <a:gd name="T29" fmla="*/ 2090 h 16384"/>
                <a:gd name="T30" fmla="*/ 8696 w 16384"/>
                <a:gd name="T31" fmla="*/ 2316 h 16384"/>
                <a:gd name="T32" fmla="*/ 8058 w 16384"/>
                <a:gd name="T33" fmla="*/ 2147 h 16384"/>
                <a:gd name="T34" fmla="*/ 7890 w 16384"/>
                <a:gd name="T35" fmla="*/ 2260 h 16384"/>
                <a:gd name="T36" fmla="*/ 7688 w 16384"/>
                <a:gd name="T37" fmla="*/ 2486 h 16384"/>
                <a:gd name="T38" fmla="*/ 8192 w 16384"/>
                <a:gd name="T39" fmla="*/ 3277 h 16384"/>
                <a:gd name="T40" fmla="*/ 8494 w 16384"/>
                <a:gd name="T41" fmla="*/ 4124 h 16384"/>
                <a:gd name="T42" fmla="*/ 8696 w 16384"/>
                <a:gd name="T43" fmla="*/ 4802 h 16384"/>
                <a:gd name="T44" fmla="*/ 8561 w 16384"/>
                <a:gd name="T45" fmla="*/ 5254 h 16384"/>
                <a:gd name="T46" fmla="*/ 8192 w 16384"/>
                <a:gd name="T47" fmla="*/ 5706 h 16384"/>
                <a:gd name="T48" fmla="*/ 7823 w 16384"/>
                <a:gd name="T49" fmla="*/ 6554 h 16384"/>
                <a:gd name="T50" fmla="*/ 7252 w 16384"/>
                <a:gd name="T51" fmla="*/ 7853 h 16384"/>
                <a:gd name="T52" fmla="*/ 6312 w 16384"/>
                <a:gd name="T53" fmla="*/ 9491 h 16384"/>
                <a:gd name="T54" fmla="*/ 5708 w 16384"/>
                <a:gd name="T55" fmla="*/ 10113 h 16384"/>
                <a:gd name="T56" fmla="*/ 5070 w 16384"/>
                <a:gd name="T57" fmla="*/ 10339 h 16384"/>
                <a:gd name="T58" fmla="*/ 4499 w 16384"/>
                <a:gd name="T59" fmla="*/ 10678 h 16384"/>
                <a:gd name="T60" fmla="*/ 4432 w 16384"/>
                <a:gd name="T61" fmla="*/ 11073 h 16384"/>
                <a:gd name="T62" fmla="*/ 4264 w 16384"/>
                <a:gd name="T63" fmla="*/ 11356 h 16384"/>
                <a:gd name="T64" fmla="*/ 3492 w 16384"/>
                <a:gd name="T65" fmla="*/ 12090 h 16384"/>
                <a:gd name="T66" fmla="*/ 2887 w 16384"/>
                <a:gd name="T67" fmla="*/ 13051 h 16384"/>
                <a:gd name="T68" fmla="*/ 2787 w 16384"/>
                <a:gd name="T69" fmla="*/ 12881 h 16384"/>
                <a:gd name="T70" fmla="*/ 3626 w 16384"/>
                <a:gd name="T71" fmla="*/ 11921 h 16384"/>
                <a:gd name="T72" fmla="*/ 3895 w 16384"/>
                <a:gd name="T73" fmla="*/ 11186 h 16384"/>
                <a:gd name="T74" fmla="*/ 3357 w 16384"/>
                <a:gd name="T75" fmla="*/ 11073 h 16384"/>
                <a:gd name="T76" fmla="*/ 3190 w 16384"/>
                <a:gd name="T77" fmla="*/ 10508 h 16384"/>
                <a:gd name="T78" fmla="*/ 3122 w 16384"/>
                <a:gd name="T79" fmla="*/ 11638 h 16384"/>
                <a:gd name="T80" fmla="*/ 2652 w 16384"/>
                <a:gd name="T81" fmla="*/ 10904 h 16384"/>
                <a:gd name="T82" fmla="*/ 2182 w 16384"/>
                <a:gd name="T83" fmla="*/ 10395 h 16384"/>
                <a:gd name="T84" fmla="*/ 2417 w 16384"/>
                <a:gd name="T85" fmla="*/ 11525 h 16384"/>
                <a:gd name="T86" fmla="*/ 2014 w 16384"/>
                <a:gd name="T87" fmla="*/ 11525 h 16384"/>
                <a:gd name="T88" fmla="*/ 1679 w 16384"/>
                <a:gd name="T89" fmla="*/ 10621 h 16384"/>
                <a:gd name="T90" fmla="*/ 1377 w 16384"/>
                <a:gd name="T91" fmla="*/ 11412 h 16384"/>
                <a:gd name="T92" fmla="*/ 2182 w 16384"/>
                <a:gd name="T93" fmla="*/ 12316 h 16384"/>
                <a:gd name="T94" fmla="*/ 1813 w 16384"/>
                <a:gd name="T95" fmla="*/ 13616 h 16384"/>
                <a:gd name="T96" fmla="*/ 1209 w 16384"/>
                <a:gd name="T97" fmla="*/ 13164 h 16384"/>
                <a:gd name="T98" fmla="*/ 839 w 16384"/>
                <a:gd name="T99" fmla="*/ 13051 h 16384"/>
                <a:gd name="T100" fmla="*/ 436 w 16384"/>
                <a:gd name="T101" fmla="*/ 12429 h 16384"/>
                <a:gd name="T102" fmla="*/ 436 w 16384"/>
                <a:gd name="T103" fmla="*/ 12994 h 16384"/>
                <a:gd name="T104" fmla="*/ 772 w 16384"/>
                <a:gd name="T105" fmla="*/ 14011 h 16384"/>
                <a:gd name="T106" fmla="*/ 940 w 16384"/>
                <a:gd name="T107" fmla="*/ 15424 h 16384"/>
                <a:gd name="T108" fmla="*/ 638 w 16384"/>
                <a:gd name="T109" fmla="*/ 16384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6384" h="16384">
                  <a:moveTo>
                    <a:pt x="16384" y="1638"/>
                  </a:moveTo>
                  <a:lnTo>
                    <a:pt x="16283" y="1695"/>
                  </a:lnTo>
                  <a:lnTo>
                    <a:pt x="16183" y="1695"/>
                  </a:lnTo>
                  <a:lnTo>
                    <a:pt x="16082" y="1638"/>
                  </a:lnTo>
                  <a:lnTo>
                    <a:pt x="15981" y="1525"/>
                  </a:lnTo>
                  <a:lnTo>
                    <a:pt x="15880" y="1356"/>
                  </a:lnTo>
                  <a:lnTo>
                    <a:pt x="15780" y="1356"/>
                  </a:lnTo>
                  <a:lnTo>
                    <a:pt x="15679" y="1299"/>
                  </a:lnTo>
                  <a:lnTo>
                    <a:pt x="15041" y="1299"/>
                  </a:lnTo>
                  <a:lnTo>
                    <a:pt x="14739" y="1469"/>
                  </a:lnTo>
                  <a:lnTo>
                    <a:pt x="14638" y="1469"/>
                  </a:lnTo>
                  <a:lnTo>
                    <a:pt x="14537" y="1525"/>
                  </a:lnTo>
                  <a:lnTo>
                    <a:pt x="14336" y="1525"/>
                  </a:lnTo>
                  <a:lnTo>
                    <a:pt x="14235" y="1582"/>
                  </a:lnTo>
                  <a:lnTo>
                    <a:pt x="13799" y="1582"/>
                  </a:lnTo>
                  <a:lnTo>
                    <a:pt x="13698" y="1638"/>
                  </a:lnTo>
                  <a:lnTo>
                    <a:pt x="13564" y="1695"/>
                  </a:lnTo>
                  <a:lnTo>
                    <a:pt x="13463" y="1695"/>
                  </a:lnTo>
                  <a:lnTo>
                    <a:pt x="13329" y="1751"/>
                  </a:lnTo>
                  <a:lnTo>
                    <a:pt x="12926" y="1977"/>
                  </a:lnTo>
                  <a:lnTo>
                    <a:pt x="12892" y="1808"/>
                  </a:lnTo>
                  <a:lnTo>
                    <a:pt x="12825" y="1638"/>
                  </a:lnTo>
                  <a:lnTo>
                    <a:pt x="12724" y="1525"/>
                  </a:lnTo>
                  <a:lnTo>
                    <a:pt x="12691" y="1356"/>
                  </a:lnTo>
                  <a:lnTo>
                    <a:pt x="12792" y="1243"/>
                  </a:lnTo>
                  <a:lnTo>
                    <a:pt x="12892" y="1186"/>
                  </a:lnTo>
                  <a:lnTo>
                    <a:pt x="13094" y="960"/>
                  </a:lnTo>
                  <a:lnTo>
                    <a:pt x="13127" y="791"/>
                  </a:lnTo>
                  <a:lnTo>
                    <a:pt x="13194" y="621"/>
                  </a:lnTo>
                  <a:lnTo>
                    <a:pt x="13228" y="452"/>
                  </a:lnTo>
                  <a:lnTo>
                    <a:pt x="13194" y="282"/>
                  </a:lnTo>
                  <a:lnTo>
                    <a:pt x="13127" y="113"/>
                  </a:lnTo>
                  <a:lnTo>
                    <a:pt x="13027" y="0"/>
                  </a:lnTo>
                  <a:lnTo>
                    <a:pt x="12926" y="0"/>
                  </a:lnTo>
                  <a:lnTo>
                    <a:pt x="12657" y="678"/>
                  </a:lnTo>
                  <a:lnTo>
                    <a:pt x="12557" y="791"/>
                  </a:lnTo>
                  <a:lnTo>
                    <a:pt x="12489" y="960"/>
                  </a:lnTo>
                  <a:lnTo>
                    <a:pt x="12489" y="1299"/>
                  </a:lnTo>
                  <a:lnTo>
                    <a:pt x="12590" y="1412"/>
                  </a:lnTo>
                  <a:lnTo>
                    <a:pt x="12792" y="1921"/>
                  </a:lnTo>
                  <a:lnTo>
                    <a:pt x="12825" y="2090"/>
                  </a:lnTo>
                  <a:lnTo>
                    <a:pt x="12825" y="2260"/>
                  </a:lnTo>
                  <a:lnTo>
                    <a:pt x="12624" y="2373"/>
                  </a:lnTo>
                  <a:lnTo>
                    <a:pt x="12523" y="2316"/>
                  </a:lnTo>
                  <a:lnTo>
                    <a:pt x="12221" y="2316"/>
                  </a:lnTo>
                  <a:lnTo>
                    <a:pt x="11818" y="2542"/>
                  </a:lnTo>
                  <a:lnTo>
                    <a:pt x="11516" y="2881"/>
                  </a:lnTo>
                  <a:lnTo>
                    <a:pt x="11382" y="2994"/>
                  </a:lnTo>
                  <a:lnTo>
                    <a:pt x="11281" y="3051"/>
                  </a:lnTo>
                  <a:lnTo>
                    <a:pt x="11180" y="3164"/>
                  </a:lnTo>
                  <a:lnTo>
                    <a:pt x="11046" y="3220"/>
                  </a:lnTo>
                  <a:lnTo>
                    <a:pt x="10945" y="3333"/>
                  </a:lnTo>
                  <a:lnTo>
                    <a:pt x="10844" y="3390"/>
                  </a:lnTo>
                  <a:lnTo>
                    <a:pt x="10710" y="3446"/>
                  </a:lnTo>
                  <a:lnTo>
                    <a:pt x="10609" y="3559"/>
                  </a:lnTo>
                  <a:lnTo>
                    <a:pt x="10475" y="3672"/>
                  </a:lnTo>
                  <a:lnTo>
                    <a:pt x="9971" y="3955"/>
                  </a:lnTo>
                  <a:lnTo>
                    <a:pt x="9871" y="4068"/>
                  </a:lnTo>
                  <a:lnTo>
                    <a:pt x="9770" y="4124"/>
                  </a:lnTo>
                  <a:lnTo>
                    <a:pt x="9669" y="4237"/>
                  </a:lnTo>
                  <a:lnTo>
                    <a:pt x="9468" y="4576"/>
                  </a:lnTo>
                  <a:lnTo>
                    <a:pt x="9401" y="4746"/>
                  </a:lnTo>
                  <a:lnTo>
                    <a:pt x="9300" y="4859"/>
                  </a:lnTo>
                  <a:lnTo>
                    <a:pt x="9199" y="5028"/>
                  </a:lnTo>
                  <a:lnTo>
                    <a:pt x="9098" y="5028"/>
                  </a:lnTo>
                  <a:lnTo>
                    <a:pt x="9065" y="4859"/>
                  </a:lnTo>
                  <a:lnTo>
                    <a:pt x="9132" y="4689"/>
                  </a:lnTo>
                  <a:lnTo>
                    <a:pt x="9233" y="4576"/>
                  </a:lnTo>
                  <a:lnTo>
                    <a:pt x="9334" y="4520"/>
                  </a:lnTo>
                  <a:lnTo>
                    <a:pt x="9401" y="4350"/>
                  </a:lnTo>
                  <a:lnTo>
                    <a:pt x="9501" y="4294"/>
                  </a:lnTo>
                  <a:lnTo>
                    <a:pt x="9602" y="4124"/>
                  </a:lnTo>
                  <a:lnTo>
                    <a:pt x="9703" y="4068"/>
                  </a:lnTo>
                  <a:lnTo>
                    <a:pt x="9804" y="3955"/>
                  </a:lnTo>
                  <a:lnTo>
                    <a:pt x="9804" y="3785"/>
                  </a:lnTo>
                  <a:lnTo>
                    <a:pt x="9770" y="3616"/>
                  </a:lnTo>
                  <a:lnTo>
                    <a:pt x="9837" y="3446"/>
                  </a:lnTo>
                  <a:lnTo>
                    <a:pt x="10039" y="3333"/>
                  </a:lnTo>
                  <a:lnTo>
                    <a:pt x="10005" y="3164"/>
                  </a:lnTo>
                  <a:lnTo>
                    <a:pt x="9904" y="3220"/>
                  </a:lnTo>
                  <a:lnTo>
                    <a:pt x="9804" y="3220"/>
                  </a:lnTo>
                  <a:lnTo>
                    <a:pt x="9703" y="3333"/>
                  </a:lnTo>
                  <a:lnTo>
                    <a:pt x="9602" y="3333"/>
                  </a:lnTo>
                  <a:lnTo>
                    <a:pt x="9501" y="3390"/>
                  </a:lnTo>
                  <a:lnTo>
                    <a:pt x="9199" y="3390"/>
                  </a:lnTo>
                  <a:lnTo>
                    <a:pt x="9300" y="2881"/>
                  </a:lnTo>
                  <a:lnTo>
                    <a:pt x="9300" y="2712"/>
                  </a:lnTo>
                  <a:lnTo>
                    <a:pt x="9367" y="2373"/>
                  </a:lnTo>
                  <a:lnTo>
                    <a:pt x="9334" y="2203"/>
                  </a:lnTo>
                  <a:lnTo>
                    <a:pt x="9233" y="2090"/>
                  </a:lnTo>
                  <a:lnTo>
                    <a:pt x="9199" y="1921"/>
                  </a:lnTo>
                  <a:lnTo>
                    <a:pt x="9132" y="1751"/>
                  </a:lnTo>
                  <a:lnTo>
                    <a:pt x="9031" y="1751"/>
                  </a:lnTo>
                  <a:lnTo>
                    <a:pt x="8931" y="1808"/>
                  </a:lnTo>
                  <a:lnTo>
                    <a:pt x="8830" y="1977"/>
                  </a:lnTo>
                  <a:lnTo>
                    <a:pt x="8696" y="2316"/>
                  </a:lnTo>
                  <a:lnTo>
                    <a:pt x="8628" y="2655"/>
                  </a:lnTo>
                  <a:lnTo>
                    <a:pt x="8528" y="2655"/>
                  </a:lnTo>
                  <a:lnTo>
                    <a:pt x="8326" y="2542"/>
                  </a:lnTo>
                  <a:lnTo>
                    <a:pt x="8226" y="2429"/>
                  </a:lnTo>
                  <a:lnTo>
                    <a:pt x="8158" y="2260"/>
                  </a:lnTo>
                  <a:lnTo>
                    <a:pt x="8058" y="2147"/>
                  </a:lnTo>
                  <a:lnTo>
                    <a:pt x="7957" y="1977"/>
                  </a:lnTo>
                  <a:lnTo>
                    <a:pt x="7856" y="1864"/>
                  </a:lnTo>
                  <a:lnTo>
                    <a:pt x="7756" y="1864"/>
                  </a:lnTo>
                  <a:lnTo>
                    <a:pt x="7856" y="1921"/>
                  </a:lnTo>
                  <a:lnTo>
                    <a:pt x="7856" y="2090"/>
                  </a:lnTo>
                  <a:lnTo>
                    <a:pt x="7890" y="2260"/>
                  </a:lnTo>
                  <a:lnTo>
                    <a:pt x="7789" y="2316"/>
                  </a:lnTo>
                  <a:lnTo>
                    <a:pt x="7688" y="2316"/>
                  </a:lnTo>
                  <a:lnTo>
                    <a:pt x="7386" y="2147"/>
                  </a:lnTo>
                  <a:lnTo>
                    <a:pt x="7286" y="2203"/>
                  </a:lnTo>
                  <a:lnTo>
                    <a:pt x="7588" y="2373"/>
                  </a:lnTo>
                  <a:lnTo>
                    <a:pt x="7688" y="2486"/>
                  </a:lnTo>
                  <a:lnTo>
                    <a:pt x="7789" y="2486"/>
                  </a:lnTo>
                  <a:lnTo>
                    <a:pt x="7890" y="2542"/>
                  </a:lnTo>
                  <a:lnTo>
                    <a:pt x="7991" y="2655"/>
                  </a:lnTo>
                  <a:lnTo>
                    <a:pt x="8024" y="2825"/>
                  </a:lnTo>
                  <a:lnTo>
                    <a:pt x="8125" y="2938"/>
                  </a:lnTo>
                  <a:lnTo>
                    <a:pt x="8192" y="3277"/>
                  </a:lnTo>
                  <a:lnTo>
                    <a:pt x="8091" y="3390"/>
                  </a:lnTo>
                  <a:lnTo>
                    <a:pt x="8158" y="3559"/>
                  </a:lnTo>
                  <a:lnTo>
                    <a:pt x="8259" y="3672"/>
                  </a:lnTo>
                  <a:lnTo>
                    <a:pt x="8326" y="3842"/>
                  </a:lnTo>
                  <a:lnTo>
                    <a:pt x="8427" y="3955"/>
                  </a:lnTo>
                  <a:lnTo>
                    <a:pt x="8494" y="4124"/>
                  </a:lnTo>
                  <a:lnTo>
                    <a:pt x="8293" y="4237"/>
                  </a:lnTo>
                  <a:lnTo>
                    <a:pt x="8393" y="4350"/>
                  </a:lnTo>
                  <a:lnTo>
                    <a:pt x="8494" y="4407"/>
                  </a:lnTo>
                  <a:lnTo>
                    <a:pt x="8528" y="4576"/>
                  </a:lnTo>
                  <a:lnTo>
                    <a:pt x="8595" y="4746"/>
                  </a:lnTo>
                  <a:lnTo>
                    <a:pt x="8696" y="4802"/>
                  </a:lnTo>
                  <a:lnTo>
                    <a:pt x="8796" y="4802"/>
                  </a:lnTo>
                  <a:lnTo>
                    <a:pt x="8998" y="4915"/>
                  </a:lnTo>
                  <a:lnTo>
                    <a:pt x="8897" y="4972"/>
                  </a:lnTo>
                  <a:lnTo>
                    <a:pt x="8696" y="4972"/>
                  </a:lnTo>
                  <a:lnTo>
                    <a:pt x="8662" y="5141"/>
                  </a:lnTo>
                  <a:lnTo>
                    <a:pt x="8561" y="5254"/>
                  </a:lnTo>
                  <a:lnTo>
                    <a:pt x="8528" y="5424"/>
                  </a:lnTo>
                  <a:lnTo>
                    <a:pt x="8427" y="5537"/>
                  </a:lnTo>
                  <a:lnTo>
                    <a:pt x="8326" y="5480"/>
                  </a:lnTo>
                  <a:lnTo>
                    <a:pt x="8326" y="5311"/>
                  </a:lnTo>
                  <a:lnTo>
                    <a:pt x="8393" y="5480"/>
                  </a:lnTo>
                  <a:lnTo>
                    <a:pt x="8192" y="5706"/>
                  </a:lnTo>
                  <a:lnTo>
                    <a:pt x="8226" y="5876"/>
                  </a:lnTo>
                  <a:lnTo>
                    <a:pt x="8125" y="5989"/>
                  </a:lnTo>
                  <a:lnTo>
                    <a:pt x="7991" y="6158"/>
                  </a:lnTo>
                  <a:lnTo>
                    <a:pt x="7923" y="6328"/>
                  </a:lnTo>
                  <a:lnTo>
                    <a:pt x="7923" y="6497"/>
                  </a:lnTo>
                  <a:lnTo>
                    <a:pt x="7823" y="6554"/>
                  </a:lnTo>
                  <a:lnTo>
                    <a:pt x="7688" y="6893"/>
                  </a:lnTo>
                  <a:lnTo>
                    <a:pt x="7588" y="7062"/>
                  </a:lnTo>
                  <a:lnTo>
                    <a:pt x="7521" y="7232"/>
                  </a:lnTo>
                  <a:lnTo>
                    <a:pt x="7453" y="7571"/>
                  </a:lnTo>
                  <a:lnTo>
                    <a:pt x="7353" y="7740"/>
                  </a:lnTo>
                  <a:lnTo>
                    <a:pt x="7252" y="7853"/>
                  </a:lnTo>
                  <a:lnTo>
                    <a:pt x="7252" y="8023"/>
                  </a:lnTo>
                  <a:lnTo>
                    <a:pt x="7218" y="8192"/>
                  </a:lnTo>
                  <a:lnTo>
                    <a:pt x="7118" y="8361"/>
                  </a:lnTo>
                  <a:lnTo>
                    <a:pt x="6916" y="8870"/>
                  </a:lnTo>
                  <a:lnTo>
                    <a:pt x="6815" y="8926"/>
                  </a:lnTo>
                  <a:lnTo>
                    <a:pt x="6312" y="9491"/>
                  </a:lnTo>
                  <a:lnTo>
                    <a:pt x="6178" y="9548"/>
                  </a:lnTo>
                  <a:lnTo>
                    <a:pt x="6077" y="9661"/>
                  </a:lnTo>
                  <a:lnTo>
                    <a:pt x="6010" y="9830"/>
                  </a:lnTo>
                  <a:lnTo>
                    <a:pt x="5909" y="9943"/>
                  </a:lnTo>
                  <a:lnTo>
                    <a:pt x="5808" y="10000"/>
                  </a:lnTo>
                  <a:lnTo>
                    <a:pt x="5708" y="10113"/>
                  </a:lnTo>
                  <a:lnTo>
                    <a:pt x="5573" y="10226"/>
                  </a:lnTo>
                  <a:lnTo>
                    <a:pt x="5473" y="10282"/>
                  </a:lnTo>
                  <a:lnTo>
                    <a:pt x="5372" y="10169"/>
                  </a:lnTo>
                  <a:lnTo>
                    <a:pt x="5271" y="10169"/>
                  </a:lnTo>
                  <a:lnTo>
                    <a:pt x="5170" y="10282"/>
                  </a:lnTo>
                  <a:lnTo>
                    <a:pt x="5070" y="10339"/>
                  </a:lnTo>
                  <a:lnTo>
                    <a:pt x="4969" y="10339"/>
                  </a:lnTo>
                  <a:lnTo>
                    <a:pt x="4868" y="10282"/>
                  </a:lnTo>
                  <a:lnTo>
                    <a:pt x="4767" y="10339"/>
                  </a:lnTo>
                  <a:lnTo>
                    <a:pt x="4700" y="10508"/>
                  </a:lnTo>
                  <a:lnTo>
                    <a:pt x="4600" y="10565"/>
                  </a:lnTo>
                  <a:lnTo>
                    <a:pt x="4499" y="10678"/>
                  </a:lnTo>
                  <a:lnTo>
                    <a:pt x="4398" y="10734"/>
                  </a:lnTo>
                  <a:lnTo>
                    <a:pt x="4365" y="10904"/>
                  </a:lnTo>
                  <a:lnTo>
                    <a:pt x="4264" y="11073"/>
                  </a:lnTo>
                  <a:lnTo>
                    <a:pt x="4264" y="11243"/>
                  </a:lnTo>
                  <a:lnTo>
                    <a:pt x="4365" y="11243"/>
                  </a:lnTo>
                  <a:lnTo>
                    <a:pt x="4432" y="11073"/>
                  </a:lnTo>
                  <a:lnTo>
                    <a:pt x="4633" y="10847"/>
                  </a:lnTo>
                  <a:lnTo>
                    <a:pt x="5137" y="10565"/>
                  </a:lnTo>
                  <a:lnTo>
                    <a:pt x="5070" y="10734"/>
                  </a:lnTo>
                  <a:lnTo>
                    <a:pt x="4767" y="10904"/>
                  </a:lnTo>
                  <a:lnTo>
                    <a:pt x="4365" y="11356"/>
                  </a:lnTo>
                  <a:lnTo>
                    <a:pt x="4264" y="11356"/>
                  </a:lnTo>
                  <a:lnTo>
                    <a:pt x="4163" y="11412"/>
                  </a:lnTo>
                  <a:lnTo>
                    <a:pt x="3928" y="11525"/>
                  </a:lnTo>
                  <a:lnTo>
                    <a:pt x="3928" y="11695"/>
                  </a:lnTo>
                  <a:lnTo>
                    <a:pt x="3727" y="11808"/>
                  </a:lnTo>
                  <a:lnTo>
                    <a:pt x="3592" y="11921"/>
                  </a:lnTo>
                  <a:lnTo>
                    <a:pt x="3492" y="12090"/>
                  </a:lnTo>
                  <a:lnTo>
                    <a:pt x="3458" y="12260"/>
                  </a:lnTo>
                  <a:lnTo>
                    <a:pt x="3257" y="12486"/>
                  </a:lnTo>
                  <a:lnTo>
                    <a:pt x="3190" y="12655"/>
                  </a:lnTo>
                  <a:lnTo>
                    <a:pt x="3089" y="12825"/>
                  </a:lnTo>
                  <a:lnTo>
                    <a:pt x="2988" y="12881"/>
                  </a:lnTo>
                  <a:lnTo>
                    <a:pt x="2887" y="13051"/>
                  </a:lnTo>
                  <a:lnTo>
                    <a:pt x="2787" y="13164"/>
                  </a:lnTo>
                  <a:lnTo>
                    <a:pt x="2686" y="13220"/>
                  </a:lnTo>
                  <a:lnTo>
                    <a:pt x="2585" y="13333"/>
                  </a:lnTo>
                  <a:lnTo>
                    <a:pt x="2585" y="13164"/>
                  </a:lnTo>
                  <a:lnTo>
                    <a:pt x="2719" y="13051"/>
                  </a:lnTo>
                  <a:lnTo>
                    <a:pt x="2787" y="12881"/>
                  </a:lnTo>
                  <a:lnTo>
                    <a:pt x="2988" y="12655"/>
                  </a:lnTo>
                  <a:lnTo>
                    <a:pt x="3022" y="12486"/>
                  </a:lnTo>
                  <a:lnTo>
                    <a:pt x="3122" y="12429"/>
                  </a:lnTo>
                  <a:lnTo>
                    <a:pt x="3324" y="12203"/>
                  </a:lnTo>
                  <a:lnTo>
                    <a:pt x="3425" y="12034"/>
                  </a:lnTo>
                  <a:lnTo>
                    <a:pt x="3626" y="11921"/>
                  </a:lnTo>
                  <a:lnTo>
                    <a:pt x="3827" y="11695"/>
                  </a:lnTo>
                  <a:lnTo>
                    <a:pt x="3928" y="11638"/>
                  </a:lnTo>
                  <a:lnTo>
                    <a:pt x="4130" y="11412"/>
                  </a:lnTo>
                  <a:lnTo>
                    <a:pt x="4096" y="11243"/>
                  </a:lnTo>
                  <a:lnTo>
                    <a:pt x="3995" y="11130"/>
                  </a:lnTo>
                  <a:lnTo>
                    <a:pt x="3895" y="11186"/>
                  </a:lnTo>
                  <a:lnTo>
                    <a:pt x="3592" y="11525"/>
                  </a:lnTo>
                  <a:lnTo>
                    <a:pt x="3492" y="11582"/>
                  </a:lnTo>
                  <a:lnTo>
                    <a:pt x="3391" y="11582"/>
                  </a:lnTo>
                  <a:lnTo>
                    <a:pt x="3391" y="11412"/>
                  </a:lnTo>
                  <a:lnTo>
                    <a:pt x="3357" y="11243"/>
                  </a:lnTo>
                  <a:lnTo>
                    <a:pt x="3357" y="11073"/>
                  </a:lnTo>
                  <a:lnTo>
                    <a:pt x="3290" y="10734"/>
                  </a:lnTo>
                  <a:lnTo>
                    <a:pt x="3324" y="10565"/>
                  </a:lnTo>
                  <a:lnTo>
                    <a:pt x="3391" y="10395"/>
                  </a:lnTo>
                  <a:lnTo>
                    <a:pt x="3391" y="10226"/>
                  </a:lnTo>
                  <a:lnTo>
                    <a:pt x="3290" y="10395"/>
                  </a:lnTo>
                  <a:lnTo>
                    <a:pt x="3190" y="10508"/>
                  </a:lnTo>
                  <a:lnTo>
                    <a:pt x="3190" y="10678"/>
                  </a:lnTo>
                  <a:lnTo>
                    <a:pt x="3122" y="11017"/>
                  </a:lnTo>
                  <a:lnTo>
                    <a:pt x="3122" y="11186"/>
                  </a:lnTo>
                  <a:lnTo>
                    <a:pt x="3055" y="11356"/>
                  </a:lnTo>
                  <a:lnTo>
                    <a:pt x="3022" y="11525"/>
                  </a:lnTo>
                  <a:lnTo>
                    <a:pt x="3122" y="11638"/>
                  </a:lnTo>
                  <a:lnTo>
                    <a:pt x="3022" y="11695"/>
                  </a:lnTo>
                  <a:lnTo>
                    <a:pt x="2954" y="11525"/>
                  </a:lnTo>
                  <a:lnTo>
                    <a:pt x="2854" y="11356"/>
                  </a:lnTo>
                  <a:lnTo>
                    <a:pt x="2820" y="11186"/>
                  </a:lnTo>
                  <a:lnTo>
                    <a:pt x="2719" y="11073"/>
                  </a:lnTo>
                  <a:lnTo>
                    <a:pt x="2652" y="10904"/>
                  </a:lnTo>
                  <a:lnTo>
                    <a:pt x="2619" y="10734"/>
                  </a:lnTo>
                  <a:lnTo>
                    <a:pt x="2518" y="10621"/>
                  </a:lnTo>
                  <a:lnTo>
                    <a:pt x="2417" y="10565"/>
                  </a:lnTo>
                  <a:lnTo>
                    <a:pt x="2350" y="10395"/>
                  </a:lnTo>
                  <a:lnTo>
                    <a:pt x="2249" y="10226"/>
                  </a:lnTo>
                  <a:lnTo>
                    <a:pt x="2182" y="10395"/>
                  </a:lnTo>
                  <a:lnTo>
                    <a:pt x="2182" y="10734"/>
                  </a:lnTo>
                  <a:lnTo>
                    <a:pt x="2249" y="10904"/>
                  </a:lnTo>
                  <a:lnTo>
                    <a:pt x="2350" y="11017"/>
                  </a:lnTo>
                  <a:lnTo>
                    <a:pt x="2417" y="11186"/>
                  </a:lnTo>
                  <a:lnTo>
                    <a:pt x="2451" y="11356"/>
                  </a:lnTo>
                  <a:lnTo>
                    <a:pt x="2417" y="11525"/>
                  </a:lnTo>
                  <a:lnTo>
                    <a:pt x="2317" y="11582"/>
                  </a:lnTo>
                  <a:lnTo>
                    <a:pt x="2115" y="11808"/>
                  </a:lnTo>
                  <a:lnTo>
                    <a:pt x="2182" y="11638"/>
                  </a:lnTo>
                  <a:lnTo>
                    <a:pt x="2149" y="11469"/>
                  </a:lnTo>
                  <a:lnTo>
                    <a:pt x="2048" y="11356"/>
                  </a:lnTo>
                  <a:lnTo>
                    <a:pt x="2014" y="11525"/>
                  </a:lnTo>
                  <a:lnTo>
                    <a:pt x="2014" y="12034"/>
                  </a:lnTo>
                  <a:lnTo>
                    <a:pt x="1981" y="11864"/>
                  </a:lnTo>
                  <a:lnTo>
                    <a:pt x="1947" y="11638"/>
                  </a:lnTo>
                  <a:lnTo>
                    <a:pt x="1914" y="11469"/>
                  </a:lnTo>
                  <a:lnTo>
                    <a:pt x="1779" y="11130"/>
                  </a:lnTo>
                  <a:lnTo>
                    <a:pt x="1679" y="10621"/>
                  </a:lnTo>
                  <a:lnTo>
                    <a:pt x="1679" y="10452"/>
                  </a:lnTo>
                  <a:lnTo>
                    <a:pt x="1645" y="10621"/>
                  </a:lnTo>
                  <a:lnTo>
                    <a:pt x="1645" y="10791"/>
                  </a:lnTo>
                  <a:lnTo>
                    <a:pt x="1544" y="10904"/>
                  </a:lnTo>
                  <a:lnTo>
                    <a:pt x="1410" y="11243"/>
                  </a:lnTo>
                  <a:lnTo>
                    <a:pt x="1377" y="11412"/>
                  </a:lnTo>
                  <a:lnTo>
                    <a:pt x="1377" y="11751"/>
                  </a:lnTo>
                  <a:lnTo>
                    <a:pt x="1477" y="11921"/>
                  </a:lnTo>
                  <a:lnTo>
                    <a:pt x="1544" y="12090"/>
                  </a:lnTo>
                  <a:lnTo>
                    <a:pt x="1645" y="12147"/>
                  </a:lnTo>
                  <a:lnTo>
                    <a:pt x="2149" y="12147"/>
                  </a:lnTo>
                  <a:lnTo>
                    <a:pt x="2182" y="12316"/>
                  </a:lnTo>
                  <a:lnTo>
                    <a:pt x="1914" y="12994"/>
                  </a:lnTo>
                  <a:lnTo>
                    <a:pt x="1880" y="13164"/>
                  </a:lnTo>
                  <a:lnTo>
                    <a:pt x="2082" y="13277"/>
                  </a:lnTo>
                  <a:lnTo>
                    <a:pt x="2014" y="13446"/>
                  </a:lnTo>
                  <a:lnTo>
                    <a:pt x="1914" y="13503"/>
                  </a:lnTo>
                  <a:lnTo>
                    <a:pt x="1813" y="13616"/>
                  </a:lnTo>
                  <a:lnTo>
                    <a:pt x="1746" y="13785"/>
                  </a:lnTo>
                  <a:lnTo>
                    <a:pt x="1544" y="14011"/>
                  </a:lnTo>
                  <a:lnTo>
                    <a:pt x="1444" y="13955"/>
                  </a:lnTo>
                  <a:lnTo>
                    <a:pt x="1343" y="13842"/>
                  </a:lnTo>
                  <a:lnTo>
                    <a:pt x="1209" y="13503"/>
                  </a:lnTo>
                  <a:lnTo>
                    <a:pt x="1209" y="13164"/>
                  </a:lnTo>
                  <a:lnTo>
                    <a:pt x="1007" y="13164"/>
                  </a:lnTo>
                  <a:lnTo>
                    <a:pt x="906" y="13051"/>
                  </a:lnTo>
                  <a:lnTo>
                    <a:pt x="839" y="12712"/>
                  </a:lnTo>
                  <a:lnTo>
                    <a:pt x="940" y="12712"/>
                  </a:lnTo>
                  <a:lnTo>
                    <a:pt x="940" y="12881"/>
                  </a:lnTo>
                  <a:lnTo>
                    <a:pt x="839" y="13051"/>
                  </a:lnTo>
                  <a:lnTo>
                    <a:pt x="739" y="12994"/>
                  </a:lnTo>
                  <a:lnTo>
                    <a:pt x="638" y="13051"/>
                  </a:lnTo>
                  <a:lnTo>
                    <a:pt x="101" y="12147"/>
                  </a:lnTo>
                  <a:lnTo>
                    <a:pt x="235" y="12260"/>
                  </a:lnTo>
                  <a:lnTo>
                    <a:pt x="336" y="12316"/>
                  </a:lnTo>
                  <a:lnTo>
                    <a:pt x="436" y="12429"/>
                  </a:lnTo>
                  <a:lnTo>
                    <a:pt x="537" y="12599"/>
                  </a:lnTo>
                  <a:lnTo>
                    <a:pt x="638" y="12712"/>
                  </a:lnTo>
                  <a:lnTo>
                    <a:pt x="537" y="12768"/>
                  </a:lnTo>
                  <a:lnTo>
                    <a:pt x="403" y="12768"/>
                  </a:lnTo>
                  <a:lnTo>
                    <a:pt x="336" y="12938"/>
                  </a:lnTo>
                  <a:lnTo>
                    <a:pt x="436" y="12994"/>
                  </a:lnTo>
                  <a:lnTo>
                    <a:pt x="537" y="13107"/>
                  </a:lnTo>
                  <a:lnTo>
                    <a:pt x="571" y="13277"/>
                  </a:lnTo>
                  <a:lnTo>
                    <a:pt x="638" y="13446"/>
                  </a:lnTo>
                  <a:lnTo>
                    <a:pt x="705" y="13672"/>
                  </a:lnTo>
                  <a:lnTo>
                    <a:pt x="772" y="13842"/>
                  </a:lnTo>
                  <a:lnTo>
                    <a:pt x="772" y="14011"/>
                  </a:lnTo>
                  <a:lnTo>
                    <a:pt x="705" y="14181"/>
                  </a:lnTo>
                  <a:lnTo>
                    <a:pt x="604" y="14181"/>
                  </a:lnTo>
                  <a:lnTo>
                    <a:pt x="739" y="14520"/>
                  </a:lnTo>
                  <a:lnTo>
                    <a:pt x="772" y="14689"/>
                  </a:lnTo>
                  <a:lnTo>
                    <a:pt x="739" y="14859"/>
                  </a:lnTo>
                  <a:lnTo>
                    <a:pt x="940" y="15424"/>
                  </a:lnTo>
                  <a:lnTo>
                    <a:pt x="974" y="15989"/>
                  </a:lnTo>
                  <a:lnTo>
                    <a:pt x="1041" y="16158"/>
                  </a:lnTo>
                  <a:lnTo>
                    <a:pt x="1142" y="16271"/>
                  </a:lnTo>
                  <a:lnTo>
                    <a:pt x="1007" y="16328"/>
                  </a:lnTo>
                  <a:lnTo>
                    <a:pt x="739" y="16328"/>
                  </a:lnTo>
                  <a:lnTo>
                    <a:pt x="638" y="16384"/>
                  </a:lnTo>
                  <a:lnTo>
                    <a:pt x="604" y="16215"/>
                  </a:lnTo>
                  <a:lnTo>
                    <a:pt x="403" y="16102"/>
                  </a:lnTo>
                  <a:lnTo>
                    <a:pt x="302" y="15989"/>
                  </a:lnTo>
                  <a:lnTo>
                    <a:pt x="67" y="15989"/>
                  </a:lnTo>
                  <a:lnTo>
                    <a:pt x="0" y="16158"/>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1074" name="Drawing 9"/>
            <xdr:cNvSpPr>
              <a:spLocks/>
            </xdr:cNvSpPr>
          </xdr:nvSpPr>
          <xdr:spPr bwMode="auto">
            <a:xfrm>
              <a:off x="2780000" y="455"/>
              <a:ext cx="2800000" cy="304"/>
            </a:xfrm>
            <a:custGeom>
              <a:avLst/>
              <a:gdLst>
                <a:gd name="T0" fmla="*/ 16384 w 16384"/>
                <a:gd name="T1" fmla="*/ 989 h 16384"/>
                <a:gd name="T2" fmla="*/ 15760 w 16384"/>
                <a:gd name="T3" fmla="*/ 636 h 16384"/>
                <a:gd name="T4" fmla="*/ 14824 w 16384"/>
                <a:gd name="T5" fmla="*/ 141 h 16384"/>
                <a:gd name="T6" fmla="*/ 11859 w 16384"/>
                <a:gd name="T7" fmla="*/ 71 h 16384"/>
                <a:gd name="T8" fmla="*/ 12171 w 16384"/>
                <a:gd name="T9" fmla="*/ 706 h 16384"/>
                <a:gd name="T10" fmla="*/ 9986 w 16384"/>
                <a:gd name="T11" fmla="*/ 1201 h 16384"/>
                <a:gd name="T12" fmla="*/ 10923 w 16384"/>
                <a:gd name="T13" fmla="*/ 1342 h 16384"/>
                <a:gd name="T14" fmla="*/ 12795 w 16384"/>
                <a:gd name="T15" fmla="*/ 1342 h 16384"/>
                <a:gd name="T16" fmla="*/ 11859 w 16384"/>
                <a:gd name="T17" fmla="*/ 1907 h 16384"/>
                <a:gd name="T18" fmla="*/ 13731 w 16384"/>
                <a:gd name="T19" fmla="*/ 1695 h 16384"/>
                <a:gd name="T20" fmla="*/ 14356 w 16384"/>
                <a:gd name="T21" fmla="*/ 2048 h 16384"/>
                <a:gd name="T22" fmla="*/ 13731 w 16384"/>
                <a:gd name="T23" fmla="*/ 2613 h 16384"/>
                <a:gd name="T24" fmla="*/ 12639 w 16384"/>
                <a:gd name="T25" fmla="*/ 2754 h 16384"/>
                <a:gd name="T26" fmla="*/ 11547 w 16384"/>
                <a:gd name="T27" fmla="*/ 3178 h 16384"/>
                <a:gd name="T28" fmla="*/ 9518 w 16384"/>
                <a:gd name="T29" fmla="*/ 3037 h 16384"/>
                <a:gd name="T30" fmla="*/ 8114 w 16384"/>
                <a:gd name="T31" fmla="*/ 3249 h 16384"/>
                <a:gd name="T32" fmla="*/ 7490 w 16384"/>
                <a:gd name="T33" fmla="*/ 2825 h 16384"/>
                <a:gd name="T34" fmla="*/ 7334 w 16384"/>
                <a:gd name="T35" fmla="*/ 3672 h 16384"/>
                <a:gd name="T36" fmla="*/ 8894 w 16384"/>
                <a:gd name="T37" fmla="*/ 4732 h 16384"/>
                <a:gd name="T38" fmla="*/ 10299 w 16384"/>
                <a:gd name="T39" fmla="*/ 4873 h 16384"/>
                <a:gd name="T40" fmla="*/ 9206 w 16384"/>
                <a:gd name="T41" fmla="*/ 5932 h 16384"/>
                <a:gd name="T42" fmla="*/ 8738 w 16384"/>
                <a:gd name="T43" fmla="*/ 6780 h 16384"/>
                <a:gd name="T44" fmla="*/ 7802 w 16384"/>
                <a:gd name="T45" fmla="*/ 7698 h 16384"/>
                <a:gd name="T46" fmla="*/ 6710 w 16384"/>
                <a:gd name="T47" fmla="*/ 8969 h 16384"/>
                <a:gd name="T48" fmla="*/ 5773 w 16384"/>
                <a:gd name="T49" fmla="*/ 8686 h 16384"/>
                <a:gd name="T50" fmla="*/ 5617 w 16384"/>
                <a:gd name="T51" fmla="*/ 7627 h 16384"/>
                <a:gd name="T52" fmla="*/ 4369 w 16384"/>
                <a:gd name="T53" fmla="*/ 7345 h 16384"/>
                <a:gd name="T54" fmla="*/ 5149 w 16384"/>
                <a:gd name="T55" fmla="*/ 8121 h 16384"/>
                <a:gd name="T56" fmla="*/ 4525 w 16384"/>
                <a:gd name="T57" fmla="*/ 8616 h 16384"/>
                <a:gd name="T58" fmla="*/ 2965 w 16384"/>
                <a:gd name="T59" fmla="*/ 8474 h 16384"/>
                <a:gd name="T60" fmla="*/ 1872 w 16384"/>
                <a:gd name="T61" fmla="*/ 8121 h 16384"/>
                <a:gd name="T62" fmla="*/ 936 w 16384"/>
                <a:gd name="T63" fmla="*/ 7627 h 16384"/>
                <a:gd name="T64" fmla="*/ 468 w 16384"/>
                <a:gd name="T65" fmla="*/ 7839 h 16384"/>
                <a:gd name="T66" fmla="*/ 1404 w 16384"/>
                <a:gd name="T67" fmla="*/ 8686 h 16384"/>
                <a:gd name="T68" fmla="*/ 2497 w 16384"/>
                <a:gd name="T69" fmla="*/ 9393 h 16384"/>
                <a:gd name="T70" fmla="*/ 4837 w 16384"/>
                <a:gd name="T71" fmla="*/ 10028 h 16384"/>
                <a:gd name="T72" fmla="*/ 5461 w 16384"/>
                <a:gd name="T73" fmla="*/ 9604 h 16384"/>
                <a:gd name="T74" fmla="*/ 7178 w 16384"/>
                <a:gd name="T75" fmla="*/ 9746 h 16384"/>
                <a:gd name="T76" fmla="*/ 6398 w 16384"/>
                <a:gd name="T77" fmla="*/ 10381 h 16384"/>
                <a:gd name="T78" fmla="*/ 6710 w 16384"/>
                <a:gd name="T79" fmla="*/ 11158 h 16384"/>
                <a:gd name="T80" fmla="*/ 5929 w 16384"/>
                <a:gd name="T81" fmla="*/ 11299 h 16384"/>
                <a:gd name="T82" fmla="*/ 6242 w 16384"/>
                <a:gd name="T83" fmla="*/ 12147 h 16384"/>
                <a:gd name="T84" fmla="*/ 4837 w 16384"/>
                <a:gd name="T85" fmla="*/ 12217 h 16384"/>
                <a:gd name="T86" fmla="*/ 4993 w 16384"/>
                <a:gd name="T87" fmla="*/ 12359 h 16384"/>
                <a:gd name="T88" fmla="*/ 5305 w 16384"/>
                <a:gd name="T89" fmla="*/ 13065 h 16384"/>
                <a:gd name="T90" fmla="*/ 5305 w 16384"/>
                <a:gd name="T91" fmla="*/ 14124 h 16384"/>
                <a:gd name="T92" fmla="*/ 5929 w 16384"/>
                <a:gd name="T93" fmla="*/ 14901 h 16384"/>
                <a:gd name="T94" fmla="*/ 6398 w 16384"/>
                <a:gd name="T95" fmla="*/ 15748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5760" y="1271"/>
                  </a:moveTo>
                  <a:lnTo>
                    <a:pt x="16228" y="1201"/>
                  </a:lnTo>
                  <a:lnTo>
                    <a:pt x="16384" y="989"/>
                  </a:lnTo>
                  <a:lnTo>
                    <a:pt x="15760" y="1271"/>
                  </a:lnTo>
                  <a:lnTo>
                    <a:pt x="16072" y="847"/>
                  </a:lnTo>
                  <a:lnTo>
                    <a:pt x="15760" y="636"/>
                  </a:lnTo>
                  <a:lnTo>
                    <a:pt x="15292" y="565"/>
                  </a:lnTo>
                  <a:lnTo>
                    <a:pt x="14824" y="353"/>
                  </a:lnTo>
                  <a:lnTo>
                    <a:pt x="14824" y="141"/>
                  </a:lnTo>
                  <a:lnTo>
                    <a:pt x="13887" y="0"/>
                  </a:lnTo>
                  <a:lnTo>
                    <a:pt x="12327" y="0"/>
                  </a:lnTo>
                  <a:lnTo>
                    <a:pt x="11859" y="71"/>
                  </a:lnTo>
                  <a:lnTo>
                    <a:pt x="12015" y="282"/>
                  </a:lnTo>
                  <a:lnTo>
                    <a:pt x="11859" y="494"/>
                  </a:lnTo>
                  <a:lnTo>
                    <a:pt x="12171" y="706"/>
                  </a:lnTo>
                  <a:lnTo>
                    <a:pt x="11703" y="918"/>
                  </a:lnTo>
                  <a:lnTo>
                    <a:pt x="11235" y="989"/>
                  </a:lnTo>
                  <a:lnTo>
                    <a:pt x="9986" y="1201"/>
                  </a:lnTo>
                  <a:lnTo>
                    <a:pt x="9050" y="1201"/>
                  </a:lnTo>
                  <a:lnTo>
                    <a:pt x="9518" y="1342"/>
                  </a:lnTo>
                  <a:lnTo>
                    <a:pt x="10923" y="1342"/>
                  </a:lnTo>
                  <a:lnTo>
                    <a:pt x="11391" y="1201"/>
                  </a:lnTo>
                  <a:lnTo>
                    <a:pt x="12327" y="1201"/>
                  </a:lnTo>
                  <a:lnTo>
                    <a:pt x="12795" y="1342"/>
                  </a:lnTo>
                  <a:lnTo>
                    <a:pt x="12795" y="1766"/>
                  </a:lnTo>
                  <a:lnTo>
                    <a:pt x="12327" y="1907"/>
                  </a:lnTo>
                  <a:lnTo>
                    <a:pt x="11859" y="1907"/>
                  </a:lnTo>
                  <a:lnTo>
                    <a:pt x="12327" y="1836"/>
                  </a:lnTo>
                  <a:lnTo>
                    <a:pt x="12795" y="1695"/>
                  </a:lnTo>
                  <a:lnTo>
                    <a:pt x="13731" y="1695"/>
                  </a:lnTo>
                  <a:lnTo>
                    <a:pt x="14199" y="1624"/>
                  </a:lnTo>
                  <a:lnTo>
                    <a:pt x="14356" y="1836"/>
                  </a:lnTo>
                  <a:lnTo>
                    <a:pt x="14356" y="2048"/>
                  </a:lnTo>
                  <a:lnTo>
                    <a:pt x="13887" y="2189"/>
                  </a:lnTo>
                  <a:lnTo>
                    <a:pt x="13575" y="2401"/>
                  </a:lnTo>
                  <a:lnTo>
                    <a:pt x="13731" y="2613"/>
                  </a:lnTo>
                  <a:lnTo>
                    <a:pt x="13263" y="2472"/>
                  </a:lnTo>
                  <a:lnTo>
                    <a:pt x="13263" y="2684"/>
                  </a:lnTo>
                  <a:lnTo>
                    <a:pt x="12639" y="2754"/>
                  </a:lnTo>
                  <a:lnTo>
                    <a:pt x="12483" y="2966"/>
                  </a:lnTo>
                  <a:lnTo>
                    <a:pt x="12015" y="3107"/>
                  </a:lnTo>
                  <a:lnTo>
                    <a:pt x="11547" y="3178"/>
                  </a:lnTo>
                  <a:lnTo>
                    <a:pt x="11079" y="3178"/>
                  </a:lnTo>
                  <a:lnTo>
                    <a:pt x="10611" y="3037"/>
                  </a:lnTo>
                  <a:lnTo>
                    <a:pt x="9518" y="3037"/>
                  </a:lnTo>
                  <a:lnTo>
                    <a:pt x="9050" y="3178"/>
                  </a:lnTo>
                  <a:lnTo>
                    <a:pt x="8582" y="3178"/>
                  </a:lnTo>
                  <a:lnTo>
                    <a:pt x="8114" y="3249"/>
                  </a:lnTo>
                  <a:lnTo>
                    <a:pt x="8114" y="3037"/>
                  </a:lnTo>
                  <a:lnTo>
                    <a:pt x="7958" y="2825"/>
                  </a:lnTo>
                  <a:lnTo>
                    <a:pt x="7490" y="2825"/>
                  </a:lnTo>
                  <a:lnTo>
                    <a:pt x="7178" y="3037"/>
                  </a:lnTo>
                  <a:lnTo>
                    <a:pt x="7178" y="3460"/>
                  </a:lnTo>
                  <a:lnTo>
                    <a:pt x="7334" y="3672"/>
                  </a:lnTo>
                  <a:lnTo>
                    <a:pt x="8270" y="4096"/>
                  </a:lnTo>
                  <a:lnTo>
                    <a:pt x="8582" y="4308"/>
                  </a:lnTo>
                  <a:lnTo>
                    <a:pt x="8894" y="4732"/>
                  </a:lnTo>
                  <a:lnTo>
                    <a:pt x="9362" y="4802"/>
                  </a:lnTo>
                  <a:lnTo>
                    <a:pt x="9830" y="4802"/>
                  </a:lnTo>
                  <a:lnTo>
                    <a:pt x="10299" y="4873"/>
                  </a:lnTo>
                  <a:lnTo>
                    <a:pt x="9986" y="5297"/>
                  </a:lnTo>
                  <a:lnTo>
                    <a:pt x="9362" y="5720"/>
                  </a:lnTo>
                  <a:lnTo>
                    <a:pt x="9206" y="5932"/>
                  </a:lnTo>
                  <a:lnTo>
                    <a:pt x="8894" y="6144"/>
                  </a:lnTo>
                  <a:lnTo>
                    <a:pt x="8738" y="6356"/>
                  </a:lnTo>
                  <a:lnTo>
                    <a:pt x="8738" y="6780"/>
                  </a:lnTo>
                  <a:lnTo>
                    <a:pt x="8114" y="7203"/>
                  </a:lnTo>
                  <a:lnTo>
                    <a:pt x="7958" y="7486"/>
                  </a:lnTo>
                  <a:lnTo>
                    <a:pt x="7802" y="7698"/>
                  </a:lnTo>
                  <a:lnTo>
                    <a:pt x="7802" y="8121"/>
                  </a:lnTo>
                  <a:lnTo>
                    <a:pt x="6866" y="8757"/>
                  </a:lnTo>
                  <a:lnTo>
                    <a:pt x="6710" y="8969"/>
                  </a:lnTo>
                  <a:lnTo>
                    <a:pt x="6242" y="8969"/>
                  </a:lnTo>
                  <a:lnTo>
                    <a:pt x="5773" y="8898"/>
                  </a:lnTo>
                  <a:lnTo>
                    <a:pt x="5773" y="8686"/>
                  </a:lnTo>
                  <a:lnTo>
                    <a:pt x="5929" y="8474"/>
                  </a:lnTo>
                  <a:lnTo>
                    <a:pt x="5929" y="7839"/>
                  </a:lnTo>
                  <a:lnTo>
                    <a:pt x="5617" y="7627"/>
                  </a:lnTo>
                  <a:lnTo>
                    <a:pt x="5149" y="7698"/>
                  </a:lnTo>
                  <a:lnTo>
                    <a:pt x="4681" y="7556"/>
                  </a:lnTo>
                  <a:lnTo>
                    <a:pt x="4369" y="7345"/>
                  </a:lnTo>
                  <a:lnTo>
                    <a:pt x="4993" y="7768"/>
                  </a:lnTo>
                  <a:lnTo>
                    <a:pt x="4681" y="7980"/>
                  </a:lnTo>
                  <a:lnTo>
                    <a:pt x="5149" y="8121"/>
                  </a:lnTo>
                  <a:lnTo>
                    <a:pt x="5305" y="8333"/>
                  </a:lnTo>
                  <a:lnTo>
                    <a:pt x="4837" y="8404"/>
                  </a:lnTo>
                  <a:lnTo>
                    <a:pt x="4525" y="8616"/>
                  </a:lnTo>
                  <a:lnTo>
                    <a:pt x="4057" y="8686"/>
                  </a:lnTo>
                  <a:lnTo>
                    <a:pt x="3121" y="8686"/>
                  </a:lnTo>
                  <a:lnTo>
                    <a:pt x="2965" y="8474"/>
                  </a:lnTo>
                  <a:lnTo>
                    <a:pt x="2497" y="8333"/>
                  </a:lnTo>
                  <a:lnTo>
                    <a:pt x="2028" y="8333"/>
                  </a:lnTo>
                  <a:lnTo>
                    <a:pt x="1872" y="8121"/>
                  </a:lnTo>
                  <a:lnTo>
                    <a:pt x="1404" y="8051"/>
                  </a:lnTo>
                  <a:lnTo>
                    <a:pt x="1248" y="7839"/>
                  </a:lnTo>
                  <a:lnTo>
                    <a:pt x="936" y="7627"/>
                  </a:lnTo>
                  <a:lnTo>
                    <a:pt x="0" y="7486"/>
                  </a:lnTo>
                  <a:lnTo>
                    <a:pt x="0" y="7698"/>
                  </a:lnTo>
                  <a:lnTo>
                    <a:pt x="468" y="7839"/>
                  </a:lnTo>
                  <a:lnTo>
                    <a:pt x="780" y="8051"/>
                  </a:lnTo>
                  <a:lnTo>
                    <a:pt x="780" y="8263"/>
                  </a:lnTo>
                  <a:lnTo>
                    <a:pt x="1404" y="8686"/>
                  </a:lnTo>
                  <a:lnTo>
                    <a:pt x="1872" y="8898"/>
                  </a:lnTo>
                  <a:lnTo>
                    <a:pt x="2028" y="9110"/>
                  </a:lnTo>
                  <a:lnTo>
                    <a:pt x="2497" y="9393"/>
                  </a:lnTo>
                  <a:lnTo>
                    <a:pt x="3433" y="9534"/>
                  </a:lnTo>
                  <a:lnTo>
                    <a:pt x="4369" y="9816"/>
                  </a:lnTo>
                  <a:lnTo>
                    <a:pt x="4837" y="10028"/>
                  </a:lnTo>
                  <a:lnTo>
                    <a:pt x="5305" y="10028"/>
                  </a:lnTo>
                  <a:lnTo>
                    <a:pt x="5461" y="9816"/>
                  </a:lnTo>
                  <a:lnTo>
                    <a:pt x="5461" y="9604"/>
                  </a:lnTo>
                  <a:lnTo>
                    <a:pt x="5929" y="9534"/>
                  </a:lnTo>
                  <a:lnTo>
                    <a:pt x="6866" y="9534"/>
                  </a:lnTo>
                  <a:lnTo>
                    <a:pt x="7178" y="9746"/>
                  </a:lnTo>
                  <a:lnTo>
                    <a:pt x="7178" y="9958"/>
                  </a:lnTo>
                  <a:lnTo>
                    <a:pt x="6710" y="10169"/>
                  </a:lnTo>
                  <a:lnTo>
                    <a:pt x="6398" y="10381"/>
                  </a:lnTo>
                  <a:lnTo>
                    <a:pt x="6085" y="10805"/>
                  </a:lnTo>
                  <a:lnTo>
                    <a:pt x="6242" y="11017"/>
                  </a:lnTo>
                  <a:lnTo>
                    <a:pt x="6710" y="11158"/>
                  </a:lnTo>
                  <a:lnTo>
                    <a:pt x="6242" y="11158"/>
                  </a:lnTo>
                  <a:lnTo>
                    <a:pt x="5617" y="11087"/>
                  </a:lnTo>
                  <a:lnTo>
                    <a:pt x="5929" y="11299"/>
                  </a:lnTo>
                  <a:lnTo>
                    <a:pt x="6242" y="11723"/>
                  </a:lnTo>
                  <a:lnTo>
                    <a:pt x="6085" y="11935"/>
                  </a:lnTo>
                  <a:lnTo>
                    <a:pt x="6242" y="12147"/>
                  </a:lnTo>
                  <a:lnTo>
                    <a:pt x="5773" y="12288"/>
                  </a:lnTo>
                  <a:lnTo>
                    <a:pt x="5305" y="12288"/>
                  </a:lnTo>
                  <a:lnTo>
                    <a:pt x="4837" y="12217"/>
                  </a:lnTo>
                  <a:lnTo>
                    <a:pt x="4369" y="12076"/>
                  </a:lnTo>
                  <a:lnTo>
                    <a:pt x="4993" y="12147"/>
                  </a:lnTo>
                  <a:lnTo>
                    <a:pt x="4993" y="12359"/>
                  </a:lnTo>
                  <a:lnTo>
                    <a:pt x="4837" y="12570"/>
                  </a:lnTo>
                  <a:lnTo>
                    <a:pt x="5461" y="12853"/>
                  </a:lnTo>
                  <a:lnTo>
                    <a:pt x="5305" y="13065"/>
                  </a:lnTo>
                  <a:lnTo>
                    <a:pt x="4681" y="13489"/>
                  </a:lnTo>
                  <a:lnTo>
                    <a:pt x="4681" y="13700"/>
                  </a:lnTo>
                  <a:lnTo>
                    <a:pt x="5305" y="14124"/>
                  </a:lnTo>
                  <a:lnTo>
                    <a:pt x="5773" y="14265"/>
                  </a:lnTo>
                  <a:lnTo>
                    <a:pt x="5929" y="14477"/>
                  </a:lnTo>
                  <a:lnTo>
                    <a:pt x="5929" y="14901"/>
                  </a:lnTo>
                  <a:lnTo>
                    <a:pt x="6085" y="15113"/>
                  </a:lnTo>
                  <a:lnTo>
                    <a:pt x="6085" y="15325"/>
                  </a:lnTo>
                  <a:lnTo>
                    <a:pt x="6398" y="15748"/>
                  </a:lnTo>
                  <a:lnTo>
                    <a:pt x="6398" y="16172"/>
                  </a:lnTo>
                  <a:lnTo>
                    <a:pt x="6710"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1075" name="Drawing 10"/>
          <xdr:cNvSpPr>
            <a:spLocks/>
          </xdr:cNvSpPr>
        </xdr:nvSpPr>
        <xdr:spPr bwMode="auto">
          <a:xfrm>
            <a:off x="1389" y="-3159"/>
            <a:ext cx="4250" cy="348"/>
          </a:xfrm>
          <a:custGeom>
            <a:avLst/>
            <a:gdLst>
              <a:gd name="T0" fmla="*/ 1745 w 16384"/>
              <a:gd name="T1" fmla="*/ 15816 h 16384"/>
              <a:gd name="T2" fmla="*/ 1454 w 16384"/>
              <a:gd name="T3" fmla="*/ 15390 h 16384"/>
              <a:gd name="T4" fmla="*/ 1163 w 16384"/>
              <a:gd name="T5" fmla="*/ 14727 h 16384"/>
              <a:gd name="T6" fmla="*/ 776 w 16384"/>
              <a:gd name="T7" fmla="*/ 13969 h 16384"/>
              <a:gd name="T8" fmla="*/ 679 w 16384"/>
              <a:gd name="T9" fmla="*/ 12927 h 16384"/>
              <a:gd name="T10" fmla="*/ 485 w 16384"/>
              <a:gd name="T11" fmla="*/ 12406 h 16384"/>
              <a:gd name="T12" fmla="*/ 485 w 16384"/>
              <a:gd name="T13" fmla="*/ 11365 h 16384"/>
              <a:gd name="T14" fmla="*/ 873 w 16384"/>
              <a:gd name="T15" fmla="*/ 10796 h 16384"/>
              <a:gd name="T16" fmla="*/ 1260 w 16384"/>
              <a:gd name="T17" fmla="*/ 9944 h 16384"/>
              <a:gd name="T18" fmla="*/ 1842 w 16384"/>
              <a:gd name="T19" fmla="*/ 9044 h 16384"/>
              <a:gd name="T20" fmla="*/ 2327 w 16384"/>
              <a:gd name="T21" fmla="*/ 8334 h 16384"/>
              <a:gd name="T22" fmla="*/ 3102 w 16384"/>
              <a:gd name="T23" fmla="*/ 7766 h 16384"/>
              <a:gd name="T24" fmla="*/ 3684 w 16384"/>
              <a:gd name="T25" fmla="*/ 7056 h 16384"/>
              <a:gd name="T26" fmla="*/ 4072 w 16384"/>
              <a:gd name="T27" fmla="*/ 6582 h 16384"/>
              <a:gd name="T28" fmla="*/ 5138 w 16384"/>
              <a:gd name="T29" fmla="*/ 5824 h 16384"/>
              <a:gd name="T30" fmla="*/ 5817 w 16384"/>
              <a:gd name="T31" fmla="*/ 5446 h 16384"/>
              <a:gd name="T32" fmla="*/ 6883 w 16384"/>
              <a:gd name="T33" fmla="*/ 4972 h 16384"/>
              <a:gd name="T34" fmla="*/ 6980 w 16384"/>
              <a:gd name="T35" fmla="*/ 4498 h 16384"/>
              <a:gd name="T36" fmla="*/ 7465 w 16384"/>
              <a:gd name="T37" fmla="*/ 4120 h 16384"/>
              <a:gd name="T38" fmla="*/ 8144 w 16384"/>
              <a:gd name="T39" fmla="*/ 3551 h 16384"/>
              <a:gd name="T40" fmla="*/ 9889 w 16384"/>
              <a:gd name="T41" fmla="*/ 2983 h 16384"/>
              <a:gd name="T42" fmla="*/ 10858 w 16384"/>
              <a:gd name="T43" fmla="*/ 2557 h 16384"/>
              <a:gd name="T44" fmla="*/ 11634 w 16384"/>
              <a:gd name="T45" fmla="*/ 2226 h 16384"/>
              <a:gd name="T46" fmla="*/ 13960 w 16384"/>
              <a:gd name="T47" fmla="*/ 1515 h 16384"/>
              <a:gd name="T48" fmla="*/ 15124 w 16384"/>
              <a:gd name="T49" fmla="*/ 1231 h 16384"/>
              <a:gd name="T50" fmla="*/ 16287 w 16384"/>
              <a:gd name="T51" fmla="*/ 852 h 16384"/>
              <a:gd name="T52" fmla="*/ 15996 w 16384"/>
              <a:gd name="T53" fmla="*/ 474 h 16384"/>
              <a:gd name="T54" fmla="*/ 16287 w 16384"/>
              <a:gd name="T55" fmla="*/ 142 h 16384"/>
              <a:gd name="T56" fmla="*/ 15705 w 16384"/>
              <a:gd name="T57" fmla="*/ 237 h 16384"/>
              <a:gd name="T58" fmla="*/ 15802 w 16384"/>
              <a:gd name="T59" fmla="*/ 663 h 16384"/>
              <a:gd name="T60" fmla="*/ 13185 w 16384"/>
              <a:gd name="T61" fmla="*/ 1042 h 16384"/>
              <a:gd name="T62" fmla="*/ 12409 w 16384"/>
              <a:gd name="T63" fmla="*/ 1421 h 16384"/>
              <a:gd name="T64" fmla="*/ 11828 w 16384"/>
              <a:gd name="T65" fmla="*/ 1705 h 16384"/>
              <a:gd name="T66" fmla="*/ 10955 w 16384"/>
              <a:gd name="T67" fmla="*/ 1941 h 16384"/>
              <a:gd name="T68" fmla="*/ 9986 w 16384"/>
              <a:gd name="T69" fmla="*/ 2178 h 16384"/>
              <a:gd name="T70" fmla="*/ 9986 w 16384"/>
              <a:gd name="T71" fmla="*/ 2510 h 16384"/>
              <a:gd name="T72" fmla="*/ 9598 w 16384"/>
              <a:gd name="T73" fmla="*/ 2889 h 16384"/>
              <a:gd name="T74" fmla="*/ 8919 w 16384"/>
              <a:gd name="T75" fmla="*/ 3362 h 16384"/>
              <a:gd name="T76" fmla="*/ 7756 w 16384"/>
              <a:gd name="T77" fmla="*/ 3741 h 16384"/>
              <a:gd name="T78" fmla="*/ 6592 w 16384"/>
              <a:gd name="T79" fmla="*/ 4641 h 16384"/>
              <a:gd name="T80" fmla="*/ 5526 w 16384"/>
              <a:gd name="T81" fmla="*/ 5114 h 16384"/>
              <a:gd name="T82" fmla="*/ 5041 w 16384"/>
              <a:gd name="T83" fmla="*/ 5588 h 16384"/>
              <a:gd name="T84" fmla="*/ 3975 w 16384"/>
              <a:gd name="T85" fmla="*/ 6203 h 16384"/>
              <a:gd name="T86" fmla="*/ 3587 w 16384"/>
              <a:gd name="T87" fmla="*/ 6771 h 16384"/>
              <a:gd name="T88" fmla="*/ 2908 w 16384"/>
              <a:gd name="T89" fmla="*/ 7008 h 16384"/>
              <a:gd name="T90" fmla="*/ 2424 w 16384"/>
              <a:gd name="T91" fmla="*/ 7245 h 16384"/>
              <a:gd name="T92" fmla="*/ 1842 w 16384"/>
              <a:gd name="T93" fmla="*/ 7624 h 16384"/>
              <a:gd name="T94" fmla="*/ 1745 w 16384"/>
              <a:gd name="T95" fmla="*/ 8192 h 16384"/>
              <a:gd name="T96" fmla="*/ 1066 w 16384"/>
              <a:gd name="T97" fmla="*/ 8902 h 16384"/>
              <a:gd name="T98" fmla="*/ 873 w 16384"/>
              <a:gd name="T99" fmla="*/ 9328 h 16384"/>
              <a:gd name="T100" fmla="*/ 582 w 16384"/>
              <a:gd name="T101" fmla="*/ 10086 h 16384"/>
              <a:gd name="T102" fmla="*/ 388 w 16384"/>
              <a:gd name="T103" fmla="*/ 10796 h 16384"/>
              <a:gd name="T104" fmla="*/ 97 w 16384"/>
              <a:gd name="T105" fmla="*/ 11507 h 16384"/>
              <a:gd name="T106" fmla="*/ 194 w 16384"/>
              <a:gd name="T107" fmla="*/ 12075 h 16384"/>
              <a:gd name="T108" fmla="*/ 97 w 16384"/>
              <a:gd name="T109" fmla="*/ 12927 h 16384"/>
              <a:gd name="T110" fmla="*/ 485 w 16384"/>
              <a:gd name="T111" fmla="*/ 13495 h 16384"/>
              <a:gd name="T112" fmla="*/ 485 w 16384"/>
              <a:gd name="T113" fmla="*/ 14206 h 16384"/>
              <a:gd name="T114" fmla="*/ 485 w 16384"/>
              <a:gd name="T115" fmla="*/ 14774 h 16384"/>
              <a:gd name="T116" fmla="*/ 873 w 16384"/>
              <a:gd name="T117" fmla="*/ 15248 h 16384"/>
              <a:gd name="T118" fmla="*/ 776 w 16384"/>
              <a:gd name="T119" fmla="*/ 15816 h 16384"/>
              <a:gd name="T120" fmla="*/ 1260 w 16384"/>
              <a:gd name="T121" fmla="*/ 1619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6384" h="16384">
                <a:moveTo>
                  <a:pt x="1939" y="16384"/>
                </a:moveTo>
                <a:lnTo>
                  <a:pt x="2036" y="16242"/>
                </a:lnTo>
                <a:lnTo>
                  <a:pt x="1745" y="15816"/>
                </a:lnTo>
                <a:lnTo>
                  <a:pt x="1551" y="15674"/>
                </a:lnTo>
                <a:lnTo>
                  <a:pt x="1454" y="15532"/>
                </a:lnTo>
                <a:lnTo>
                  <a:pt x="1454" y="15390"/>
                </a:lnTo>
                <a:lnTo>
                  <a:pt x="1357" y="15248"/>
                </a:lnTo>
                <a:lnTo>
                  <a:pt x="1163" y="14869"/>
                </a:lnTo>
                <a:lnTo>
                  <a:pt x="1163" y="14727"/>
                </a:lnTo>
                <a:lnTo>
                  <a:pt x="873" y="14300"/>
                </a:lnTo>
                <a:lnTo>
                  <a:pt x="873" y="14111"/>
                </a:lnTo>
                <a:lnTo>
                  <a:pt x="776" y="13969"/>
                </a:lnTo>
                <a:lnTo>
                  <a:pt x="776" y="13685"/>
                </a:lnTo>
                <a:lnTo>
                  <a:pt x="679" y="13543"/>
                </a:lnTo>
                <a:lnTo>
                  <a:pt x="679" y="12927"/>
                </a:lnTo>
                <a:lnTo>
                  <a:pt x="582" y="12785"/>
                </a:lnTo>
                <a:lnTo>
                  <a:pt x="485" y="12596"/>
                </a:lnTo>
                <a:lnTo>
                  <a:pt x="485" y="12406"/>
                </a:lnTo>
                <a:lnTo>
                  <a:pt x="388" y="12217"/>
                </a:lnTo>
                <a:lnTo>
                  <a:pt x="388" y="11507"/>
                </a:lnTo>
                <a:lnTo>
                  <a:pt x="485" y="11365"/>
                </a:lnTo>
                <a:lnTo>
                  <a:pt x="485" y="11223"/>
                </a:lnTo>
                <a:lnTo>
                  <a:pt x="679" y="11081"/>
                </a:lnTo>
                <a:lnTo>
                  <a:pt x="873" y="10796"/>
                </a:lnTo>
                <a:lnTo>
                  <a:pt x="873" y="10654"/>
                </a:lnTo>
                <a:lnTo>
                  <a:pt x="1260" y="10086"/>
                </a:lnTo>
                <a:lnTo>
                  <a:pt x="1260" y="9944"/>
                </a:lnTo>
                <a:lnTo>
                  <a:pt x="1454" y="9755"/>
                </a:lnTo>
                <a:lnTo>
                  <a:pt x="1454" y="9613"/>
                </a:lnTo>
                <a:lnTo>
                  <a:pt x="1842" y="9044"/>
                </a:lnTo>
                <a:lnTo>
                  <a:pt x="1842" y="8902"/>
                </a:lnTo>
                <a:lnTo>
                  <a:pt x="2133" y="8476"/>
                </a:lnTo>
                <a:lnTo>
                  <a:pt x="2327" y="8334"/>
                </a:lnTo>
                <a:lnTo>
                  <a:pt x="2424" y="8192"/>
                </a:lnTo>
                <a:lnTo>
                  <a:pt x="2811" y="7908"/>
                </a:lnTo>
                <a:lnTo>
                  <a:pt x="3102" y="7766"/>
                </a:lnTo>
                <a:lnTo>
                  <a:pt x="3393" y="7340"/>
                </a:lnTo>
                <a:lnTo>
                  <a:pt x="3587" y="7198"/>
                </a:lnTo>
                <a:lnTo>
                  <a:pt x="3684" y="7056"/>
                </a:lnTo>
                <a:lnTo>
                  <a:pt x="3878" y="6913"/>
                </a:lnTo>
                <a:lnTo>
                  <a:pt x="3975" y="6771"/>
                </a:lnTo>
                <a:lnTo>
                  <a:pt x="4072" y="6582"/>
                </a:lnTo>
                <a:lnTo>
                  <a:pt x="4266" y="6440"/>
                </a:lnTo>
                <a:lnTo>
                  <a:pt x="4944" y="6108"/>
                </a:lnTo>
                <a:lnTo>
                  <a:pt x="5138" y="5824"/>
                </a:lnTo>
                <a:lnTo>
                  <a:pt x="5332" y="5682"/>
                </a:lnTo>
                <a:lnTo>
                  <a:pt x="5623" y="5588"/>
                </a:lnTo>
                <a:lnTo>
                  <a:pt x="5817" y="5446"/>
                </a:lnTo>
                <a:lnTo>
                  <a:pt x="6108" y="5398"/>
                </a:lnTo>
                <a:lnTo>
                  <a:pt x="6302" y="5256"/>
                </a:lnTo>
                <a:lnTo>
                  <a:pt x="6883" y="4972"/>
                </a:lnTo>
                <a:lnTo>
                  <a:pt x="7077" y="4830"/>
                </a:lnTo>
                <a:lnTo>
                  <a:pt x="6883" y="4688"/>
                </a:lnTo>
                <a:lnTo>
                  <a:pt x="6980" y="4498"/>
                </a:lnTo>
                <a:lnTo>
                  <a:pt x="7077" y="4356"/>
                </a:lnTo>
                <a:lnTo>
                  <a:pt x="7368" y="4262"/>
                </a:lnTo>
                <a:lnTo>
                  <a:pt x="7465" y="4120"/>
                </a:lnTo>
                <a:lnTo>
                  <a:pt x="7659" y="3978"/>
                </a:lnTo>
                <a:lnTo>
                  <a:pt x="7756" y="3836"/>
                </a:lnTo>
                <a:lnTo>
                  <a:pt x="8144" y="3551"/>
                </a:lnTo>
                <a:lnTo>
                  <a:pt x="9307" y="3173"/>
                </a:lnTo>
                <a:lnTo>
                  <a:pt x="9598" y="3125"/>
                </a:lnTo>
                <a:lnTo>
                  <a:pt x="9889" y="2983"/>
                </a:lnTo>
                <a:lnTo>
                  <a:pt x="10179" y="2889"/>
                </a:lnTo>
                <a:lnTo>
                  <a:pt x="10567" y="2604"/>
                </a:lnTo>
                <a:lnTo>
                  <a:pt x="10858" y="2557"/>
                </a:lnTo>
                <a:lnTo>
                  <a:pt x="11052" y="2415"/>
                </a:lnTo>
                <a:lnTo>
                  <a:pt x="11343" y="2368"/>
                </a:lnTo>
                <a:lnTo>
                  <a:pt x="11634" y="2226"/>
                </a:lnTo>
                <a:lnTo>
                  <a:pt x="12797" y="1847"/>
                </a:lnTo>
                <a:lnTo>
                  <a:pt x="13088" y="1799"/>
                </a:lnTo>
                <a:lnTo>
                  <a:pt x="13960" y="1515"/>
                </a:lnTo>
                <a:lnTo>
                  <a:pt x="14251" y="1468"/>
                </a:lnTo>
                <a:lnTo>
                  <a:pt x="14833" y="1279"/>
                </a:lnTo>
                <a:lnTo>
                  <a:pt x="15124" y="1231"/>
                </a:lnTo>
                <a:lnTo>
                  <a:pt x="15415" y="1089"/>
                </a:lnTo>
                <a:lnTo>
                  <a:pt x="15996" y="994"/>
                </a:lnTo>
                <a:lnTo>
                  <a:pt x="16287" y="852"/>
                </a:lnTo>
                <a:lnTo>
                  <a:pt x="16384" y="710"/>
                </a:lnTo>
                <a:lnTo>
                  <a:pt x="16287" y="521"/>
                </a:lnTo>
                <a:lnTo>
                  <a:pt x="15996" y="474"/>
                </a:lnTo>
                <a:lnTo>
                  <a:pt x="16093" y="331"/>
                </a:lnTo>
                <a:lnTo>
                  <a:pt x="16384" y="284"/>
                </a:lnTo>
                <a:lnTo>
                  <a:pt x="16287" y="142"/>
                </a:lnTo>
                <a:lnTo>
                  <a:pt x="16093" y="0"/>
                </a:lnTo>
                <a:lnTo>
                  <a:pt x="15802" y="95"/>
                </a:lnTo>
                <a:lnTo>
                  <a:pt x="15705" y="237"/>
                </a:lnTo>
                <a:lnTo>
                  <a:pt x="15705" y="379"/>
                </a:lnTo>
                <a:lnTo>
                  <a:pt x="15802" y="521"/>
                </a:lnTo>
                <a:lnTo>
                  <a:pt x="15802" y="663"/>
                </a:lnTo>
                <a:lnTo>
                  <a:pt x="15511" y="710"/>
                </a:lnTo>
                <a:lnTo>
                  <a:pt x="15221" y="710"/>
                </a:lnTo>
                <a:lnTo>
                  <a:pt x="13185" y="1042"/>
                </a:lnTo>
                <a:lnTo>
                  <a:pt x="12894" y="1136"/>
                </a:lnTo>
                <a:lnTo>
                  <a:pt x="12603" y="1279"/>
                </a:lnTo>
                <a:lnTo>
                  <a:pt x="12409" y="1421"/>
                </a:lnTo>
                <a:lnTo>
                  <a:pt x="12409" y="1563"/>
                </a:lnTo>
                <a:lnTo>
                  <a:pt x="12118" y="1657"/>
                </a:lnTo>
                <a:lnTo>
                  <a:pt x="11828" y="1705"/>
                </a:lnTo>
                <a:lnTo>
                  <a:pt x="11537" y="1705"/>
                </a:lnTo>
                <a:lnTo>
                  <a:pt x="11246" y="1799"/>
                </a:lnTo>
                <a:lnTo>
                  <a:pt x="10955" y="1941"/>
                </a:lnTo>
                <a:lnTo>
                  <a:pt x="10664" y="2036"/>
                </a:lnTo>
                <a:lnTo>
                  <a:pt x="10373" y="2084"/>
                </a:lnTo>
                <a:lnTo>
                  <a:pt x="9986" y="2178"/>
                </a:lnTo>
                <a:lnTo>
                  <a:pt x="9695" y="2226"/>
                </a:lnTo>
                <a:lnTo>
                  <a:pt x="9792" y="2368"/>
                </a:lnTo>
                <a:lnTo>
                  <a:pt x="9986" y="2510"/>
                </a:lnTo>
                <a:lnTo>
                  <a:pt x="9986" y="2652"/>
                </a:lnTo>
                <a:lnTo>
                  <a:pt x="9889" y="2794"/>
                </a:lnTo>
                <a:lnTo>
                  <a:pt x="9598" y="2889"/>
                </a:lnTo>
                <a:lnTo>
                  <a:pt x="9016" y="2936"/>
                </a:lnTo>
                <a:lnTo>
                  <a:pt x="8919" y="3078"/>
                </a:lnTo>
                <a:lnTo>
                  <a:pt x="8919" y="3362"/>
                </a:lnTo>
                <a:lnTo>
                  <a:pt x="8628" y="3504"/>
                </a:lnTo>
                <a:lnTo>
                  <a:pt x="8047" y="3599"/>
                </a:lnTo>
                <a:lnTo>
                  <a:pt x="7756" y="3741"/>
                </a:lnTo>
                <a:lnTo>
                  <a:pt x="7174" y="3930"/>
                </a:lnTo>
                <a:lnTo>
                  <a:pt x="6592" y="4214"/>
                </a:lnTo>
                <a:lnTo>
                  <a:pt x="6592" y="4641"/>
                </a:lnTo>
                <a:lnTo>
                  <a:pt x="6011" y="4830"/>
                </a:lnTo>
                <a:lnTo>
                  <a:pt x="5720" y="4972"/>
                </a:lnTo>
                <a:lnTo>
                  <a:pt x="5526" y="5114"/>
                </a:lnTo>
                <a:lnTo>
                  <a:pt x="5429" y="5256"/>
                </a:lnTo>
                <a:lnTo>
                  <a:pt x="5235" y="5398"/>
                </a:lnTo>
                <a:lnTo>
                  <a:pt x="5041" y="5588"/>
                </a:lnTo>
                <a:lnTo>
                  <a:pt x="4653" y="5872"/>
                </a:lnTo>
                <a:lnTo>
                  <a:pt x="4072" y="6061"/>
                </a:lnTo>
                <a:lnTo>
                  <a:pt x="3975" y="6203"/>
                </a:lnTo>
                <a:lnTo>
                  <a:pt x="3684" y="6345"/>
                </a:lnTo>
                <a:lnTo>
                  <a:pt x="3587" y="6487"/>
                </a:lnTo>
                <a:lnTo>
                  <a:pt x="3587" y="6771"/>
                </a:lnTo>
                <a:lnTo>
                  <a:pt x="3393" y="7056"/>
                </a:lnTo>
                <a:lnTo>
                  <a:pt x="3102" y="7150"/>
                </a:lnTo>
                <a:lnTo>
                  <a:pt x="2908" y="7008"/>
                </a:lnTo>
                <a:lnTo>
                  <a:pt x="2618" y="6961"/>
                </a:lnTo>
                <a:lnTo>
                  <a:pt x="2424" y="7103"/>
                </a:lnTo>
                <a:lnTo>
                  <a:pt x="2424" y="7245"/>
                </a:lnTo>
                <a:lnTo>
                  <a:pt x="2327" y="7387"/>
                </a:lnTo>
                <a:lnTo>
                  <a:pt x="2133" y="7529"/>
                </a:lnTo>
                <a:lnTo>
                  <a:pt x="1842" y="7624"/>
                </a:lnTo>
                <a:lnTo>
                  <a:pt x="1939" y="7766"/>
                </a:lnTo>
                <a:lnTo>
                  <a:pt x="1939" y="7908"/>
                </a:lnTo>
                <a:lnTo>
                  <a:pt x="1745" y="8192"/>
                </a:lnTo>
                <a:lnTo>
                  <a:pt x="1551" y="8334"/>
                </a:lnTo>
                <a:lnTo>
                  <a:pt x="1260" y="8760"/>
                </a:lnTo>
                <a:lnTo>
                  <a:pt x="1066" y="8902"/>
                </a:lnTo>
                <a:lnTo>
                  <a:pt x="969" y="9044"/>
                </a:lnTo>
                <a:lnTo>
                  <a:pt x="969" y="9186"/>
                </a:lnTo>
                <a:lnTo>
                  <a:pt x="873" y="9328"/>
                </a:lnTo>
                <a:lnTo>
                  <a:pt x="679" y="9471"/>
                </a:lnTo>
                <a:lnTo>
                  <a:pt x="679" y="9897"/>
                </a:lnTo>
                <a:lnTo>
                  <a:pt x="582" y="10086"/>
                </a:lnTo>
                <a:lnTo>
                  <a:pt x="582" y="10370"/>
                </a:lnTo>
                <a:lnTo>
                  <a:pt x="388" y="10654"/>
                </a:lnTo>
                <a:lnTo>
                  <a:pt x="388" y="10796"/>
                </a:lnTo>
                <a:lnTo>
                  <a:pt x="291" y="10938"/>
                </a:lnTo>
                <a:lnTo>
                  <a:pt x="291" y="11223"/>
                </a:lnTo>
                <a:lnTo>
                  <a:pt x="97" y="11507"/>
                </a:lnTo>
                <a:lnTo>
                  <a:pt x="97" y="11649"/>
                </a:lnTo>
                <a:lnTo>
                  <a:pt x="0" y="11791"/>
                </a:lnTo>
                <a:lnTo>
                  <a:pt x="194" y="12075"/>
                </a:lnTo>
                <a:lnTo>
                  <a:pt x="194" y="12643"/>
                </a:lnTo>
                <a:lnTo>
                  <a:pt x="97" y="12785"/>
                </a:lnTo>
                <a:lnTo>
                  <a:pt x="97" y="12927"/>
                </a:lnTo>
                <a:lnTo>
                  <a:pt x="291" y="13069"/>
                </a:lnTo>
                <a:lnTo>
                  <a:pt x="485" y="13353"/>
                </a:lnTo>
                <a:lnTo>
                  <a:pt x="485" y="13495"/>
                </a:lnTo>
                <a:lnTo>
                  <a:pt x="291" y="13780"/>
                </a:lnTo>
                <a:lnTo>
                  <a:pt x="291" y="13922"/>
                </a:lnTo>
                <a:lnTo>
                  <a:pt x="485" y="14206"/>
                </a:lnTo>
                <a:lnTo>
                  <a:pt x="388" y="14348"/>
                </a:lnTo>
                <a:lnTo>
                  <a:pt x="485" y="14490"/>
                </a:lnTo>
                <a:lnTo>
                  <a:pt x="485" y="14774"/>
                </a:lnTo>
                <a:lnTo>
                  <a:pt x="582" y="14916"/>
                </a:lnTo>
                <a:lnTo>
                  <a:pt x="776" y="15058"/>
                </a:lnTo>
                <a:lnTo>
                  <a:pt x="873" y="15248"/>
                </a:lnTo>
                <a:lnTo>
                  <a:pt x="873" y="15532"/>
                </a:lnTo>
                <a:lnTo>
                  <a:pt x="776" y="15674"/>
                </a:lnTo>
                <a:lnTo>
                  <a:pt x="776" y="15816"/>
                </a:lnTo>
                <a:lnTo>
                  <a:pt x="679" y="15958"/>
                </a:lnTo>
                <a:lnTo>
                  <a:pt x="969" y="16100"/>
                </a:lnTo>
                <a:lnTo>
                  <a:pt x="1260" y="16195"/>
                </a:lnTo>
                <a:lnTo>
                  <a:pt x="1939"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editAs="absolute">
    <xdr:from>
      <xdr:col>0</xdr:col>
      <xdr:colOff>769620</xdr:colOff>
      <xdr:row>30</xdr:row>
      <xdr:rowOff>7620</xdr:rowOff>
    </xdr:from>
    <xdr:to>
      <xdr:col>2</xdr:col>
      <xdr:colOff>449580</xdr:colOff>
      <xdr:row>35</xdr:row>
      <xdr:rowOff>190500</xdr:rowOff>
    </xdr:to>
    <xdr:sp macro="" textlink="">
      <xdr:nvSpPr>
        <xdr:cNvPr id="1076" name="Drawing 14"/>
        <xdr:cNvSpPr>
          <a:spLocks/>
        </xdr:cNvSpPr>
      </xdr:nvSpPr>
      <xdr:spPr bwMode="auto">
        <a:xfrm>
          <a:off x="769620" y="5989320"/>
          <a:ext cx="2377440" cy="1211580"/>
        </a:xfrm>
        <a:custGeom>
          <a:avLst/>
          <a:gdLst>
            <a:gd name="T0" fmla="*/ 16384 w 16384"/>
            <a:gd name="T1" fmla="*/ 16384 h 16384"/>
            <a:gd name="T2" fmla="*/ 16384 w 16384"/>
            <a:gd name="T3" fmla="*/ 15578 h 16384"/>
            <a:gd name="T4" fmla="*/ 16120 w 16384"/>
            <a:gd name="T5" fmla="*/ 13967 h 16384"/>
            <a:gd name="T6" fmla="*/ 15855 w 16384"/>
            <a:gd name="T7" fmla="*/ 12758 h 16384"/>
            <a:gd name="T8" fmla="*/ 15855 w 16384"/>
            <a:gd name="T9" fmla="*/ 12087 h 16384"/>
            <a:gd name="T10" fmla="*/ 15195 w 16384"/>
            <a:gd name="T11" fmla="*/ 11146 h 16384"/>
            <a:gd name="T12" fmla="*/ 14006 w 16384"/>
            <a:gd name="T13" fmla="*/ 10072 h 16384"/>
            <a:gd name="T14" fmla="*/ 13345 w 16384"/>
            <a:gd name="T15" fmla="*/ 4297 h 16384"/>
            <a:gd name="T16" fmla="*/ 15195 w 16384"/>
            <a:gd name="T17" fmla="*/ 5640 h 16384"/>
            <a:gd name="T18" fmla="*/ 16120 w 16384"/>
            <a:gd name="T19" fmla="*/ 5775 h 16384"/>
            <a:gd name="T20" fmla="*/ 14798 w 16384"/>
            <a:gd name="T21" fmla="*/ 5640 h 16384"/>
            <a:gd name="T22" fmla="*/ 13081 w 16384"/>
            <a:gd name="T23" fmla="*/ 4297 h 16384"/>
            <a:gd name="T24" fmla="*/ 7531 w 16384"/>
            <a:gd name="T25" fmla="*/ 1612 h 16384"/>
            <a:gd name="T26" fmla="*/ 0 w 16384"/>
            <a:gd name="T27"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6384" h="16384">
              <a:moveTo>
                <a:pt x="16384" y="16384"/>
              </a:moveTo>
              <a:lnTo>
                <a:pt x="16384" y="15578"/>
              </a:lnTo>
              <a:lnTo>
                <a:pt x="16120" y="13967"/>
              </a:lnTo>
              <a:lnTo>
                <a:pt x="15855" y="12758"/>
              </a:lnTo>
              <a:lnTo>
                <a:pt x="15855" y="12087"/>
              </a:lnTo>
              <a:lnTo>
                <a:pt x="15195" y="11146"/>
              </a:lnTo>
              <a:lnTo>
                <a:pt x="14006" y="10072"/>
              </a:lnTo>
              <a:lnTo>
                <a:pt x="13345" y="4297"/>
              </a:lnTo>
              <a:lnTo>
                <a:pt x="15195" y="5640"/>
              </a:lnTo>
              <a:lnTo>
                <a:pt x="16120" y="5775"/>
              </a:lnTo>
              <a:lnTo>
                <a:pt x="14798" y="5640"/>
              </a:lnTo>
              <a:lnTo>
                <a:pt x="13081" y="4297"/>
              </a:lnTo>
              <a:lnTo>
                <a:pt x="7531" y="1612"/>
              </a:lnTo>
              <a:lnTo>
                <a:pt x="0"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0</xdr:col>
      <xdr:colOff>769620</xdr:colOff>
      <xdr:row>25</xdr:row>
      <xdr:rowOff>121920</xdr:rowOff>
    </xdr:from>
    <xdr:to>
      <xdr:col>1</xdr:col>
      <xdr:colOff>586740</xdr:colOff>
      <xdr:row>30</xdr:row>
      <xdr:rowOff>53340</xdr:rowOff>
    </xdr:to>
    <xdr:sp macro="" textlink="">
      <xdr:nvSpPr>
        <xdr:cNvPr id="1077" name="Drawing 15"/>
        <xdr:cNvSpPr>
          <a:spLocks/>
        </xdr:cNvSpPr>
      </xdr:nvSpPr>
      <xdr:spPr bwMode="auto">
        <a:xfrm>
          <a:off x="769620" y="5113020"/>
          <a:ext cx="1600200" cy="922020"/>
        </a:xfrm>
        <a:custGeom>
          <a:avLst/>
          <a:gdLst>
            <a:gd name="T0" fmla="*/ 0 w 16384"/>
            <a:gd name="T1" fmla="*/ 15715 h 16384"/>
            <a:gd name="T2" fmla="*/ 6437 w 16384"/>
            <a:gd name="T3" fmla="*/ 12539 h 16384"/>
            <a:gd name="T4" fmla="*/ 7314 w 16384"/>
            <a:gd name="T5" fmla="*/ 13208 h 16384"/>
            <a:gd name="T6" fmla="*/ 4389 w 16384"/>
            <a:gd name="T7" fmla="*/ 16384 h 16384"/>
            <a:gd name="T8" fmla="*/ 7314 w 16384"/>
            <a:gd name="T9" fmla="*/ 13040 h 16384"/>
            <a:gd name="T10" fmla="*/ 6144 w 16384"/>
            <a:gd name="T11" fmla="*/ 12539 h 16384"/>
            <a:gd name="T12" fmla="*/ 7607 w 16384"/>
            <a:gd name="T13" fmla="*/ 7523 h 16384"/>
            <a:gd name="T14" fmla="*/ 4974 w 16384"/>
            <a:gd name="T15" fmla="*/ 9864 h 16384"/>
            <a:gd name="T16" fmla="*/ 6729 w 16384"/>
            <a:gd name="T17" fmla="*/ 12204 h 16384"/>
            <a:gd name="T18" fmla="*/ 7607 w 16384"/>
            <a:gd name="T19" fmla="*/ 7189 h 16384"/>
            <a:gd name="T20" fmla="*/ 10533 w 16384"/>
            <a:gd name="T21" fmla="*/ 5016 h 16384"/>
            <a:gd name="T22" fmla="*/ 14336 w 16384"/>
            <a:gd name="T23" fmla="*/ 5517 h 16384"/>
            <a:gd name="T24" fmla="*/ 10533 w 16384"/>
            <a:gd name="T25" fmla="*/ 4848 h 16384"/>
            <a:gd name="T26" fmla="*/ 16384 w 16384"/>
            <a:gd name="T27" fmla="*/ 0 h 16384"/>
            <a:gd name="T28" fmla="*/ 16384 w 16384"/>
            <a:gd name="T29" fmla="*/ 16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5715"/>
              </a:moveTo>
              <a:lnTo>
                <a:pt x="6437" y="12539"/>
              </a:lnTo>
              <a:lnTo>
                <a:pt x="7314" y="13208"/>
              </a:lnTo>
              <a:lnTo>
                <a:pt x="4389" y="16384"/>
              </a:lnTo>
              <a:lnTo>
                <a:pt x="7314" y="13040"/>
              </a:lnTo>
              <a:lnTo>
                <a:pt x="6144" y="12539"/>
              </a:lnTo>
              <a:lnTo>
                <a:pt x="7607" y="7523"/>
              </a:lnTo>
              <a:lnTo>
                <a:pt x="4974" y="9864"/>
              </a:lnTo>
              <a:lnTo>
                <a:pt x="6729" y="12204"/>
              </a:lnTo>
              <a:lnTo>
                <a:pt x="7607" y="7189"/>
              </a:lnTo>
              <a:lnTo>
                <a:pt x="10533" y="5016"/>
              </a:lnTo>
              <a:lnTo>
                <a:pt x="14336" y="5517"/>
              </a:lnTo>
              <a:lnTo>
                <a:pt x="10533" y="4848"/>
              </a:lnTo>
              <a:lnTo>
                <a:pt x="16384" y="0"/>
              </a:lnTo>
              <a:lnTo>
                <a:pt x="16384" y="16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586740</xdr:colOff>
      <xdr:row>23</xdr:row>
      <xdr:rowOff>30480</xdr:rowOff>
    </xdr:from>
    <xdr:to>
      <xdr:col>2</xdr:col>
      <xdr:colOff>419100</xdr:colOff>
      <xdr:row>25</xdr:row>
      <xdr:rowOff>121920</xdr:rowOff>
    </xdr:to>
    <xdr:sp macro="" textlink="">
      <xdr:nvSpPr>
        <xdr:cNvPr id="1078" name="line802"/>
        <xdr:cNvSpPr>
          <a:spLocks/>
        </xdr:cNvSpPr>
      </xdr:nvSpPr>
      <xdr:spPr bwMode="auto">
        <a:xfrm>
          <a:off x="2369820" y="4625340"/>
          <a:ext cx="746760" cy="487680"/>
        </a:xfrm>
        <a:custGeom>
          <a:avLst/>
          <a:gdLst>
            <a:gd name="T0" fmla="*/ 0 w 16384"/>
            <a:gd name="T1" fmla="*/ 16063 h 16384"/>
            <a:gd name="T2" fmla="*/ 978 w 16384"/>
            <a:gd name="T3" fmla="*/ 14135 h 16384"/>
            <a:gd name="T4" fmla="*/ 2445 w 16384"/>
            <a:gd name="T5" fmla="*/ 13493 h 16384"/>
            <a:gd name="T6" fmla="*/ 2934 w 16384"/>
            <a:gd name="T7" fmla="*/ 14778 h 16384"/>
            <a:gd name="T8" fmla="*/ 3179 w 16384"/>
            <a:gd name="T9" fmla="*/ 16384 h 16384"/>
            <a:gd name="T10" fmla="*/ 2690 w 16384"/>
            <a:gd name="T11" fmla="*/ 14778 h 16384"/>
            <a:gd name="T12" fmla="*/ 1467 w 16384"/>
            <a:gd name="T13" fmla="*/ 13814 h 16384"/>
            <a:gd name="T14" fmla="*/ 3913 w 16384"/>
            <a:gd name="T15" fmla="*/ 10601 h 16384"/>
            <a:gd name="T16" fmla="*/ 7581 w 16384"/>
            <a:gd name="T17" fmla="*/ 8031 h 16384"/>
            <a:gd name="T18" fmla="*/ 10271 w 16384"/>
            <a:gd name="T19" fmla="*/ 10280 h 16384"/>
            <a:gd name="T20" fmla="*/ 10760 w 16384"/>
            <a:gd name="T21" fmla="*/ 8674 h 16384"/>
            <a:gd name="T22" fmla="*/ 10026 w 16384"/>
            <a:gd name="T23" fmla="*/ 10601 h 16384"/>
            <a:gd name="T24" fmla="*/ 12471 w 16384"/>
            <a:gd name="T25" fmla="*/ 11244 h 16384"/>
            <a:gd name="T26" fmla="*/ 7336 w 16384"/>
            <a:gd name="T27" fmla="*/ 7389 h 16384"/>
            <a:gd name="T28" fmla="*/ 16384 w 16384"/>
            <a:gd name="T29"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6063"/>
              </a:moveTo>
              <a:lnTo>
                <a:pt x="978" y="14135"/>
              </a:lnTo>
              <a:lnTo>
                <a:pt x="2445" y="13493"/>
              </a:lnTo>
              <a:lnTo>
                <a:pt x="2934" y="14778"/>
              </a:lnTo>
              <a:lnTo>
                <a:pt x="3179" y="16384"/>
              </a:lnTo>
              <a:lnTo>
                <a:pt x="2690" y="14778"/>
              </a:lnTo>
              <a:lnTo>
                <a:pt x="1467" y="13814"/>
              </a:lnTo>
              <a:lnTo>
                <a:pt x="3913" y="10601"/>
              </a:lnTo>
              <a:lnTo>
                <a:pt x="7581" y="8031"/>
              </a:lnTo>
              <a:lnTo>
                <a:pt x="10271" y="10280"/>
              </a:lnTo>
              <a:lnTo>
                <a:pt x="10760" y="8674"/>
              </a:lnTo>
              <a:lnTo>
                <a:pt x="10026" y="10601"/>
              </a:lnTo>
              <a:lnTo>
                <a:pt x="12471" y="11244"/>
              </a:lnTo>
              <a:lnTo>
                <a:pt x="7336" y="738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419100</xdr:colOff>
      <xdr:row>20</xdr:row>
      <xdr:rowOff>45720</xdr:rowOff>
    </xdr:from>
    <xdr:to>
      <xdr:col>3</xdr:col>
      <xdr:colOff>533400</xdr:colOff>
      <xdr:row>24</xdr:row>
      <xdr:rowOff>45720</xdr:rowOff>
    </xdr:to>
    <xdr:sp macro="" textlink="">
      <xdr:nvSpPr>
        <xdr:cNvPr id="1079" name="line804"/>
        <xdr:cNvSpPr>
          <a:spLocks/>
        </xdr:cNvSpPr>
      </xdr:nvSpPr>
      <xdr:spPr bwMode="auto">
        <a:xfrm>
          <a:off x="3116580" y="4046220"/>
          <a:ext cx="937260" cy="792480"/>
        </a:xfrm>
        <a:custGeom>
          <a:avLst/>
          <a:gdLst>
            <a:gd name="T0" fmla="*/ 0 w 16384"/>
            <a:gd name="T1" fmla="*/ 12239 h 16384"/>
            <a:gd name="T2" fmla="*/ 1399 w 16384"/>
            <a:gd name="T3" fmla="*/ 11449 h 16384"/>
            <a:gd name="T4" fmla="*/ 3596 w 16384"/>
            <a:gd name="T5" fmla="*/ 14607 h 16384"/>
            <a:gd name="T6" fmla="*/ 2398 w 16384"/>
            <a:gd name="T7" fmla="*/ 15594 h 16384"/>
            <a:gd name="T8" fmla="*/ 3397 w 16384"/>
            <a:gd name="T9" fmla="*/ 14805 h 16384"/>
            <a:gd name="T10" fmla="*/ 4596 w 16384"/>
            <a:gd name="T11" fmla="*/ 16384 h 16384"/>
            <a:gd name="T12" fmla="*/ 1199 w 16384"/>
            <a:gd name="T13" fmla="*/ 11252 h 16384"/>
            <a:gd name="T14" fmla="*/ 3596 w 16384"/>
            <a:gd name="T15" fmla="*/ 9870 h 16384"/>
            <a:gd name="T16" fmla="*/ 4396 w 16384"/>
            <a:gd name="T17" fmla="*/ 8685 h 16384"/>
            <a:gd name="T18" fmla="*/ 5994 w 16384"/>
            <a:gd name="T19" fmla="*/ 7896 h 16384"/>
            <a:gd name="T20" fmla="*/ 13986 w 16384"/>
            <a:gd name="T21" fmla="*/ 0 h 16384"/>
            <a:gd name="T22" fmla="*/ 16384 w 16384"/>
            <a:gd name="T23" fmla="*/ 4145 h 16384"/>
            <a:gd name="T24" fmla="*/ 15984 w 16384"/>
            <a:gd name="T25" fmla="*/ 5922 h 16384"/>
            <a:gd name="T26" fmla="*/ 16384 w 16384"/>
            <a:gd name="T27" fmla="*/ 4343 h 16384"/>
            <a:gd name="T28" fmla="*/ 13986 w 16384"/>
            <a:gd name="T29" fmla="*/ 19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2239"/>
              </a:moveTo>
              <a:lnTo>
                <a:pt x="1399" y="11449"/>
              </a:lnTo>
              <a:lnTo>
                <a:pt x="3596" y="14607"/>
              </a:lnTo>
              <a:lnTo>
                <a:pt x="2398" y="15594"/>
              </a:lnTo>
              <a:lnTo>
                <a:pt x="3397" y="14805"/>
              </a:lnTo>
              <a:lnTo>
                <a:pt x="4596" y="16384"/>
              </a:lnTo>
              <a:lnTo>
                <a:pt x="1199" y="11252"/>
              </a:lnTo>
              <a:lnTo>
                <a:pt x="3596" y="9870"/>
              </a:lnTo>
              <a:lnTo>
                <a:pt x="4396" y="8685"/>
              </a:lnTo>
              <a:lnTo>
                <a:pt x="5994" y="7896"/>
              </a:lnTo>
              <a:lnTo>
                <a:pt x="13986" y="0"/>
              </a:lnTo>
              <a:lnTo>
                <a:pt x="16384" y="4145"/>
              </a:lnTo>
              <a:lnTo>
                <a:pt x="15984" y="5922"/>
              </a:lnTo>
              <a:lnTo>
                <a:pt x="16384" y="4343"/>
              </a:lnTo>
              <a:lnTo>
                <a:pt x="13986" y="19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419100</xdr:colOff>
      <xdr:row>17</xdr:row>
      <xdr:rowOff>68580</xdr:rowOff>
    </xdr:from>
    <xdr:to>
      <xdr:col>4</xdr:col>
      <xdr:colOff>411480</xdr:colOff>
      <xdr:row>20</xdr:row>
      <xdr:rowOff>45720</xdr:rowOff>
    </xdr:to>
    <xdr:sp macro="" textlink="">
      <xdr:nvSpPr>
        <xdr:cNvPr id="1080" name="line806"/>
        <xdr:cNvSpPr>
          <a:spLocks/>
        </xdr:cNvSpPr>
      </xdr:nvSpPr>
      <xdr:spPr bwMode="auto">
        <a:xfrm>
          <a:off x="3939540" y="3474720"/>
          <a:ext cx="815340" cy="571500"/>
        </a:xfrm>
        <a:custGeom>
          <a:avLst/>
          <a:gdLst>
            <a:gd name="T0" fmla="*/ 0 w 16384"/>
            <a:gd name="T1" fmla="*/ 16384 h 16384"/>
            <a:gd name="T2" fmla="*/ 12923 w 16384"/>
            <a:gd name="T3" fmla="*/ 2185 h 16384"/>
            <a:gd name="T4" fmla="*/ 14307 w 16384"/>
            <a:gd name="T5" fmla="*/ 4096 h 16384"/>
            <a:gd name="T6" fmla="*/ 16384 w 16384"/>
            <a:gd name="T7" fmla="*/ 4369 h 16384"/>
            <a:gd name="T8" fmla="*/ 14076 w 16384"/>
            <a:gd name="T9" fmla="*/ 4096 h 16384"/>
            <a:gd name="T10" fmla="*/ 12923 w 16384"/>
            <a:gd name="T11" fmla="*/ 2185 h 16384"/>
            <a:gd name="T12" fmla="*/ 14076 w 16384"/>
            <a:gd name="T13" fmla="*/ 0 h 16384"/>
          </a:gdLst>
          <a:ahLst/>
          <a:cxnLst>
            <a:cxn ang="0">
              <a:pos x="T0" y="T1"/>
            </a:cxn>
            <a:cxn ang="0">
              <a:pos x="T2" y="T3"/>
            </a:cxn>
            <a:cxn ang="0">
              <a:pos x="T4" y="T5"/>
            </a:cxn>
            <a:cxn ang="0">
              <a:pos x="T6" y="T7"/>
            </a:cxn>
            <a:cxn ang="0">
              <a:pos x="T8" y="T9"/>
            </a:cxn>
            <a:cxn ang="0">
              <a:pos x="T10" y="T11"/>
            </a:cxn>
            <a:cxn ang="0">
              <a:pos x="T12" y="T13"/>
            </a:cxn>
          </a:cxnLst>
          <a:rect l="0" t="0" r="r" b="b"/>
          <a:pathLst>
            <a:path w="16384" h="16384">
              <a:moveTo>
                <a:pt x="0" y="16384"/>
              </a:moveTo>
              <a:lnTo>
                <a:pt x="12923" y="2185"/>
              </a:lnTo>
              <a:lnTo>
                <a:pt x="14307" y="4096"/>
              </a:lnTo>
              <a:lnTo>
                <a:pt x="16384" y="4369"/>
              </a:lnTo>
              <a:lnTo>
                <a:pt x="14076" y="4096"/>
              </a:lnTo>
              <a:lnTo>
                <a:pt x="12923" y="2185"/>
              </a:lnTo>
              <a:lnTo>
                <a:pt x="14076"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289560</xdr:colOff>
      <xdr:row>13</xdr:row>
      <xdr:rowOff>144780</xdr:rowOff>
    </xdr:from>
    <xdr:to>
      <xdr:col>5</xdr:col>
      <xdr:colOff>777240</xdr:colOff>
      <xdr:row>17</xdr:row>
      <xdr:rowOff>91440</xdr:rowOff>
    </xdr:to>
    <xdr:sp macro="" textlink="">
      <xdr:nvSpPr>
        <xdr:cNvPr id="1081" name="line809"/>
        <xdr:cNvSpPr>
          <a:spLocks/>
        </xdr:cNvSpPr>
      </xdr:nvSpPr>
      <xdr:spPr bwMode="auto">
        <a:xfrm>
          <a:off x="4632960" y="2758440"/>
          <a:ext cx="1310640" cy="739140"/>
        </a:xfrm>
        <a:custGeom>
          <a:avLst/>
          <a:gdLst>
            <a:gd name="T0" fmla="*/ 0 w 16384"/>
            <a:gd name="T1" fmla="*/ 16384 h 16384"/>
            <a:gd name="T2" fmla="*/ 3277 w 16384"/>
            <a:gd name="T3" fmla="*/ 13895 h 16384"/>
            <a:gd name="T4" fmla="*/ 3847 w 16384"/>
            <a:gd name="T5" fmla="*/ 15762 h 16384"/>
            <a:gd name="T6" fmla="*/ 3134 w 16384"/>
            <a:gd name="T7" fmla="*/ 14103 h 16384"/>
            <a:gd name="T8" fmla="*/ 2280 w 16384"/>
            <a:gd name="T9" fmla="*/ 11821 h 16384"/>
            <a:gd name="T10" fmla="*/ 3419 w 16384"/>
            <a:gd name="T11" fmla="*/ 14310 h 16384"/>
            <a:gd name="T12" fmla="*/ 5699 w 16384"/>
            <a:gd name="T13" fmla="*/ 9333 h 16384"/>
            <a:gd name="T14" fmla="*/ 8548 w 16384"/>
            <a:gd name="T15" fmla="*/ 9955 h 16384"/>
            <a:gd name="T16" fmla="*/ 14817 w 16384"/>
            <a:gd name="T17" fmla="*/ 2696 h 16384"/>
            <a:gd name="T18" fmla="*/ 15529 w 16384"/>
            <a:gd name="T19" fmla="*/ 2696 h 16384"/>
            <a:gd name="T20" fmla="*/ 15529 w 16384"/>
            <a:gd name="T21" fmla="*/ 4355 h 16384"/>
            <a:gd name="T22" fmla="*/ 16242 w 16384"/>
            <a:gd name="T23" fmla="*/ 4563 h 16384"/>
            <a:gd name="T24" fmla="*/ 15957 w 16384"/>
            <a:gd name="T25" fmla="*/ 6222 h 16384"/>
            <a:gd name="T26" fmla="*/ 15957 w 16384"/>
            <a:gd name="T27" fmla="*/ 4355 h 16384"/>
            <a:gd name="T28" fmla="*/ 15529 w 16384"/>
            <a:gd name="T29" fmla="*/ 4563 h 16384"/>
            <a:gd name="T30" fmla="*/ 15529 w 16384"/>
            <a:gd name="T31" fmla="*/ 2696 h 16384"/>
            <a:gd name="T32" fmla="*/ 14389 w 16384"/>
            <a:gd name="T33" fmla="*/ 2903 h 16384"/>
            <a:gd name="T34" fmla="*/ 15387 w 16384"/>
            <a:gd name="T35" fmla="*/ 1659 h 16384"/>
            <a:gd name="T36" fmla="*/ 14389 w 16384"/>
            <a:gd name="T37" fmla="*/ 0 h 16384"/>
            <a:gd name="T38" fmla="*/ 15102 w 16384"/>
            <a:gd name="T39" fmla="*/ 1452 h 16384"/>
            <a:gd name="T40" fmla="*/ 16384 w 16384"/>
            <a:gd name="T41" fmla="*/ 622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6384" h="16384">
              <a:moveTo>
                <a:pt x="0" y="16384"/>
              </a:moveTo>
              <a:lnTo>
                <a:pt x="3277" y="13895"/>
              </a:lnTo>
              <a:lnTo>
                <a:pt x="3847" y="15762"/>
              </a:lnTo>
              <a:lnTo>
                <a:pt x="3134" y="14103"/>
              </a:lnTo>
              <a:lnTo>
                <a:pt x="2280" y="11821"/>
              </a:lnTo>
              <a:lnTo>
                <a:pt x="3419" y="14310"/>
              </a:lnTo>
              <a:lnTo>
                <a:pt x="5699" y="9333"/>
              </a:lnTo>
              <a:lnTo>
                <a:pt x="8548" y="9955"/>
              </a:lnTo>
              <a:lnTo>
                <a:pt x="14817" y="2696"/>
              </a:lnTo>
              <a:lnTo>
                <a:pt x="15529" y="2696"/>
              </a:lnTo>
              <a:lnTo>
                <a:pt x="15529" y="4355"/>
              </a:lnTo>
              <a:lnTo>
                <a:pt x="16242" y="4563"/>
              </a:lnTo>
              <a:lnTo>
                <a:pt x="15957" y="6222"/>
              </a:lnTo>
              <a:lnTo>
                <a:pt x="15957" y="4355"/>
              </a:lnTo>
              <a:lnTo>
                <a:pt x="15529" y="4563"/>
              </a:lnTo>
              <a:lnTo>
                <a:pt x="15529" y="2696"/>
              </a:lnTo>
              <a:lnTo>
                <a:pt x="14389" y="2903"/>
              </a:lnTo>
              <a:lnTo>
                <a:pt x="15387" y="1659"/>
              </a:lnTo>
              <a:lnTo>
                <a:pt x="14389" y="0"/>
              </a:lnTo>
              <a:lnTo>
                <a:pt x="15102" y="1452"/>
              </a:lnTo>
              <a:lnTo>
                <a:pt x="16384" y="622"/>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685800</xdr:colOff>
      <xdr:row>10</xdr:row>
      <xdr:rowOff>7620</xdr:rowOff>
    </xdr:from>
    <xdr:to>
      <xdr:col>7</xdr:col>
      <xdr:colOff>182880</xdr:colOff>
      <xdr:row>13</xdr:row>
      <xdr:rowOff>167640</xdr:rowOff>
    </xdr:to>
    <xdr:sp macro="" textlink="">
      <xdr:nvSpPr>
        <xdr:cNvPr id="1082" name="line812"/>
        <xdr:cNvSpPr>
          <a:spLocks/>
        </xdr:cNvSpPr>
      </xdr:nvSpPr>
      <xdr:spPr bwMode="auto">
        <a:xfrm>
          <a:off x="5852160" y="2026920"/>
          <a:ext cx="1143000" cy="754380"/>
        </a:xfrm>
        <a:custGeom>
          <a:avLst/>
          <a:gdLst>
            <a:gd name="T0" fmla="*/ 1638 w 16384"/>
            <a:gd name="T1" fmla="*/ 16384 h 16384"/>
            <a:gd name="T2" fmla="*/ 2130 w 16384"/>
            <a:gd name="T3" fmla="*/ 15373 h 16384"/>
            <a:gd name="T4" fmla="*/ 0 w 16384"/>
            <a:gd name="T5" fmla="*/ 11327 h 16384"/>
            <a:gd name="T6" fmla="*/ 2458 w 16384"/>
            <a:gd name="T7" fmla="*/ 15170 h 16384"/>
            <a:gd name="T8" fmla="*/ 6062 w 16384"/>
            <a:gd name="T9" fmla="*/ 10720 h 16384"/>
            <a:gd name="T10" fmla="*/ 7864 w 16384"/>
            <a:gd name="T11" fmla="*/ 14361 h 16384"/>
            <a:gd name="T12" fmla="*/ 6062 w 16384"/>
            <a:gd name="T13" fmla="*/ 10518 h 16384"/>
            <a:gd name="T14" fmla="*/ 16384 w 16384"/>
            <a:gd name="T15" fmla="*/ 0 h 1638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6384" h="16384">
              <a:moveTo>
                <a:pt x="1638" y="16384"/>
              </a:moveTo>
              <a:lnTo>
                <a:pt x="2130" y="15373"/>
              </a:lnTo>
              <a:lnTo>
                <a:pt x="0" y="11327"/>
              </a:lnTo>
              <a:lnTo>
                <a:pt x="2458" y="15170"/>
              </a:lnTo>
              <a:lnTo>
                <a:pt x="6062" y="10720"/>
              </a:lnTo>
              <a:lnTo>
                <a:pt x="7864" y="14361"/>
              </a:lnTo>
              <a:lnTo>
                <a:pt x="6062" y="1051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7</xdr:col>
      <xdr:colOff>213360</xdr:colOff>
      <xdr:row>8</xdr:row>
      <xdr:rowOff>198120</xdr:rowOff>
    </xdr:from>
    <xdr:to>
      <xdr:col>7</xdr:col>
      <xdr:colOff>518160</xdr:colOff>
      <xdr:row>10</xdr:row>
      <xdr:rowOff>7620</xdr:rowOff>
    </xdr:to>
    <xdr:sp macro="" textlink="">
      <xdr:nvSpPr>
        <xdr:cNvPr id="1083" name="line813"/>
        <xdr:cNvSpPr>
          <a:spLocks/>
        </xdr:cNvSpPr>
      </xdr:nvSpPr>
      <xdr:spPr bwMode="auto">
        <a:xfrm>
          <a:off x="7025640" y="1813560"/>
          <a:ext cx="304800" cy="213360"/>
        </a:xfrm>
        <a:custGeom>
          <a:avLst/>
          <a:gdLst>
            <a:gd name="T0" fmla="*/ 0 w 16384"/>
            <a:gd name="T1" fmla="*/ 16384 h 16384"/>
            <a:gd name="T2" fmla="*/ 8192 w 16384"/>
            <a:gd name="T3" fmla="*/ 10426 h 16384"/>
            <a:gd name="T4" fmla="*/ 11973 w 16384"/>
            <a:gd name="T5" fmla="*/ 2979 h 16384"/>
            <a:gd name="T6" fmla="*/ 16384 w 16384"/>
            <a:gd name="T7" fmla="*/ 0 h 16384"/>
          </a:gdLst>
          <a:ahLst/>
          <a:cxnLst>
            <a:cxn ang="0">
              <a:pos x="T0" y="T1"/>
            </a:cxn>
            <a:cxn ang="0">
              <a:pos x="T2" y="T3"/>
            </a:cxn>
            <a:cxn ang="0">
              <a:pos x="T4" y="T5"/>
            </a:cxn>
            <a:cxn ang="0">
              <a:pos x="T6" y="T7"/>
            </a:cxn>
          </a:cxnLst>
          <a:rect l="0" t="0" r="r" b="b"/>
          <a:pathLst>
            <a:path w="16384" h="16384">
              <a:moveTo>
                <a:pt x="0" y="16384"/>
              </a:moveTo>
              <a:lnTo>
                <a:pt x="8192" y="10426"/>
              </a:lnTo>
              <a:lnTo>
                <a:pt x="11973" y="297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548640</xdr:colOff>
      <xdr:row>8</xdr:row>
      <xdr:rowOff>7620</xdr:rowOff>
    </xdr:from>
    <xdr:to>
      <xdr:col>8</xdr:col>
      <xdr:colOff>0</xdr:colOff>
      <xdr:row>8</xdr:row>
      <xdr:rowOff>190500</xdr:rowOff>
    </xdr:to>
    <xdr:sp macro="" textlink="">
      <xdr:nvSpPr>
        <xdr:cNvPr id="1084" name="line814"/>
        <xdr:cNvSpPr>
          <a:spLocks/>
        </xdr:cNvSpPr>
      </xdr:nvSpPr>
      <xdr:spPr bwMode="auto">
        <a:xfrm>
          <a:off x="7360920" y="1623060"/>
          <a:ext cx="274320" cy="182880"/>
        </a:xfrm>
        <a:custGeom>
          <a:avLst/>
          <a:gdLst>
            <a:gd name="T0" fmla="*/ 0 w 16384"/>
            <a:gd name="T1" fmla="*/ 16384 h 16384"/>
            <a:gd name="T2" fmla="*/ 16384 w 16384"/>
            <a:gd name="T3" fmla="*/ 0 h 16384"/>
          </a:gdLst>
          <a:ahLst/>
          <a:cxnLst>
            <a:cxn ang="0">
              <a:pos x="T0" y="T1"/>
            </a:cxn>
            <a:cxn ang="0">
              <a:pos x="T2" y="T3"/>
            </a:cxn>
          </a:cxnLst>
          <a:rect l="0" t="0" r="r" b="b"/>
          <a:pathLst>
            <a:path w="16384" h="16384">
              <a:moveTo>
                <a:pt x="0" y="16384"/>
              </a:move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533400</xdr:colOff>
      <xdr:row>7</xdr:row>
      <xdr:rowOff>45720</xdr:rowOff>
    </xdr:from>
    <xdr:to>
      <xdr:col>8</xdr:col>
      <xdr:colOff>213360</xdr:colOff>
      <xdr:row>8</xdr:row>
      <xdr:rowOff>7620</xdr:rowOff>
    </xdr:to>
    <xdr:sp macro="" textlink="">
      <xdr:nvSpPr>
        <xdr:cNvPr id="1085" name="line8141A"/>
        <xdr:cNvSpPr>
          <a:spLocks/>
        </xdr:cNvSpPr>
      </xdr:nvSpPr>
      <xdr:spPr bwMode="auto">
        <a:xfrm>
          <a:off x="7345680" y="1455420"/>
          <a:ext cx="502920" cy="167640"/>
        </a:xfrm>
        <a:custGeom>
          <a:avLst/>
          <a:gdLst>
            <a:gd name="T0" fmla="*/ 10054 w 16384"/>
            <a:gd name="T1" fmla="*/ 16384 h 16384"/>
            <a:gd name="T2" fmla="*/ 11171 w 16384"/>
            <a:gd name="T3" fmla="*/ 12529 h 16384"/>
            <a:gd name="T4" fmla="*/ 11171 w 16384"/>
            <a:gd name="T5" fmla="*/ 6746 h 16384"/>
            <a:gd name="T6" fmla="*/ 8564 w 16384"/>
            <a:gd name="T7" fmla="*/ 3855 h 16384"/>
            <a:gd name="T8" fmla="*/ 5958 w 16384"/>
            <a:gd name="T9" fmla="*/ 964 h 16384"/>
            <a:gd name="T10" fmla="*/ 5213 w 16384"/>
            <a:gd name="T11" fmla="*/ 3855 h 16384"/>
            <a:gd name="T12" fmla="*/ 3351 w 16384"/>
            <a:gd name="T13" fmla="*/ 0 h 16384"/>
            <a:gd name="T14" fmla="*/ 0 w 16384"/>
            <a:gd name="T15" fmla="*/ 964 h 16384"/>
            <a:gd name="T16" fmla="*/ 4096 w 16384"/>
            <a:gd name="T17" fmla="*/ 0 h 16384"/>
            <a:gd name="T18" fmla="*/ 5958 w 16384"/>
            <a:gd name="T19" fmla="*/ 3855 h 16384"/>
            <a:gd name="T20" fmla="*/ 8937 w 16384"/>
            <a:gd name="T21" fmla="*/ 3855 h 16384"/>
            <a:gd name="T22" fmla="*/ 11171 w 16384"/>
            <a:gd name="T23" fmla="*/ 4819 h 16384"/>
            <a:gd name="T24" fmla="*/ 11543 w 16384"/>
            <a:gd name="T25" fmla="*/ 8674 h 16384"/>
            <a:gd name="T26" fmla="*/ 13777 w 16384"/>
            <a:gd name="T27" fmla="*/ 7710 h 16384"/>
            <a:gd name="T28" fmla="*/ 15639 w 16384"/>
            <a:gd name="T29" fmla="*/ 3855 h 16384"/>
            <a:gd name="T30" fmla="*/ 16384 w 16384"/>
            <a:gd name="T31" fmla="*/ 2891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0054" y="16384"/>
              </a:moveTo>
              <a:lnTo>
                <a:pt x="11171" y="12529"/>
              </a:lnTo>
              <a:lnTo>
                <a:pt x="11171" y="6746"/>
              </a:lnTo>
              <a:lnTo>
                <a:pt x="8564" y="3855"/>
              </a:lnTo>
              <a:lnTo>
                <a:pt x="5958" y="964"/>
              </a:lnTo>
              <a:lnTo>
                <a:pt x="5213" y="3855"/>
              </a:lnTo>
              <a:lnTo>
                <a:pt x="3351" y="0"/>
              </a:lnTo>
              <a:lnTo>
                <a:pt x="0" y="964"/>
              </a:lnTo>
              <a:lnTo>
                <a:pt x="4096" y="0"/>
              </a:lnTo>
              <a:lnTo>
                <a:pt x="5958" y="3855"/>
              </a:lnTo>
              <a:lnTo>
                <a:pt x="8937" y="3855"/>
              </a:lnTo>
              <a:lnTo>
                <a:pt x="11171" y="4819"/>
              </a:lnTo>
              <a:lnTo>
                <a:pt x="11543" y="8674"/>
              </a:lnTo>
              <a:lnTo>
                <a:pt x="13777" y="7710"/>
              </a:lnTo>
              <a:lnTo>
                <a:pt x="15639" y="3855"/>
              </a:lnTo>
              <a:lnTo>
                <a:pt x="16384" y="2891"/>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8</xdr:col>
      <xdr:colOff>213360</xdr:colOff>
      <xdr:row>2</xdr:row>
      <xdr:rowOff>68580</xdr:rowOff>
    </xdr:from>
    <xdr:to>
      <xdr:col>11</xdr:col>
      <xdr:colOff>38100</xdr:colOff>
      <xdr:row>8</xdr:row>
      <xdr:rowOff>30480</xdr:rowOff>
    </xdr:to>
    <xdr:sp macro="" textlink="">
      <xdr:nvSpPr>
        <xdr:cNvPr id="1086" name="line820"/>
        <xdr:cNvSpPr>
          <a:spLocks/>
        </xdr:cNvSpPr>
      </xdr:nvSpPr>
      <xdr:spPr bwMode="auto">
        <a:xfrm>
          <a:off x="7848600" y="472440"/>
          <a:ext cx="2293620" cy="1173480"/>
        </a:xfrm>
        <a:custGeom>
          <a:avLst/>
          <a:gdLst>
            <a:gd name="T0" fmla="*/ 0 w 16384"/>
            <a:gd name="T1" fmla="*/ 14024 h 16384"/>
            <a:gd name="T2" fmla="*/ 87 w 16384"/>
            <a:gd name="T3" fmla="*/ 14162 h 16384"/>
            <a:gd name="T4" fmla="*/ 784 w 16384"/>
            <a:gd name="T5" fmla="*/ 13191 h 16384"/>
            <a:gd name="T6" fmla="*/ 697 w 16384"/>
            <a:gd name="T7" fmla="*/ 12635 h 16384"/>
            <a:gd name="T8" fmla="*/ 697 w 16384"/>
            <a:gd name="T9" fmla="*/ 13329 h 16384"/>
            <a:gd name="T10" fmla="*/ 871 w 16384"/>
            <a:gd name="T11" fmla="*/ 15134 h 16384"/>
            <a:gd name="T12" fmla="*/ 1830 w 16384"/>
            <a:gd name="T13" fmla="*/ 16384 h 16384"/>
            <a:gd name="T14" fmla="*/ 784 w 16384"/>
            <a:gd name="T15" fmla="*/ 14996 h 16384"/>
            <a:gd name="T16" fmla="*/ 610 w 16384"/>
            <a:gd name="T17" fmla="*/ 13329 h 16384"/>
            <a:gd name="T18" fmla="*/ 1917 w 16384"/>
            <a:gd name="T19" fmla="*/ 11108 h 16384"/>
            <a:gd name="T20" fmla="*/ 2004 w 16384"/>
            <a:gd name="T21" fmla="*/ 11108 h 16384"/>
            <a:gd name="T22" fmla="*/ 3399 w 16384"/>
            <a:gd name="T23" fmla="*/ 10691 h 16384"/>
            <a:gd name="T24" fmla="*/ 3486 w 16384"/>
            <a:gd name="T25" fmla="*/ 10691 h 16384"/>
            <a:gd name="T26" fmla="*/ 4445 w 16384"/>
            <a:gd name="T27" fmla="*/ 9164 h 16384"/>
            <a:gd name="T28" fmla="*/ 3922 w 16384"/>
            <a:gd name="T29" fmla="*/ 6942 h 16384"/>
            <a:gd name="T30" fmla="*/ 4532 w 16384"/>
            <a:gd name="T31" fmla="*/ 8886 h 16384"/>
            <a:gd name="T32" fmla="*/ 7146 w 16384"/>
            <a:gd name="T33" fmla="*/ 5970 h 16384"/>
            <a:gd name="T34" fmla="*/ 6798 w 16384"/>
            <a:gd name="T35" fmla="*/ 4721 h 16384"/>
            <a:gd name="T36" fmla="*/ 7321 w 16384"/>
            <a:gd name="T37" fmla="*/ 3610 h 16384"/>
            <a:gd name="T38" fmla="*/ 6798 w 16384"/>
            <a:gd name="T39" fmla="*/ 4860 h 16384"/>
            <a:gd name="T40" fmla="*/ 7233 w 16384"/>
            <a:gd name="T41" fmla="*/ 5970 h 16384"/>
            <a:gd name="T42" fmla="*/ 10371 w 16384"/>
            <a:gd name="T43" fmla="*/ 2638 h 16384"/>
            <a:gd name="T44" fmla="*/ 11068 w 16384"/>
            <a:gd name="T45" fmla="*/ 2360 h 16384"/>
            <a:gd name="T46" fmla="*/ 11591 w 16384"/>
            <a:gd name="T47" fmla="*/ 2638 h 16384"/>
            <a:gd name="T48" fmla="*/ 13072 w 16384"/>
            <a:gd name="T49" fmla="*/ 1388 h 16384"/>
            <a:gd name="T50" fmla="*/ 16384 w 16384"/>
            <a:gd name="T5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84" h="16384">
              <a:moveTo>
                <a:pt x="0" y="14024"/>
              </a:moveTo>
              <a:lnTo>
                <a:pt x="87" y="14162"/>
              </a:lnTo>
              <a:lnTo>
                <a:pt x="784" y="13191"/>
              </a:lnTo>
              <a:lnTo>
                <a:pt x="697" y="12635"/>
              </a:lnTo>
              <a:lnTo>
                <a:pt x="697" y="13329"/>
              </a:lnTo>
              <a:lnTo>
                <a:pt x="871" y="15134"/>
              </a:lnTo>
              <a:lnTo>
                <a:pt x="1830" y="16384"/>
              </a:lnTo>
              <a:lnTo>
                <a:pt x="784" y="14996"/>
              </a:lnTo>
              <a:lnTo>
                <a:pt x="610" y="13329"/>
              </a:lnTo>
              <a:lnTo>
                <a:pt x="1917" y="11108"/>
              </a:lnTo>
              <a:lnTo>
                <a:pt x="2004" y="11108"/>
              </a:lnTo>
              <a:lnTo>
                <a:pt x="3399" y="10691"/>
              </a:lnTo>
              <a:lnTo>
                <a:pt x="3486" y="10691"/>
              </a:lnTo>
              <a:lnTo>
                <a:pt x="4445" y="9164"/>
              </a:lnTo>
              <a:lnTo>
                <a:pt x="3922" y="6942"/>
              </a:lnTo>
              <a:lnTo>
                <a:pt x="4532" y="8886"/>
              </a:lnTo>
              <a:lnTo>
                <a:pt x="7146" y="5970"/>
              </a:lnTo>
              <a:lnTo>
                <a:pt x="6798" y="4721"/>
              </a:lnTo>
              <a:lnTo>
                <a:pt x="7321" y="3610"/>
              </a:lnTo>
              <a:lnTo>
                <a:pt x="6798" y="4860"/>
              </a:lnTo>
              <a:lnTo>
                <a:pt x="7233" y="5970"/>
              </a:lnTo>
              <a:lnTo>
                <a:pt x="10371" y="2638"/>
              </a:lnTo>
              <a:lnTo>
                <a:pt x="11068" y="2360"/>
              </a:lnTo>
              <a:lnTo>
                <a:pt x="11591" y="2638"/>
              </a:lnTo>
              <a:lnTo>
                <a:pt x="13072" y="138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784860</xdr:colOff>
      <xdr:row>0</xdr:row>
      <xdr:rowOff>15240</xdr:rowOff>
    </xdr:from>
    <xdr:to>
      <xdr:col>11</xdr:col>
      <xdr:colOff>160020</xdr:colOff>
      <xdr:row>5</xdr:row>
      <xdr:rowOff>15240</xdr:rowOff>
    </xdr:to>
    <xdr:sp macro="" textlink="">
      <xdr:nvSpPr>
        <xdr:cNvPr id="1087" name="Drawing 26"/>
        <xdr:cNvSpPr>
          <a:spLocks/>
        </xdr:cNvSpPr>
      </xdr:nvSpPr>
      <xdr:spPr bwMode="auto">
        <a:xfrm>
          <a:off x="10066020" y="15240"/>
          <a:ext cx="198120" cy="1013460"/>
        </a:xfrm>
        <a:custGeom>
          <a:avLst/>
          <a:gdLst>
            <a:gd name="T0" fmla="*/ 0 w 16384"/>
            <a:gd name="T1" fmla="*/ 16384 h 16384"/>
            <a:gd name="T2" fmla="*/ 964 w 16384"/>
            <a:gd name="T3" fmla="*/ 16384 h 16384"/>
            <a:gd name="T4" fmla="*/ 4819 w 16384"/>
            <a:gd name="T5" fmla="*/ 15754 h 16384"/>
            <a:gd name="T6" fmla="*/ 0 w 16384"/>
            <a:gd name="T7" fmla="*/ 16384 h 16384"/>
            <a:gd name="T8" fmla="*/ 4819 w 16384"/>
            <a:gd name="T9" fmla="*/ 15439 h 16384"/>
            <a:gd name="T10" fmla="*/ 7710 w 16384"/>
            <a:gd name="T11" fmla="*/ 15124 h 16384"/>
            <a:gd name="T12" fmla="*/ 8674 w 16384"/>
            <a:gd name="T13" fmla="*/ 14651 h 16384"/>
            <a:gd name="T14" fmla="*/ 11565 w 16384"/>
            <a:gd name="T15" fmla="*/ 14336 h 16384"/>
            <a:gd name="T16" fmla="*/ 13493 w 16384"/>
            <a:gd name="T17" fmla="*/ 13863 h 16384"/>
            <a:gd name="T18" fmla="*/ 13493 w 16384"/>
            <a:gd name="T19" fmla="*/ 12918 h 16384"/>
            <a:gd name="T20" fmla="*/ 15420 w 16384"/>
            <a:gd name="T21" fmla="*/ 12446 h 16384"/>
            <a:gd name="T22" fmla="*/ 16384 w 16384"/>
            <a:gd name="T23" fmla="*/ 11973 h 16384"/>
            <a:gd name="T24" fmla="*/ 16384 w 16384"/>
            <a:gd name="T25" fmla="*/ 11028 h 16384"/>
            <a:gd name="T26" fmla="*/ 14456 w 16384"/>
            <a:gd name="T27" fmla="*/ 10398 h 16384"/>
            <a:gd name="T28" fmla="*/ 12529 w 16384"/>
            <a:gd name="T29" fmla="*/ 9925 h 16384"/>
            <a:gd name="T30" fmla="*/ 10601 w 16384"/>
            <a:gd name="T31" fmla="*/ 8980 h 16384"/>
            <a:gd name="T32" fmla="*/ 6746 w 16384"/>
            <a:gd name="T33" fmla="*/ 8034 h 16384"/>
            <a:gd name="T34" fmla="*/ 6746 w 16384"/>
            <a:gd name="T35" fmla="*/ 7089 h 16384"/>
            <a:gd name="T36" fmla="*/ 2891 w 16384"/>
            <a:gd name="T37" fmla="*/ 6144 h 16384"/>
            <a:gd name="T38" fmla="*/ 1928 w 16384"/>
            <a:gd name="T39" fmla="*/ 5671 h 16384"/>
            <a:gd name="T40" fmla="*/ 4819 w 16384"/>
            <a:gd name="T41" fmla="*/ 4254 h 16384"/>
            <a:gd name="T42" fmla="*/ 7710 w 16384"/>
            <a:gd name="T43" fmla="*/ 3938 h 16384"/>
            <a:gd name="T44" fmla="*/ 7710 w 16384"/>
            <a:gd name="T45" fmla="*/ 3466 h 16384"/>
            <a:gd name="T46" fmla="*/ 13493 w 16384"/>
            <a:gd name="T47" fmla="*/ 2048 h 16384"/>
            <a:gd name="T48" fmla="*/ 13493 w 16384"/>
            <a:gd name="T49" fmla="*/ 1890 h 16384"/>
            <a:gd name="T50" fmla="*/ 12529 w 16384"/>
            <a:gd name="T51" fmla="*/ 1418 h 16384"/>
            <a:gd name="T52" fmla="*/ 9638 w 16384"/>
            <a:gd name="T53" fmla="*/ 945 h 16384"/>
            <a:gd name="T54" fmla="*/ 9638 w 16384"/>
            <a:gd name="T55" fmla="*/ 0 h 16384"/>
            <a:gd name="T56" fmla="*/ 9638 w 16384"/>
            <a:gd name="T57" fmla="*/ 31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6384" h="16384">
              <a:moveTo>
                <a:pt x="0" y="16384"/>
              </a:moveTo>
              <a:lnTo>
                <a:pt x="964" y="16384"/>
              </a:lnTo>
              <a:lnTo>
                <a:pt x="4819" y="15754"/>
              </a:lnTo>
              <a:lnTo>
                <a:pt x="0" y="16384"/>
              </a:lnTo>
              <a:lnTo>
                <a:pt x="4819" y="15439"/>
              </a:lnTo>
              <a:lnTo>
                <a:pt x="7710" y="15124"/>
              </a:lnTo>
              <a:lnTo>
                <a:pt x="8674" y="14651"/>
              </a:lnTo>
              <a:lnTo>
                <a:pt x="11565" y="14336"/>
              </a:lnTo>
              <a:lnTo>
                <a:pt x="13493" y="13863"/>
              </a:lnTo>
              <a:lnTo>
                <a:pt x="13493" y="12918"/>
              </a:lnTo>
              <a:lnTo>
                <a:pt x="15420" y="12446"/>
              </a:lnTo>
              <a:lnTo>
                <a:pt x="16384" y="11973"/>
              </a:lnTo>
              <a:lnTo>
                <a:pt x="16384" y="11028"/>
              </a:lnTo>
              <a:lnTo>
                <a:pt x="14456" y="10398"/>
              </a:lnTo>
              <a:lnTo>
                <a:pt x="12529" y="9925"/>
              </a:lnTo>
              <a:lnTo>
                <a:pt x="10601" y="8980"/>
              </a:lnTo>
              <a:lnTo>
                <a:pt x="6746" y="8034"/>
              </a:lnTo>
              <a:lnTo>
                <a:pt x="6746" y="7089"/>
              </a:lnTo>
              <a:lnTo>
                <a:pt x="2891" y="6144"/>
              </a:lnTo>
              <a:lnTo>
                <a:pt x="1928" y="5671"/>
              </a:lnTo>
              <a:lnTo>
                <a:pt x="4819" y="4254"/>
              </a:lnTo>
              <a:lnTo>
                <a:pt x="7710" y="3938"/>
              </a:lnTo>
              <a:lnTo>
                <a:pt x="7710" y="3466"/>
              </a:lnTo>
              <a:lnTo>
                <a:pt x="13493" y="2048"/>
              </a:lnTo>
              <a:lnTo>
                <a:pt x="13493" y="1890"/>
              </a:lnTo>
              <a:lnTo>
                <a:pt x="12529" y="1418"/>
              </a:lnTo>
              <a:lnTo>
                <a:pt x="9638" y="945"/>
              </a:lnTo>
              <a:lnTo>
                <a:pt x="9638" y="0"/>
              </a:lnTo>
              <a:lnTo>
                <a:pt x="9638" y="315"/>
              </a:lnTo>
            </a:path>
          </a:pathLst>
        </a:custGeom>
        <a:solidFill>
          <a:srgbClr xmlns:mc="http://schemas.openxmlformats.org/markup-compatibility/2006" xmlns:a14="http://schemas.microsoft.com/office/drawing/2010/main" val="FFFFFF" mc:Ignorable="a14" a14:legacySpreadsheetColorIndex="65"/>
        </a:solidFill>
        <a:ln w="9525" cap="flat">
          <a:solidFill>
            <a:srgbClr xmlns:mc="http://schemas.openxmlformats.org/markup-compatibility/2006" xmlns:a14="http://schemas.microsoft.com/office/drawing/2010/main" val="000000" mc:Ignorable="a14" a14:legacySpreadsheetColorIndex="8"/>
          </a:solidFill>
          <a:prstDash val="solid"/>
          <a:round/>
          <a:headEnd/>
          <a:tailEnd/>
        </a:ln>
      </xdr:spPr>
    </xdr:sp>
    <xdr:clientData/>
  </xdr:twoCellAnchor>
  <xdr:twoCellAnchor>
    <xdr:from>
      <xdr:col>7</xdr:col>
      <xdr:colOff>731520</xdr:colOff>
      <xdr:row>10</xdr:row>
      <xdr:rowOff>152400</xdr:rowOff>
    </xdr:from>
    <xdr:to>
      <xdr:col>8</xdr:col>
      <xdr:colOff>624840</xdr:colOff>
      <xdr:row>14</xdr:row>
      <xdr:rowOff>38100</xdr:rowOff>
    </xdr:to>
    <xdr:sp macro="" textlink="">
      <xdr:nvSpPr>
        <xdr:cNvPr id="1088" name="Drawing 27"/>
        <xdr:cNvSpPr>
          <a:spLocks/>
        </xdr:cNvSpPr>
      </xdr:nvSpPr>
      <xdr:spPr bwMode="auto">
        <a:xfrm>
          <a:off x="7543800" y="2171700"/>
          <a:ext cx="716280" cy="678180"/>
        </a:xfrm>
        <a:custGeom>
          <a:avLst/>
          <a:gdLst>
            <a:gd name="T0" fmla="*/ 16124 w 16384"/>
            <a:gd name="T1" fmla="*/ 0 h 16384"/>
            <a:gd name="T2" fmla="*/ 16124 w 16384"/>
            <a:gd name="T3" fmla="*/ 228 h 16384"/>
            <a:gd name="T4" fmla="*/ 15344 w 16384"/>
            <a:gd name="T5" fmla="*/ 455 h 16384"/>
            <a:gd name="T6" fmla="*/ 16124 w 16384"/>
            <a:gd name="T7" fmla="*/ 0 h 16384"/>
            <a:gd name="T8" fmla="*/ 14564 w 16384"/>
            <a:gd name="T9" fmla="*/ 683 h 16384"/>
            <a:gd name="T10" fmla="*/ 13783 w 16384"/>
            <a:gd name="T11" fmla="*/ 1365 h 16384"/>
            <a:gd name="T12" fmla="*/ 13523 w 16384"/>
            <a:gd name="T13" fmla="*/ 2048 h 16384"/>
            <a:gd name="T14" fmla="*/ 12743 w 16384"/>
            <a:gd name="T15" fmla="*/ 2731 h 16384"/>
            <a:gd name="T16" fmla="*/ 11703 w 16384"/>
            <a:gd name="T17" fmla="*/ 4096 h 16384"/>
            <a:gd name="T18" fmla="*/ 10923 w 16384"/>
            <a:gd name="T19" fmla="*/ 4551 h 16384"/>
            <a:gd name="T20" fmla="*/ 10403 w 16384"/>
            <a:gd name="T21" fmla="*/ 5234 h 16384"/>
            <a:gd name="T22" fmla="*/ 8842 w 16384"/>
            <a:gd name="T23" fmla="*/ 6144 h 16384"/>
            <a:gd name="T24" fmla="*/ 8062 w 16384"/>
            <a:gd name="T25" fmla="*/ 6827 h 16384"/>
            <a:gd name="T26" fmla="*/ 7542 w 16384"/>
            <a:gd name="T27" fmla="*/ 7509 h 16384"/>
            <a:gd name="T28" fmla="*/ 6762 w 16384"/>
            <a:gd name="T29" fmla="*/ 7964 h 16384"/>
            <a:gd name="T30" fmla="*/ 5981 w 16384"/>
            <a:gd name="T31" fmla="*/ 8647 h 16384"/>
            <a:gd name="T32" fmla="*/ 5461 w 16384"/>
            <a:gd name="T33" fmla="*/ 9330 h 16384"/>
            <a:gd name="T34" fmla="*/ 3901 w 16384"/>
            <a:gd name="T35" fmla="*/ 10240 h 16384"/>
            <a:gd name="T36" fmla="*/ 3381 w 16384"/>
            <a:gd name="T37" fmla="*/ 10923 h 16384"/>
            <a:gd name="T38" fmla="*/ 3121 w 16384"/>
            <a:gd name="T39" fmla="*/ 11605 h 16384"/>
            <a:gd name="T40" fmla="*/ 2081 w 16384"/>
            <a:gd name="T41" fmla="*/ 12971 h 16384"/>
            <a:gd name="T42" fmla="*/ 1820 w 16384"/>
            <a:gd name="T43" fmla="*/ 13653 h 16384"/>
            <a:gd name="T44" fmla="*/ 1300 w 16384"/>
            <a:gd name="T45" fmla="*/ 14336 h 16384"/>
            <a:gd name="T46" fmla="*/ 1040 w 16384"/>
            <a:gd name="T47" fmla="*/ 15019 h 16384"/>
            <a:gd name="T48" fmla="*/ 260 w 16384"/>
            <a:gd name="T49" fmla="*/ 15701 h 16384"/>
            <a:gd name="T50" fmla="*/ 0 w 16384"/>
            <a:gd name="T51" fmla="*/ 16384 h 16384"/>
            <a:gd name="T52" fmla="*/ 780 w 16384"/>
            <a:gd name="T53" fmla="*/ 16384 h 16384"/>
            <a:gd name="T54" fmla="*/ 2341 w 16384"/>
            <a:gd name="T55" fmla="*/ 15474 h 16384"/>
            <a:gd name="T56" fmla="*/ 3121 w 16384"/>
            <a:gd name="T57" fmla="*/ 15246 h 16384"/>
            <a:gd name="T58" fmla="*/ 3641 w 16384"/>
            <a:gd name="T59" fmla="*/ 14564 h 16384"/>
            <a:gd name="T60" fmla="*/ 3901 w 16384"/>
            <a:gd name="T61" fmla="*/ 13881 h 16384"/>
            <a:gd name="T62" fmla="*/ 4681 w 16384"/>
            <a:gd name="T63" fmla="*/ 13198 h 16384"/>
            <a:gd name="T64" fmla="*/ 5201 w 16384"/>
            <a:gd name="T65" fmla="*/ 12516 h 16384"/>
            <a:gd name="T66" fmla="*/ 5981 w 16384"/>
            <a:gd name="T67" fmla="*/ 11833 h 16384"/>
            <a:gd name="T68" fmla="*/ 7022 w 16384"/>
            <a:gd name="T69" fmla="*/ 10468 h 16384"/>
            <a:gd name="T70" fmla="*/ 7802 w 16384"/>
            <a:gd name="T71" fmla="*/ 10012 h 16384"/>
            <a:gd name="T72" fmla="*/ 9362 w 16384"/>
            <a:gd name="T73" fmla="*/ 8647 h 16384"/>
            <a:gd name="T74" fmla="*/ 9622 w 16384"/>
            <a:gd name="T75" fmla="*/ 7964 h 16384"/>
            <a:gd name="T76" fmla="*/ 10142 w 16384"/>
            <a:gd name="T77" fmla="*/ 7282 h 16384"/>
            <a:gd name="T78" fmla="*/ 10923 w 16384"/>
            <a:gd name="T79" fmla="*/ 6827 h 16384"/>
            <a:gd name="T80" fmla="*/ 11703 w 16384"/>
            <a:gd name="T81" fmla="*/ 6599 h 16384"/>
            <a:gd name="T82" fmla="*/ 12483 w 16384"/>
            <a:gd name="T83" fmla="*/ 6144 h 16384"/>
            <a:gd name="T84" fmla="*/ 14043 w 16384"/>
            <a:gd name="T85" fmla="*/ 4096 h 16384"/>
            <a:gd name="T86" fmla="*/ 14824 w 16384"/>
            <a:gd name="T87" fmla="*/ 3868 h 16384"/>
            <a:gd name="T88" fmla="*/ 15604 w 16384"/>
            <a:gd name="T89" fmla="*/ 3413 h 16384"/>
            <a:gd name="T90" fmla="*/ 16384 w 16384"/>
            <a:gd name="T91" fmla="*/ 1365 h 16384"/>
            <a:gd name="T92" fmla="*/ 16124 w 16384"/>
            <a:gd name="T93" fmla="*/ 0 h 16384"/>
            <a:gd name="T94" fmla="*/ 16124 w 16384"/>
            <a:gd name="T95"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6124" y="0"/>
              </a:moveTo>
              <a:lnTo>
                <a:pt x="16124" y="228"/>
              </a:lnTo>
              <a:lnTo>
                <a:pt x="15344" y="455"/>
              </a:lnTo>
              <a:lnTo>
                <a:pt x="16124" y="0"/>
              </a:lnTo>
              <a:lnTo>
                <a:pt x="14564" y="683"/>
              </a:lnTo>
              <a:lnTo>
                <a:pt x="13783" y="1365"/>
              </a:lnTo>
              <a:lnTo>
                <a:pt x="13523" y="2048"/>
              </a:lnTo>
              <a:lnTo>
                <a:pt x="12743" y="2731"/>
              </a:lnTo>
              <a:lnTo>
                <a:pt x="11703" y="4096"/>
              </a:lnTo>
              <a:lnTo>
                <a:pt x="10923" y="4551"/>
              </a:lnTo>
              <a:lnTo>
                <a:pt x="10403" y="5234"/>
              </a:lnTo>
              <a:lnTo>
                <a:pt x="8842" y="6144"/>
              </a:lnTo>
              <a:lnTo>
                <a:pt x="8062" y="6827"/>
              </a:lnTo>
              <a:lnTo>
                <a:pt x="7542" y="7509"/>
              </a:lnTo>
              <a:lnTo>
                <a:pt x="6762" y="7964"/>
              </a:lnTo>
              <a:lnTo>
                <a:pt x="5981" y="8647"/>
              </a:lnTo>
              <a:lnTo>
                <a:pt x="5461" y="9330"/>
              </a:lnTo>
              <a:lnTo>
                <a:pt x="3901" y="10240"/>
              </a:lnTo>
              <a:lnTo>
                <a:pt x="3381" y="10923"/>
              </a:lnTo>
              <a:lnTo>
                <a:pt x="3121" y="11605"/>
              </a:lnTo>
              <a:lnTo>
                <a:pt x="2081" y="12971"/>
              </a:lnTo>
              <a:lnTo>
                <a:pt x="1820" y="13653"/>
              </a:lnTo>
              <a:lnTo>
                <a:pt x="1300" y="14336"/>
              </a:lnTo>
              <a:lnTo>
                <a:pt x="1040" y="15019"/>
              </a:lnTo>
              <a:lnTo>
                <a:pt x="260" y="15701"/>
              </a:lnTo>
              <a:lnTo>
                <a:pt x="0" y="16384"/>
              </a:lnTo>
              <a:lnTo>
                <a:pt x="780" y="16384"/>
              </a:lnTo>
              <a:lnTo>
                <a:pt x="2341" y="15474"/>
              </a:lnTo>
              <a:lnTo>
                <a:pt x="3121" y="15246"/>
              </a:lnTo>
              <a:lnTo>
                <a:pt x="3641" y="14564"/>
              </a:lnTo>
              <a:lnTo>
                <a:pt x="3901" y="13881"/>
              </a:lnTo>
              <a:lnTo>
                <a:pt x="4681" y="13198"/>
              </a:lnTo>
              <a:lnTo>
                <a:pt x="5201" y="12516"/>
              </a:lnTo>
              <a:lnTo>
                <a:pt x="5981" y="11833"/>
              </a:lnTo>
              <a:lnTo>
                <a:pt x="7022" y="10468"/>
              </a:lnTo>
              <a:lnTo>
                <a:pt x="7802" y="10012"/>
              </a:lnTo>
              <a:lnTo>
                <a:pt x="9362" y="8647"/>
              </a:lnTo>
              <a:lnTo>
                <a:pt x="9622" y="7964"/>
              </a:lnTo>
              <a:lnTo>
                <a:pt x="10142" y="7282"/>
              </a:lnTo>
              <a:lnTo>
                <a:pt x="10923" y="6827"/>
              </a:lnTo>
              <a:lnTo>
                <a:pt x="11703" y="6599"/>
              </a:lnTo>
              <a:lnTo>
                <a:pt x="12483" y="6144"/>
              </a:lnTo>
              <a:lnTo>
                <a:pt x="14043" y="4096"/>
              </a:lnTo>
              <a:lnTo>
                <a:pt x="14824" y="3868"/>
              </a:lnTo>
              <a:lnTo>
                <a:pt x="15604" y="3413"/>
              </a:lnTo>
              <a:lnTo>
                <a:pt x="16384" y="1365"/>
              </a:lnTo>
              <a:lnTo>
                <a:pt x="16124" y="0"/>
              </a:lnTo>
              <a:close/>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541020</xdr:colOff>
      <xdr:row>25</xdr:row>
      <xdr:rowOff>68580</xdr:rowOff>
    </xdr:from>
    <xdr:to>
      <xdr:col>1</xdr:col>
      <xdr:colOff>632460</xdr:colOff>
      <xdr:row>25</xdr:row>
      <xdr:rowOff>160020</xdr:rowOff>
    </xdr:to>
    <xdr:sp macro="" textlink="">
      <xdr:nvSpPr>
        <xdr:cNvPr id="1089" name="Rectangle 65"/>
        <xdr:cNvSpPr>
          <a:spLocks noChangeArrowheads="1"/>
        </xdr:cNvSpPr>
      </xdr:nvSpPr>
      <xdr:spPr bwMode="auto">
        <a:xfrm>
          <a:off x="2324100" y="505968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358140</xdr:colOff>
      <xdr:row>23</xdr:row>
      <xdr:rowOff>7620</xdr:rowOff>
    </xdr:from>
    <xdr:to>
      <xdr:col>2</xdr:col>
      <xdr:colOff>449580</xdr:colOff>
      <xdr:row>23</xdr:row>
      <xdr:rowOff>99060</xdr:rowOff>
    </xdr:to>
    <xdr:sp macro="" textlink="">
      <xdr:nvSpPr>
        <xdr:cNvPr id="1090" name="Rectangle 66"/>
        <xdr:cNvSpPr>
          <a:spLocks noChangeArrowheads="1"/>
        </xdr:cNvSpPr>
      </xdr:nvSpPr>
      <xdr:spPr bwMode="auto">
        <a:xfrm>
          <a:off x="3055620" y="460248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358140</xdr:colOff>
      <xdr:row>20</xdr:row>
      <xdr:rowOff>7620</xdr:rowOff>
    </xdr:from>
    <xdr:to>
      <xdr:col>3</xdr:col>
      <xdr:colOff>449580</xdr:colOff>
      <xdr:row>20</xdr:row>
      <xdr:rowOff>83820</xdr:rowOff>
    </xdr:to>
    <xdr:sp macro="" textlink="">
      <xdr:nvSpPr>
        <xdr:cNvPr id="1091" name="Rectangle 67"/>
        <xdr:cNvSpPr>
          <a:spLocks noChangeArrowheads="1"/>
        </xdr:cNvSpPr>
      </xdr:nvSpPr>
      <xdr:spPr bwMode="auto">
        <a:xfrm>
          <a:off x="3878580" y="4008120"/>
          <a:ext cx="91440" cy="762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1089660</xdr:colOff>
      <xdr:row>30</xdr:row>
      <xdr:rowOff>7620</xdr:rowOff>
    </xdr:from>
    <xdr:to>
      <xdr:col>0</xdr:col>
      <xdr:colOff>1181100</xdr:colOff>
      <xdr:row>30</xdr:row>
      <xdr:rowOff>91440</xdr:rowOff>
    </xdr:to>
    <xdr:sp macro="" textlink="">
      <xdr:nvSpPr>
        <xdr:cNvPr id="1092" name="Rectangle 68"/>
        <xdr:cNvSpPr>
          <a:spLocks noChangeArrowheads="1"/>
        </xdr:cNvSpPr>
      </xdr:nvSpPr>
      <xdr:spPr bwMode="auto">
        <a:xfrm>
          <a:off x="1089660" y="598932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274320</xdr:colOff>
      <xdr:row>17</xdr:row>
      <xdr:rowOff>45720</xdr:rowOff>
    </xdr:from>
    <xdr:to>
      <xdr:col>4</xdr:col>
      <xdr:colOff>365760</xdr:colOff>
      <xdr:row>17</xdr:row>
      <xdr:rowOff>129540</xdr:rowOff>
    </xdr:to>
    <xdr:sp macro="" textlink="">
      <xdr:nvSpPr>
        <xdr:cNvPr id="1093" name="Rectangle 69"/>
        <xdr:cNvSpPr>
          <a:spLocks noChangeArrowheads="1"/>
        </xdr:cNvSpPr>
      </xdr:nvSpPr>
      <xdr:spPr bwMode="auto">
        <a:xfrm>
          <a:off x="4617720" y="345186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731520</xdr:colOff>
      <xdr:row>13</xdr:row>
      <xdr:rowOff>121920</xdr:rowOff>
    </xdr:from>
    <xdr:to>
      <xdr:col>6</xdr:col>
      <xdr:colOff>0</xdr:colOff>
      <xdr:row>14</xdr:row>
      <xdr:rowOff>7620</xdr:rowOff>
    </xdr:to>
    <xdr:sp macro="" textlink="">
      <xdr:nvSpPr>
        <xdr:cNvPr id="1094" name="Rectangle 70"/>
        <xdr:cNvSpPr>
          <a:spLocks noChangeArrowheads="1"/>
        </xdr:cNvSpPr>
      </xdr:nvSpPr>
      <xdr:spPr bwMode="auto">
        <a:xfrm>
          <a:off x="5897880" y="273558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83820</xdr:colOff>
      <xdr:row>7</xdr:row>
      <xdr:rowOff>60960</xdr:rowOff>
    </xdr:from>
    <xdr:to>
      <xdr:col>8</xdr:col>
      <xdr:colOff>175260</xdr:colOff>
      <xdr:row>7</xdr:row>
      <xdr:rowOff>144780</xdr:rowOff>
    </xdr:to>
    <xdr:sp macro="" textlink="">
      <xdr:nvSpPr>
        <xdr:cNvPr id="1095" name="Rectangle 71"/>
        <xdr:cNvSpPr>
          <a:spLocks noChangeArrowheads="1"/>
        </xdr:cNvSpPr>
      </xdr:nvSpPr>
      <xdr:spPr bwMode="auto">
        <a:xfrm>
          <a:off x="7719060" y="147066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106680</xdr:colOff>
      <xdr:row>9</xdr:row>
      <xdr:rowOff>121920</xdr:rowOff>
    </xdr:from>
    <xdr:to>
      <xdr:col>7</xdr:col>
      <xdr:colOff>198120</xdr:colOff>
      <xdr:row>10</xdr:row>
      <xdr:rowOff>7620</xdr:rowOff>
    </xdr:to>
    <xdr:sp macro="" textlink="">
      <xdr:nvSpPr>
        <xdr:cNvPr id="1096" name="Rectangle 72"/>
        <xdr:cNvSpPr>
          <a:spLocks noChangeArrowheads="1"/>
        </xdr:cNvSpPr>
      </xdr:nvSpPr>
      <xdr:spPr bwMode="auto">
        <a:xfrm>
          <a:off x="6918960" y="194310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739140</xdr:colOff>
      <xdr:row>2</xdr:row>
      <xdr:rowOff>30480</xdr:rowOff>
    </xdr:from>
    <xdr:to>
      <xdr:col>11</xdr:col>
      <xdr:colOff>7620</xdr:colOff>
      <xdr:row>2</xdr:row>
      <xdr:rowOff>121920</xdr:rowOff>
    </xdr:to>
    <xdr:sp macro="" textlink="">
      <xdr:nvSpPr>
        <xdr:cNvPr id="1097" name="Rectangle 73"/>
        <xdr:cNvSpPr>
          <a:spLocks noChangeArrowheads="1"/>
        </xdr:cNvSpPr>
      </xdr:nvSpPr>
      <xdr:spPr bwMode="auto">
        <a:xfrm>
          <a:off x="10020300" y="43434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449580</xdr:colOff>
      <xdr:row>23</xdr:row>
      <xdr:rowOff>83820</xdr:rowOff>
    </xdr:from>
    <xdr:to>
      <xdr:col>5</xdr:col>
      <xdr:colOff>121920</xdr:colOff>
      <xdr:row>26</xdr:row>
      <xdr:rowOff>38100</xdr:rowOff>
    </xdr:to>
    <xdr:sp macro="" textlink="">
      <xdr:nvSpPr>
        <xdr:cNvPr id="1098" name="Line 74"/>
        <xdr:cNvSpPr>
          <a:spLocks noChangeShapeType="1"/>
        </xdr:cNvSpPr>
      </xdr:nvSpPr>
      <xdr:spPr bwMode="auto">
        <a:xfrm flipH="1" flipV="1">
          <a:off x="3147060" y="4678680"/>
          <a:ext cx="2141220" cy="54864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xdr:col>
      <xdr:colOff>502920</xdr:colOff>
      <xdr:row>25</xdr:row>
      <xdr:rowOff>167640</xdr:rowOff>
    </xdr:from>
    <xdr:to>
      <xdr:col>4</xdr:col>
      <xdr:colOff>45720</xdr:colOff>
      <xdr:row>30</xdr:row>
      <xdr:rowOff>114300</xdr:rowOff>
    </xdr:to>
    <xdr:sp macro="" textlink="">
      <xdr:nvSpPr>
        <xdr:cNvPr id="1099" name="Line 75"/>
        <xdr:cNvSpPr>
          <a:spLocks noChangeShapeType="1"/>
        </xdr:cNvSpPr>
      </xdr:nvSpPr>
      <xdr:spPr bwMode="auto">
        <a:xfrm flipH="1" flipV="1">
          <a:off x="2286000" y="5158740"/>
          <a:ext cx="2103120" cy="93726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45919</xdr:colOff>
      <xdr:row>8</xdr:row>
      <xdr:rowOff>196623</xdr:rowOff>
    </xdr:from>
    <xdr:to>
      <xdr:col>4</xdr:col>
      <xdr:colOff>746560</xdr:colOff>
      <xdr:row>10</xdr:row>
      <xdr:rowOff>158978</xdr:rowOff>
    </xdr:to>
    <xdr:sp macro="" textlink="">
      <xdr:nvSpPr>
        <xdr:cNvPr id="1100" name="Text 50"/>
        <xdr:cNvSpPr txBox="1">
          <a:spLocks noChangeArrowheads="1"/>
        </xdr:cNvSpPr>
      </xdr:nvSpPr>
      <xdr:spPr bwMode="auto">
        <a:xfrm>
          <a:off x="4394399" y="1822223"/>
          <a:ext cx="700641" cy="36875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36576" tIns="36576" rIns="36576" bIns="36576" anchor="ctr" upright="1">
          <a:spAutoFit/>
        </a:bodyPr>
        <a:lstStyle/>
        <a:p>
          <a:pPr algn="ctr" rtl="0">
            <a:defRPr sz="1000"/>
          </a:pPr>
          <a:r>
            <a:rPr lang="en-US" sz="2000" b="1" i="1" u="none" strike="noStrike" baseline="0">
              <a:solidFill>
                <a:srgbClr val="000000"/>
              </a:solidFill>
              <a:latin typeface="Times New Roman"/>
              <a:cs typeface="Times New Roman"/>
            </a:rPr>
            <a:t>Texas</a:t>
          </a:r>
        </a:p>
      </xdr:txBody>
    </xdr:sp>
    <xdr:clientData/>
  </xdr:twoCellAnchor>
  <xdr:twoCellAnchor editAs="absolute">
    <xdr:from>
      <xdr:col>4</xdr:col>
      <xdr:colOff>182880</xdr:colOff>
      <xdr:row>29</xdr:row>
      <xdr:rowOff>160020</xdr:rowOff>
    </xdr:from>
    <xdr:to>
      <xdr:col>4</xdr:col>
      <xdr:colOff>579120</xdr:colOff>
      <xdr:row>30</xdr:row>
      <xdr:rowOff>83820</xdr:rowOff>
    </xdr:to>
    <xdr:sp macro="" textlink="schST">
      <xdr:nvSpPr>
        <xdr:cNvPr id="1101" name="Text 54"/>
        <xdr:cNvSpPr txBox="1">
          <a:spLocks noChangeArrowheads="1"/>
        </xdr:cNvSpPr>
      </xdr:nvSpPr>
      <xdr:spPr bwMode="auto">
        <a:xfrm>
          <a:off x="4526280" y="5943600"/>
          <a:ext cx="39624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626ED32-7C8F-475D-92B7-98F9B8366EC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83820</xdr:colOff>
      <xdr:row>24</xdr:row>
      <xdr:rowOff>38100</xdr:rowOff>
    </xdr:from>
    <xdr:to>
      <xdr:col>6</xdr:col>
      <xdr:colOff>541020</xdr:colOff>
      <xdr:row>24</xdr:row>
      <xdr:rowOff>167640</xdr:rowOff>
    </xdr:to>
    <xdr:sp macro="" textlink="_sch804">
      <xdr:nvSpPr>
        <xdr:cNvPr id="1102" name="Text 56"/>
        <xdr:cNvSpPr txBox="1">
          <a:spLocks noChangeArrowheads="1"/>
        </xdr:cNvSpPr>
      </xdr:nvSpPr>
      <xdr:spPr bwMode="auto">
        <a:xfrm>
          <a:off x="6073140" y="4831080"/>
          <a:ext cx="4572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DCE7125-DD8D-4123-B7F1-6DDF8B2C6E4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0</xdr:colOff>
      <xdr:row>25</xdr:row>
      <xdr:rowOff>83820</xdr:rowOff>
    </xdr:from>
    <xdr:to>
      <xdr:col>5</xdr:col>
      <xdr:colOff>457200</xdr:colOff>
      <xdr:row>26</xdr:row>
      <xdr:rowOff>7620</xdr:rowOff>
    </xdr:to>
    <xdr:sp macro="" textlink="_sch802">
      <xdr:nvSpPr>
        <xdr:cNvPr id="1103" name="Text 57"/>
        <xdr:cNvSpPr txBox="1">
          <a:spLocks noChangeArrowheads="1"/>
        </xdr:cNvSpPr>
      </xdr:nvSpPr>
      <xdr:spPr bwMode="auto">
        <a:xfrm>
          <a:off x="5166360" y="507492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48A4210-4964-471A-9AA0-77AE94AE89B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449580</xdr:colOff>
      <xdr:row>20</xdr:row>
      <xdr:rowOff>83820</xdr:rowOff>
    </xdr:from>
    <xdr:to>
      <xdr:col>6</xdr:col>
      <xdr:colOff>106680</xdr:colOff>
      <xdr:row>24</xdr:row>
      <xdr:rowOff>160020</xdr:rowOff>
    </xdr:to>
    <xdr:sp macro="" textlink="">
      <xdr:nvSpPr>
        <xdr:cNvPr id="1104" name="Line 80"/>
        <xdr:cNvSpPr>
          <a:spLocks noChangeShapeType="1"/>
        </xdr:cNvSpPr>
      </xdr:nvSpPr>
      <xdr:spPr bwMode="auto">
        <a:xfrm flipH="1" flipV="1">
          <a:off x="3970020" y="4084320"/>
          <a:ext cx="2125980" cy="86868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213360</xdr:colOff>
      <xdr:row>16</xdr:row>
      <xdr:rowOff>38100</xdr:rowOff>
    </xdr:from>
    <xdr:to>
      <xdr:col>9</xdr:col>
      <xdr:colOff>670560</xdr:colOff>
      <xdr:row>16</xdr:row>
      <xdr:rowOff>167640</xdr:rowOff>
    </xdr:to>
    <xdr:sp macro="" textlink="_sch812">
      <xdr:nvSpPr>
        <xdr:cNvPr id="1105" name="Text 61"/>
        <xdr:cNvSpPr txBox="1">
          <a:spLocks noChangeArrowheads="1"/>
        </xdr:cNvSpPr>
      </xdr:nvSpPr>
      <xdr:spPr bwMode="auto">
        <a:xfrm>
          <a:off x="8671560" y="3246120"/>
          <a:ext cx="4572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690DF2C7-DAC6-41C6-8D78-596CBF57D28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723900</xdr:colOff>
      <xdr:row>22</xdr:row>
      <xdr:rowOff>83820</xdr:rowOff>
    </xdr:from>
    <xdr:to>
      <xdr:col>7</xdr:col>
      <xdr:colOff>358140</xdr:colOff>
      <xdr:row>23</xdr:row>
      <xdr:rowOff>7620</xdr:rowOff>
    </xdr:to>
    <xdr:sp macro="" textlink="_sch806">
      <xdr:nvSpPr>
        <xdr:cNvPr id="1106" name="Text 62"/>
        <xdr:cNvSpPr txBox="1">
          <a:spLocks noChangeArrowheads="1"/>
        </xdr:cNvSpPr>
      </xdr:nvSpPr>
      <xdr:spPr bwMode="auto">
        <a:xfrm>
          <a:off x="6713220" y="448056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6840810-2E83-4026-8B9B-3679E3E6A92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739140</xdr:colOff>
      <xdr:row>14</xdr:row>
      <xdr:rowOff>53340</xdr:rowOff>
    </xdr:from>
    <xdr:to>
      <xdr:col>8</xdr:col>
      <xdr:colOff>784860</xdr:colOff>
      <xdr:row>20</xdr:row>
      <xdr:rowOff>15240</xdr:rowOff>
    </xdr:to>
    <xdr:sp macro="" textlink="">
      <xdr:nvSpPr>
        <xdr:cNvPr id="1107" name="Line 83"/>
        <xdr:cNvSpPr>
          <a:spLocks noChangeShapeType="1"/>
        </xdr:cNvSpPr>
      </xdr:nvSpPr>
      <xdr:spPr bwMode="auto">
        <a:xfrm>
          <a:off x="5905500" y="2865120"/>
          <a:ext cx="2514600" cy="115062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655320</xdr:colOff>
      <xdr:row>19</xdr:row>
      <xdr:rowOff>30480</xdr:rowOff>
    </xdr:from>
    <xdr:to>
      <xdr:col>9</xdr:col>
      <xdr:colOff>289560</xdr:colOff>
      <xdr:row>19</xdr:row>
      <xdr:rowOff>160020</xdr:rowOff>
    </xdr:to>
    <xdr:sp macro="" textlink="_sch809">
      <xdr:nvSpPr>
        <xdr:cNvPr id="1108" name="Text 64"/>
        <xdr:cNvSpPr txBox="1">
          <a:spLocks noChangeArrowheads="1"/>
        </xdr:cNvSpPr>
      </xdr:nvSpPr>
      <xdr:spPr bwMode="auto">
        <a:xfrm>
          <a:off x="8290560" y="3832860"/>
          <a:ext cx="4572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4827AB9-472E-41F8-8B17-0BFAB01DC0A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167640</xdr:colOff>
      <xdr:row>10</xdr:row>
      <xdr:rowOff>83820</xdr:rowOff>
    </xdr:from>
    <xdr:to>
      <xdr:col>9</xdr:col>
      <xdr:colOff>289560</xdr:colOff>
      <xdr:row>17</xdr:row>
      <xdr:rowOff>15240</xdr:rowOff>
    </xdr:to>
    <xdr:sp macro="" textlink="">
      <xdr:nvSpPr>
        <xdr:cNvPr id="1109" name="Line 85"/>
        <xdr:cNvSpPr>
          <a:spLocks noChangeShapeType="1"/>
        </xdr:cNvSpPr>
      </xdr:nvSpPr>
      <xdr:spPr bwMode="auto">
        <a:xfrm flipH="1" flipV="1">
          <a:off x="6979920" y="2103120"/>
          <a:ext cx="1767840" cy="131826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10</xdr:col>
      <xdr:colOff>0</xdr:colOff>
      <xdr:row>14</xdr:row>
      <xdr:rowOff>152400</xdr:rowOff>
    </xdr:from>
    <xdr:to>
      <xdr:col>10</xdr:col>
      <xdr:colOff>236220</xdr:colOff>
      <xdr:row>15</xdr:row>
      <xdr:rowOff>114300</xdr:rowOff>
    </xdr:to>
    <xdr:sp macro="[1]!siteclickloc" textlink="">
      <xdr:nvSpPr>
        <xdr:cNvPr id="1110" name="813"/>
        <xdr:cNvSpPr txBox="1">
          <a:spLocks noChangeArrowheads="1"/>
        </xdr:cNvSpPr>
      </xdr:nvSpPr>
      <xdr:spPr bwMode="auto">
        <a:xfrm>
          <a:off x="9281160" y="2964180"/>
          <a:ext cx="23622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813</a:t>
          </a:r>
        </a:p>
      </xdr:txBody>
    </xdr:sp>
    <xdr:clientData/>
  </xdr:twoCellAnchor>
  <xdr:twoCellAnchor editAs="absolute">
    <xdr:from>
      <xdr:col>7</xdr:col>
      <xdr:colOff>518160</xdr:colOff>
      <xdr:row>9</xdr:row>
      <xdr:rowOff>45720</xdr:rowOff>
    </xdr:from>
    <xdr:to>
      <xdr:col>9</xdr:col>
      <xdr:colOff>784860</xdr:colOff>
      <xdr:row>14</xdr:row>
      <xdr:rowOff>167640</xdr:rowOff>
    </xdr:to>
    <xdr:sp macro="" textlink="">
      <xdr:nvSpPr>
        <xdr:cNvPr id="1111" name="Line 87"/>
        <xdr:cNvSpPr>
          <a:spLocks noChangeShapeType="1"/>
        </xdr:cNvSpPr>
      </xdr:nvSpPr>
      <xdr:spPr bwMode="auto">
        <a:xfrm flipH="1" flipV="1">
          <a:off x="7330440" y="1866900"/>
          <a:ext cx="1912620" cy="111252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11</xdr:col>
      <xdr:colOff>312420</xdr:colOff>
      <xdr:row>14</xdr:row>
      <xdr:rowOff>83820</xdr:rowOff>
    </xdr:from>
    <xdr:to>
      <xdr:col>11</xdr:col>
      <xdr:colOff>548640</xdr:colOff>
      <xdr:row>15</xdr:row>
      <xdr:rowOff>38100</xdr:rowOff>
    </xdr:to>
    <xdr:sp macro="[1]!siteclickloc" textlink="">
      <xdr:nvSpPr>
        <xdr:cNvPr id="1112" name="814"/>
        <xdr:cNvSpPr txBox="1">
          <a:spLocks noChangeArrowheads="1"/>
        </xdr:cNvSpPr>
      </xdr:nvSpPr>
      <xdr:spPr bwMode="auto">
        <a:xfrm>
          <a:off x="10416540" y="2895600"/>
          <a:ext cx="23622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a:t>
          </a:r>
        </a:p>
      </xdr:txBody>
    </xdr:sp>
    <xdr:clientData/>
  </xdr:twoCellAnchor>
  <xdr:twoCellAnchor editAs="absolute">
    <xdr:from>
      <xdr:col>11</xdr:col>
      <xdr:colOff>144780</xdr:colOff>
      <xdr:row>11</xdr:row>
      <xdr:rowOff>190500</xdr:rowOff>
    </xdr:from>
    <xdr:to>
      <xdr:col>11</xdr:col>
      <xdr:colOff>541020</xdr:colOff>
      <xdr:row>12</xdr:row>
      <xdr:rowOff>152400</xdr:rowOff>
    </xdr:to>
    <xdr:sp macro="[1]!siteclickloc" textlink="">
      <xdr:nvSpPr>
        <xdr:cNvPr id="1113" name="8141A"/>
        <xdr:cNvSpPr txBox="1">
          <a:spLocks noChangeArrowheads="1"/>
        </xdr:cNvSpPr>
      </xdr:nvSpPr>
      <xdr:spPr bwMode="auto">
        <a:xfrm>
          <a:off x="10248900" y="2407920"/>
          <a:ext cx="3962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814-1A</a:t>
          </a:r>
        </a:p>
      </xdr:txBody>
    </xdr:sp>
    <xdr:clientData/>
  </xdr:twoCellAnchor>
  <xdr:twoCellAnchor editAs="absolute">
    <xdr:from>
      <xdr:col>8</xdr:col>
      <xdr:colOff>152400</xdr:colOff>
      <xdr:row>7</xdr:row>
      <xdr:rowOff>121920</xdr:rowOff>
    </xdr:from>
    <xdr:to>
      <xdr:col>11</xdr:col>
      <xdr:colOff>121920</xdr:colOff>
      <xdr:row>12</xdr:row>
      <xdr:rowOff>15240</xdr:rowOff>
    </xdr:to>
    <xdr:sp macro="" textlink="">
      <xdr:nvSpPr>
        <xdr:cNvPr id="1114" name="Line 90"/>
        <xdr:cNvSpPr>
          <a:spLocks noChangeShapeType="1"/>
        </xdr:cNvSpPr>
      </xdr:nvSpPr>
      <xdr:spPr bwMode="auto">
        <a:xfrm flipH="1" flipV="1">
          <a:off x="7787640" y="1531620"/>
          <a:ext cx="2438400" cy="89916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274320</xdr:colOff>
      <xdr:row>17</xdr:row>
      <xdr:rowOff>144780</xdr:rowOff>
    </xdr:from>
    <xdr:to>
      <xdr:col>6</xdr:col>
      <xdr:colOff>800100</xdr:colOff>
      <xdr:row>23</xdr:row>
      <xdr:rowOff>53340</xdr:rowOff>
    </xdr:to>
    <xdr:sp macro="" textlink="">
      <xdr:nvSpPr>
        <xdr:cNvPr id="1115" name="Line 91"/>
        <xdr:cNvSpPr>
          <a:spLocks noChangeShapeType="1"/>
        </xdr:cNvSpPr>
      </xdr:nvSpPr>
      <xdr:spPr bwMode="auto">
        <a:xfrm flipH="1" flipV="1">
          <a:off x="4617720" y="3550920"/>
          <a:ext cx="2171700" cy="109728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83820</xdr:colOff>
      <xdr:row>30</xdr:row>
      <xdr:rowOff>114300</xdr:rowOff>
    </xdr:from>
    <xdr:to>
      <xdr:col>4</xdr:col>
      <xdr:colOff>739140</xdr:colOff>
      <xdr:row>31</xdr:row>
      <xdr:rowOff>68580</xdr:rowOff>
    </xdr:to>
    <xdr:sp macro="[1]!siteclickloc" textlink="">
      <xdr:nvSpPr>
        <xdr:cNvPr id="1116" name="ST"/>
        <xdr:cNvSpPr txBox="1">
          <a:spLocks noChangeArrowheads="1"/>
        </xdr:cNvSpPr>
      </xdr:nvSpPr>
      <xdr:spPr bwMode="auto">
        <a:xfrm>
          <a:off x="4427220" y="6096000"/>
          <a:ext cx="65532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South Texas</a:t>
          </a:r>
        </a:p>
      </xdr:txBody>
    </xdr:sp>
    <xdr:clientData/>
  </xdr:twoCellAnchor>
  <xdr:twoCellAnchor editAs="absolute">
    <xdr:from>
      <xdr:col>5</xdr:col>
      <xdr:colOff>91440</xdr:colOff>
      <xdr:row>26</xdr:row>
      <xdr:rowOff>38100</xdr:rowOff>
    </xdr:from>
    <xdr:to>
      <xdr:col>5</xdr:col>
      <xdr:colOff>342900</xdr:colOff>
      <xdr:row>27</xdr:row>
      <xdr:rowOff>0</xdr:rowOff>
    </xdr:to>
    <xdr:sp macro="[1]!siteclickloc" textlink="">
      <xdr:nvSpPr>
        <xdr:cNvPr id="1117" name="802"/>
        <xdr:cNvSpPr txBox="1">
          <a:spLocks noChangeArrowheads="1"/>
        </xdr:cNvSpPr>
      </xdr:nvSpPr>
      <xdr:spPr bwMode="auto">
        <a:xfrm>
          <a:off x="5257800" y="5227320"/>
          <a:ext cx="2514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802</a:t>
          </a:r>
        </a:p>
      </xdr:txBody>
    </xdr:sp>
    <xdr:clientData/>
  </xdr:twoCellAnchor>
  <xdr:twoCellAnchor editAs="absolute">
    <xdr:from>
      <xdr:col>6</xdr:col>
      <xdr:colOff>144780</xdr:colOff>
      <xdr:row>24</xdr:row>
      <xdr:rowOff>190500</xdr:rowOff>
    </xdr:from>
    <xdr:to>
      <xdr:col>6</xdr:col>
      <xdr:colOff>396240</xdr:colOff>
      <xdr:row>25</xdr:row>
      <xdr:rowOff>152400</xdr:rowOff>
    </xdr:to>
    <xdr:sp macro="[1]!siteclickloc" textlink="">
      <xdr:nvSpPr>
        <xdr:cNvPr id="1118" name="804"/>
        <xdr:cNvSpPr txBox="1">
          <a:spLocks noChangeArrowheads="1"/>
        </xdr:cNvSpPr>
      </xdr:nvSpPr>
      <xdr:spPr bwMode="auto">
        <a:xfrm>
          <a:off x="6134100" y="4983480"/>
          <a:ext cx="2514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804</a:t>
          </a:r>
        </a:p>
      </xdr:txBody>
    </xdr:sp>
    <xdr:clientData/>
  </xdr:twoCellAnchor>
  <xdr:twoCellAnchor editAs="absolute">
    <xdr:from>
      <xdr:col>7</xdr:col>
      <xdr:colOff>0</xdr:colOff>
      <xdr:row>23</xdr:row>
      <xdr:rowOff>68580</xdr:rowOff>
    </xdr:from>
    <xdr:to>
      <xdr:col>7</xdr:col>
      <xdr:colOff>251460</xdr:colOff>
      <xdr:row>24</xdr:row>
      <xdr:rowOff>30480</xdr:rowOff>
    </xdr:to>
    <xdr:sp macro="[1]!siteclickloc" textlink="">
      <xdr:nvSpPr>
        <xdr:cNvPr id="1119" name="806"/>
        <xdr:cNvSpPr txBox="1">
          <a:spLocks noChangeArrowheads="1"/>
        </xdr:cNvSpPr>
      </xdr:nvSpPr>
      <xdr:spPr bwMode="auto">
        <a:xfrm>
          <a:off x="6812280" y="4663440"/>
          <a:ext cx="2514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806</a:t>
          </a:r>
        </a:p>
      </xdr:txBody>
    </xdr:sp>
    <xdr:clientData/>
  </xdr:twoCellAnchor>
  <xdr:twoCellAnchor editAs="absolute">
    <xdr:from>
      <xdr:col>8</xdr:col>
      <xdr:colOff>731520</xdr:colOff>
      <xdr:row>19</xdr:row>
      <xdr:rowOff>190500</xdr:rowOff>
    </xdr:from>
    <xdr:to>
      <xdr:col>9</xdr:col>
      <xdr:colOff>160020</xdr:colOff>
      <xdr:row>20</xdr:row>
      <xdr:rowOff>152400</xdr:rowOff>
    </xdr:to>
    <xdr:sp macro="[1]!siteclickloc" textlink="">
      <xdr:nvSpPr>
        <xdr:cNvPr id="1120" name="809"/>
        <xdr:cNvSpPr txBox="1">
          <a:spLocks noChangeArrowheads="1"/>
        </xdr:cNvSpPr>
      </xdr:nvSpPr>
      <xdr:spPr bwMode="auto">
        <a:xfrm>
          <a:off x="8366760" y="3992880"/>
          <a:ext cx="2514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809</a:t>
          </a:r>
        </a:p>
      </xdr:txBody>
    </xdr:sp>
    <xdr:clientData/>
  </xdr:twoCellAnchor>
  <xdr:twoCellAnchor editAs="absolute">
    <xdr:from>
      <xdr:col>9</xdr:col>
      <xdr:colOff>274320</xdr:colOff>
      <xdr:row>17</xdr:row>
      <xdr:rowOff>0</xdr:rowOff>
    </xdr:from>
    <xdr:to>
      <xdr:col>9</xdr:col>
      <xdr:colOff>617220</xdr:colOff>
      <xdr:row>17</xdr:row>
      <xdr:rowOff>160020</xdr:rowOff>
    </xdr:to>
    <xdr:sp macro="[1]!siteclickloc" textlink="">
      <xdr:nvSpPr>
        <xdr:cNvPr id="1121" name="812"/>
        <xdr:cNvSpPr txBox="1">
          <a:spLocks noChangeArrowheads="1"/>
        </xdr:cNvSpPr>
      </xdr:nvSpPr>
      <xdr:spPr bwMode="auto">
        <a:xfrm>
          <a:off x="8732520" y="3406140"/>
          <a:ext cx="3429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8121A</a:t>
          </a:r>
        </a:p>
      </xdr:txBody>
    </xdr:sp>
    <xdr:clientData/>
  </xdr:twoCellAnchor>
  <xdr:twoCellAnchor editAs="absolute">
    <xdr:from>
      <xdr:col>6</xdr:col>
      <xdr:colOff>594360</xdr:colOff>
      <xdr:row>11</xdr:row>
      <xdr:rowOff>121920</xdr:rowOff>
    </xdr:from>
    <xdr:to>
      <xdr:col>6</xdr:col>
      <xdr:colOff>723900</xdr:colOff>
      <xdr:row>12</xdr:row>
      <xdr:rowOff>144780</xdr:rowOff>
    </xdr:to>
    <xdr:sp macro="" textlink="">
      <xdr:nvSpPr>
        <xdr:cNvPr id="1122" name="Line 98"/>
        <xdr:cNvSpPr>
          <a:spLocks noChangeShapeType="1"/>
        </xdr:cNvSpPr>
      </xdr:nvSpPr>
      <xdr:spPr bwMode="auto">
        <a:xfrm>
          <a:off x="6583680" y="2339340"/>
          <a:ext cx="1295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548640</xdr:colOff>
      <xdr:row>7</xdr:row>
      <xdr:rowOff>83820</xdr:rowOff>
    </xdr:from>
    <xdr:to>
      <xdr:col>5</xdr:col>
      <xdr:colOff>594360</xdr:colOff>
      <xdr:row>8</xdr:row>
      <xdr:rowOff>68580</xdr:rowOff>
    </xdr:to>
    <xdr:sp macro="[1]!siteclickloc" textlink="">
      <xdr:nvSpPr>
        <xdr:cNvPr id="1123" name="16088"/>
        <xdr:cNvSpPr>
          <a:spLocks noChangeArrowheads="1"/>
        </xdr:cNvSpPr>
      </xdr:nvSpPr>
      <xdr:spPr bwMode="auto">
        <a:xfrm>
          <a:off x="4892040" y="1493520"/>
          <a:ext cx="86868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Dow Julliff</a:t>
          </a:r>
        </a:p>
      </xdr:txBody>
    </xdr:sp>
    <xdr:clientData/>
  </xdr:twoCellAnchor>
  <xdr:twoCellAnchor editAs="absolute">
    <xdr:from>
      <xdr:col>7</xdr:col>
      <xdr:colOff>403860</xdr:colOff>
      <xdr:row>1</xdr:row>
      <xdr:rowOff>7620</xdr:rowOff>
    </xdr:from>
    <xdr:to>
      <xdr:col>8</xdr:col>
      <xdr:colOff>358140</xdr:colOff>
      <xdr:row>1</xdr:row>
      <xdr:rowOff>175260</xdr:rowOff>
    </xdr:to>
    <xdr:sp macro="[1]!siteclickloc" textlink="">
      <xdr:nvSpPr>
        <xdr:cNvPr id="1124" name="16297"/>
        <xdr:cNvSpPr txBox="1">
          <a:spLocks noChangeArrowheads="1"/>
        </xdr:cNvSpPr>
      </xdr:nvSpPr>
      <xdr:spPr bwMode="auto">
        <a:xfrm>
          <a:off x="7216140" y="205740"/>
          <a:ext cx="7772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Moss Bluff</a:t>
          </a:r>
        </a:p>
      </xdr:txBody>
    </xdr:sp>
    <xdr:clientData/>
  </xdr:twoCellAnchor>
  <xdr:twoCellAnchor>
    <xdr:from>
      <xdr:col>8</xdr:col>
      <xdr:colOff>320040</xdr:colOff>
      <xdr:row>2</xdr:row>
      <xdr:rowOff>83820</xdr:rowOff>
    </xdr:from>
    <xdr:to>
      <xdr:col>8</xdr:col>
      <xdr:colOff>685800</xdr:colOff>
      <xdr:row>5</xdr:row>
      <xdr:rowOff>190500</xdr:rowOff>
    </xdr:to>
    <xdr:sp macro="" textlink="">
      <xdr:nvSpPr>
        <xdr:cNvPr id="1125" name="MBIN" hidden="1"/>
        <xdr:cNvSpPr>
          <a:spLocks noChangeShapeType="1"/>
        </xdr:cNvSpPr>
      </xdr:nvSpPr>
      <xdr:spPr bwMode="auto">
        <a:xfrm>
          <a:off x="7955280" y="487680"/>
          <a:ext cx="365760" cy="716280"/>
        </a:xfrm>
        <a:prstGeom prst="line">
          <a:avLst/>
        </a:prstGeom>
        <a:noFill/>
        <a:ln w="1">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53340</xdr:colOff>
      <xdr:row>1</xdr:row>
      <xdr:rowOff>190500</xdr:rowOff>
    </xdr:from>
    <xdr:to>
      <xdr:col>8</xdr:col>
      <xdr:colOff>731520</xdr:colOff>
      <xdr:row>5</xdr:row>
      <xdr:rowOff>152400</xdr:rowOff>
    </xdr:to>
    <xdr:sp macro="" textlink="">
      <xdr:nvSpPr>
        <xdr:cNvPr id="1126" name="MBOUT"/>
        <xdr:cNvSpPr>
          <a:spLocks noChangeShapeType="1"/>
        </xdr:cNvSpPr>
      </xdr:nvSpPr>
      <xdr:spPr bwMode="auto">
        <a:xfrm flipH="1" flipV="1">
          <a:off x="7688580" y="388620"/>
          <a:ext cx="678180" cy="777240"/>
        </a:xfrm>
        <a:prstGeom prst="line">
          <a:avLst/>
        </a:prstGeom>
        <a:noFill/>
        <a:ln w="0">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0</xdr:col>
      <xdr:colOff>0</xdr:colOff>
      <xdr:row>0</xdr:row>
      <xdr:rowOff>0</xdr:rowOff>
    </xdr:from>
    <xdr:to>
      <xdr:col>1</xdr:col>
      <xdr:colOff>815340</xdr:colOff>
      <xdr:row>2</xdr:row>
      <xdr:rowOff>7620</xdr:rowOff>
    </xdr:to>
    <xdr:pic>
      <xdr:nvPicPr>
        <xdr:cNvPr id="1127"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98420" cy="41148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xdr:twoCellAnchor editAs="absolute">
    <xdr:from>
      <xdr:col>0</xdr:col>
      <xdr:colOff>0</xdr:colOff>
      <xdr:row>2</xdr:row>
      <xdr:rowOff>45720</xdr:rowOff>
    </xdr:from>
    <xdr:to>
      <xdr:col>1</xdr:col>
      <xdr:colOff>815340</xdr:colOff>
      <xdr:row>3</xdr:row>
      <xdr:rowOff>106680</xdr:rowOff>
    </xdr:to>
    <xdr:sp macro="" textlink="">
      <xdr:nvSpPr>
        <xdr:cNvPr id="1128" name="Text 99"/>
        <xdr:cNvSpPr txBox="1">
          <a:spLocks noChangeArrowheads="1"/>
        </xdr:cNvSpPr>
      </xdr:nvSpPr>
      <xdr:spPr bwMode="auto">
        <a:xfrm>
          <a:off x="0" y="449580"/>
          <a:ext cx="2598420" cy="2590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Times New Roman"/>
              <a:cs typeface="Times New Roman"/>
            </a:rPr>
            <a:t>Channel A/S Pipeline</a:t>
          </a:r>
        </a:p>
      </xdr:txBody>
    </xdr:sp>
    <xdr:clientData/>
  </xdr:twoCellAnchor>
  <xdr:twoCellAnchor editAs="absolute">
    <xdr:from>
      <xdr:col>8</xdr:col>
      <xdr:colOff>312420</xdr:colOff>
      <xdr:row>24</xdr:row>
      <xdr:rowOff>7620</xdr:rowOff>
    </xdr:from>
    <xdr:to>
      <xdr:col>11</xdr:col>
      <xdr:colOff>243840</xdr:colOff>
      <xdr:row>26</xdr:row>
      <xdr:rowOff>53340</xdr:rowOff>
    </xdr:to>
    <xdr:sp macro="" textlink="">
      <xdr:nvSpPr>
        <xdr:cNvPr id="1129" name="Text 100"/>
        <xdr:cNvSpPr txBox="1">
          <a:spLocks noChangeArrowheads="1"/>
        </xdr:cNvSpPr>
      </xdr:nvSpPr>
      <xdr:spPr bwMode="auto">
        <a:xfrm>
          <a:off x="7947660" y="4800600"/>
          <a:ext cx="2400300" cy="44196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54864" tIns="45720" rIns="0" bIns="45720" anchor="ctr" upright="1"/>
        <a:lstStyle/>
        <a:p>
          <a:pPr algn="l" rtl="0">
            <a:defRPr sz="1000"/>
          </a:pPr>
          <a:r>
            <a:rPr lang="en-US" sz="2200" b="1" i="1" u="none" strike="noStrike" baseline="0">
              <a:solidFill>
                <a:srgbClr val="000000"/>
              </a:solidFill>
              <a:latin typeface="Times New Roman"/>
              <a:cs typeface="Times New Roman"/>
            </a:rPr>
            <a:t>Gulf of Mexico</a:t>
          </a:r>
        </a:p>
      </xdr:txBody>
    </xdr:sp>
    <xdr:clientData/>
  </xdr:twoCellAnchor>
  <xdr:twoCellAnchor editAs="absolute">
    <xdr:from>
      <xdr:col>0</xdr:col>
      <xdr:colOff>403860</xdr:colOff>
      <xdr:row>22</xdr:row>
      <xdr:rowOff>91440</xdr:rowOff>
    </xdr:from>
    <xdr:to>
      <xdr:col>0</xdr:col>
      <xdr:colOff>1173480</xdr:colOff>
      <xdr:row>23</xdr:row>
      <xdr:rowOff>83820</xdr:rowOff>
    </xdr:to>
    <xdr:sp macro="[1]!siteclickloc" textlink="">
      <xdr:nvSpPr>
        <xdr:cNvPr id="1130" name="26081"/>
        <xdr:cNvSpPr>
          <a:spLocks noChangeArrowheads="1"/>
        </xdr:cNvSpPr>
      </xdr:nvSpPr>
      <xdr:spPr bwMode="auto">
        <a:xfrm>
          <a:off x="403860" y="4488180"/>
          <a:ext cx="76962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A-D</a:t>
          </a:r>
        </a:p>
      </xdr:txBody>
    </xdr:sp>
    <xdr:clientData/>
  </xdr:twoCellAnchor>
  <xdr:twoCellAnchor editAs="absolute">
    <xdr:from>
      <xdr:col>0</xdr:col>
      <xdr:colOff>1135380</xdr:colOff>
      <xdr:row>22</xdr:row>
      <xdr:rowOff>121920</xdr:rowOff>
    </xdr:from>
    <xdr:to>
      <xdr:col>0</xdr:col>
      <xdr:colOff>1562100</xdr:colOff>
      <xdr:row>23</xdr:row>
      <xdr:rowOff>68580</xdr:rowOff>
    </xdr:to>
    <xdr:sp macro="" textlink="PDAD">
      <xdr:nvSpPr>
        <xdr:cNvPr id="1131" name="PSAD"/>
        <xdr:cNvSpPr txBox="1">
          <a:spLocks noChangeArrowheads="1" noTextEdit="1"/>
        </xdr:cNvSpPr>
      </xdr:nvSpPr>
      <xdr:spPr bwMode="auto">
        <a:xfrm>
          <a:off x="1135380" y="4518660"/>
          <a:ext cx="426720" cy="14478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804626AC-27AF-4C49-9225-F9AD9AB776E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365760</xdr:colOff>
      <xdr:row>26</xdr:row>
      <xdr:rowOff>38100</xdr:rowOff>
    </xdr:from>
    <xdr:to>
      <xdr:col>5</xdr:col>
      <xdr:colOff>815340</xdr:colOff>
      <xdr:row>26</xdr:row>
      <xdr:rowOff>190500</xdr:rowOff>
    </xdr:to>
    <xdr:sp macro="" textlink="_PD802">
      <xdr:nvSpPr>
        <xdr:cNvPr id="1132" name="p802d"/>
        <xdr:cNvSpPr txBox="1">
          <a:spLocks noChangeArrowheads="1" noTextEdit="1"/>
        </xdr:cNvSpPr>
      </xdr:nvSpPr>
      <xdr:spPr bwMode="auto">
        <a:xfrm>
          <a:off x="5532120" y="5227320"/>
          <a:ext cx="44958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734FA300-6E99-460D-BAF9-F1529F431F90}"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oneCell">
    <xdr:from>
      <xdr:col>7</xdr:col>
      <xdr:colOff>289560</xdr:colOff>
      <xdr:row>23</xdr:row>
      <xdr:rowOff>53340</xdr:rowOff>
    </xdr:from>
    <xdr:to>
      <xdr:col>7</xdr:col>
      <xdr:colOff>731520</xdr:colOff>
      <xdr:row>24</xdr:row>
      <xdr:rowOff>7620</xdr:rowOff>
    </xdr:to>
    <xdr:sp macro="" textlink="_PD806">
      <xdr:nvSpPr>
        <xdr:cNvPr id="1133" name="p806d"/>
        <xdr:cNvSpPr txBox="1">
          <a:spLocks noChangeArrowheads="1"/>
        </xdr:cNvSpPr>
      </xdr:nvSpPr>
      <xdr:spPr bwMode="auto">
        <a:xfrm>
          <a:off x="7101840" y="4648200"/>
          <a:ext cx="44196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C73F5344-0F88-4E79-AEBD-405D3852DEC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365760</xdr:colOff>
      <xdr:row>23</xdr:row>
      <xdr:rowOff>53340</xdr:rowOff>
    </xdr:from>
    <xdr:to>
      <xdr:col>7</xdr:col>
      <xdr:colOff>0</xdr:colOff>
      <xdr:row>24</xdr:row>
      <xdr:rowOff>0</xdr:rowOff>
    </xdr:to>
    <xdr:sp macro="" textlink="_PS806">
      <xdr:nvSpPr>
        <xdr:cNvPr id="1134" name="p806s"/>
        <xdr:cNvSpPr txBox="1">
          <a:spLocks noChangeArrowheads="1"/>
        </xdr:cNvSpPr>
      </xdr:nvSpPr>
      <xdr:spPr bwMode="auto">
        <a:xfrm>
          <a:off x="6355080" y="4648200"/>
          <a:ext cx="457200" cy="14478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4740F887-93EE-45B4-B9B2-F8ACDDBE762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312420</xdr:colOff>
      <xdr:row>19</xdr:row>
      <xdr:rowOff>160020</xdr:rowOff>
    </xdr:from>
    <xdr:to>
      <xdr:col>8</xdr:col>
      <xdr:colOff>777240</xdr:colOff>
      <xdr:row>20</xdr:row>
      <xdr:rowOff>114300</xdr:rowOff>
    </xdr:to>
    <xdr:sp macro="" textlink="_PS809">
      <xdr:nvSpPr>
        <xdr:cNvPr id="1135" name="p809s"/>
        <xdr:cNvSpPr txBox="1">
          <a:spLocks noChangeArrowheads="1"/>
        </xdr:cNvSpPr>
      </xdr:nvSpPr>
      <xdr:spPr bwMode="auto">
        <a:xfrm>
          <a:off x="7947660" y="3962400"/>
          <a:ext cx="46482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45EDDAD0-EF7D-435C-A89E-B3F8FF7EAE1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243840</xdr:colOff>
      <xdr:row>19</xdr:row>
      <xdr:rowOff>190500</xdr:rowOff>
    </xdr:from>
    <xdr:to>
      <xdr:col>9</xdr:col>
      <xdr:colOff>662940</xdr:colOff>
      <xdr:row>20</xdr:row>
      <xdr:rowOff>144780</xdr:rowOff>
    </xdr:to>
    <xdr:sp macro="" textlink="_PD809">
      <xdr:nvSpPr>
        <xdr:cNvPr id="1136" name="p809d"/>
        <xdr:cNvSpPr txBox="1">
          <a:spLocks noChangeArrowheads="1"/>
        </xdr:cNvSpPr>
      </xdr:nvSpPr>
      <xdr:spPr bwMode="auto">
        <a:xfrm>
          <a:off x="8702040" y="3992880"/>
          <a:ext cx="4191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67356EAE-20D0-4C1F-80CE-99D2EE7883E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289560</xdr:colOff>
      <xdr:row>14</xdr:row>
      <xdr:rowOff>167640</xdr:rowOff>
    </xdr:from>
    <xdr:to>
      <xdr:col>10</xdr:col>
      <xdr:colOff>723900</xdr:colOff>
      <xdr:row>15</xdr:row>
      <xdr:rowOff>167640</xdr:rowOff>
    </xdr:to>
    <xdr:sp macro="" textlink="_PD813">
      <xdr:nvSpPr>
        <xdr:cNvPr id="1137" name="p813d"/>
        <xdr:cNvSpPr txBox="1">
          <a:spLocks noChangeArrowheads="1"/>
        </xdr:cNvSpPr>
      </xdr:nvSpPr>
      <xdr:spPr bwMode="auto">
        <a:xfrm>
          <a:off x="9570720" y="2979420"/>
          <a:ext cx="434340" cy="1981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1190BCEA-E687-4928-8298-EB136E8EA76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502920</xdr:colOff>
      <xdr:row>12</xdr:row>
      <xdr:rowOff>30480</xdr:rowOff>
    </xdr:from>
    <xdr:to>
      <xdr:col>11</xdr:col>
      <xdr:colOff>137160</xdr:colOff>
      <xdr:row>12</xdr:row>
      <xdr:rowOff>182880</xdr:rowOff>
    </xdr:to>
    <xdr:sp macro="" textlink="PSLomax">
      <xdr:nvSpPr>
        <xdr:cNvPr id="1138" name="LomaxP"/>
        <xdr:cNvSpPr txBox="1">
          <a:spLocks noChangeArrowheads="1"/>
        </xdr:cNvSpPr>
      </xdr:nvSpPr>
      <xdr:spPr bwMode="auto">
        <a:xfrm>
          <a:off x="9784080" y="2446020"/>
          <a:ext cx="4572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FF00" mc:Ignorable="a14" a14:legacySpreadsheetColorIndex="11"/>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786569E6-C1E0-478A-9C3A-B26CC0BAAD60}"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7</xdr:col>
      <xdr:colOff>449580</xdr:colOff>
      <xdr:row>19</xdr:row>
      <xdr:rowOff>53340</xdr:rowOff>
    </xdr:from>
    <xdr:to>
      <xdr:col>8</xdr:col>
      <xdr:colOff>114300</xdr:colOff>
      <xdr:row>20</xdr:row>
      <xdr:rowOff>15240</xdr:rowOff>
    </xdr:to>
    <xdr:sp macro="" textlink="PDBLESS">
      <xdr:nvSpPr>
        <xdr:cNvPr id="1139" name="PBLESSd"/>
        <xdr:cNvSpPr txBox="1">
          <a:spLocks noChangeArrowheads="1" noTextEdit="1"/>
        </xdr:cNvSpPr>
      </xdr:nvSpPr>
      <xdr:spPr bwMode="auto">
        <a:xfrm>
          <a:off x="7261860" y="3855720"/>
          <a:ext cx="48768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3F4B1B09-8AC4-46A2-8E9A-76C9B4620BA7}"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0</xdr:col>
      <xdr:colOff>685800</xdr:colOff>
      <xdr:row>31</xdr:row>
      <xdr:rowOff>175260</xdr:rowOff>
    </xdr:from>
    <xdr:to>
      <xdr:col>1</xdr:col>
      <xdr:colOff>0</xdr:colOff>
      <xdr:row>32</xdr:row>
      <xdr:rowOff>167640</xdr:rowOff>
    </xdr:to>
    <xdr:sp macro="[1]!siteclickloc" textlink="">
      <xdr:nvSpPr>
        <xdr:cNvPr id="1140" name="16127"/>
        <xdr:cNvSpPr>
          <a:spLocks noChangeArrowheads="1"/>
        </xdr:cNvSpPr>
      </xdr:nvSpPr>
      <xdr:spPr bwMode="auto">
        <a:xfrm flipV="1">
          <a:off x="685800" y="6355080"/>
          <a:ext cx="109728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Mobil La Gloria</a:t>
          </a:r>
        </a:p>
      </xdr:txBody>
    </xdr:sp>
    <xdr:clientData/>
  </xdr:twoCellAnchor>
  <xdr:twoCellAnchor editAs="absolute">
    <xdr:from>
      <xdr:col>0</xdr:col>
      <xdr:colOff>952500</xdr:colOff>
      <xdr:row>31</xdr:row>
      <xdr:rowOff>15240</xdr:rowOff>
    </xdr:from>
    <xdr:to>
      <xdr:col>0</xdr:col>
      <xdr:colOff>1341120</xdr:colOff>
      <xdr:row>31</xdr:row>
      <xdr:rowOff>144780</xdr:rowOff>
    </xdr:to>
    <xdr:sp macro="" textlink="_sch16127">
      <xdr:nvSpPr>
        <xdr:cNvPr id="1141" name="Text 30"/>
        <xdr:cNvSpPr txBox="1">
          <a:spLocks noChangeArrowheads="1" noTextEdit="1"/>
        </xdr:cNvSpPr>
      </xdr:nvSpPr>
      <xdr:spPr bwMode="auto">
        <a:xfrm flipV="1">
          <a:off x="952500" y="6195060"/>
          <a:ext cx="38862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FC38347-1961-471F-BB31-5F3AD2C0F81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792480</xdr:colOff>
      <xdr:row>30</xdr:row>
      <xdr:rowOff>45720</xdr:rowOff>
    </xdr:from>
    <xdr:to>
      <xdr:col>0</xdr:col>
      <xdr:colOff>952500</xdr:colOff>
      <xdr:row>31</xdr:row>
      <xdr:rowOff>167640</xdr:rowOff>
    </xdr:to>
    <xdr:sp macro="" textlink="">
      <xdr:nvSpPr>
        <xdr:cNvPr id="1142" name="Line 118"/>
        <xdr:cNvSpPr>
          <a:spLocks noChangeShapeType="1"/>
        </xdr:cNvSpPr>
      </xdr:nvSpPr>
      <xdr:spPr bwMode="auto">
        <a:xfrm flipH="1" flipV="1">
          <a:off x="792480" y="6027420"/>
          <a:ext cx="160020" cy="3200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320040</xdr:colOff>
      <xdr:row>27</xdr:row>
      <xdr:rowOff>152400</xdr:rowOff>
    </xdr:from>
    <xdr:to>
      <xdr:col>2</xdr:col>
      <xdr:colOff>579120</xdr:colOff>
      <xdr:row>29</xdr:row>
      <xdr:rowOff>160020</xdr:rowOff>
    </xdr:to>
    <xdr:sp macro="[1]!siteclickloc" textlink="">
      <xdr:nvSpPr>
        <xdr:cNvPr id="1143" name="26091"/>
        <xdr:cNvSpPr>
          <a:spLocks noChangeArrowheads="1"/>
        </xdr:cNvSpPr>
      </xdr:nvSpPr>
      <xdr:spPr bwMode="auto">
        <a:xfrm flipV="1">
          <a:off x="2103120" y="5539740"/>
          <a:ext cx="1173480" cy="40386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Hoechest (king &amp; Prem)</a:t>
          </a:r>
        </a:p>
      </xdr:txBody>
    </xdr:sp>
    <xdr:clientData/>
  </xdr:twoCellAnchor>
  <xdr:twoCellAnchor editAs="absolute">
    <xdr:from>
      <xdr:col>1</xdr:col>
      <xdr:colOff>175260</xdr:colOff>
      <xdr:row>27</xdr:row>
      <xdr:rowOff>30480</xdr:rowOff>
    </xdr:from>
    <xdr:to>
      <xdr:col>1</xdr:col>
      <xdr:colOff>373380</xdr:colOff>
      <xdr:row>28</xdr:row>
      <xdr:rowOff>7620</xdr:rowOff>
    </xdr:to>
    <xdr:sp macro="" textlink="">
      <xdr:nvSpPr>
        <xdr:cNvPr id="1144" name="Line 120"/>
        <xdr:cNvSpPr>
          <a:spLocks noChangeShapeType="1"/>
        </xdr:cNvSpPr>
      </xdr:nvSpPr>
      <xdr:spPr bwMode="auto">
        <a:xfrm>
          <a:off x="1958340" y="5417820"/>
          <a:ext cx="198120" cy="1752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365760</xdr:colOff>
      <xdr:row>25</xdr:row>
      <xdr:rowOff>68580</xdr:rowOff>
    </xdr:from>
    <xdr:to>
      <xdr:col>0</xdr:col>
      <xdr:colOff>1196340</xdr:colOff>
      <xdr:row>27</xdr:row>
      <xdr:rowOff>45720</xdr:rowOff>
    </xdr:to>
    <xdr:sp macro="[1]!siteclickloc" textlink="">
      <xdr:nvSpPr>
        <xdr:cNvPr id="1145" name="16066"/>
        <xdr:cNvSpPr>
          <a:spLocks noChangeArrowheads="1"/>
        </xdr:cNvSpPr>
      </xdr:nvSpPr>
      <xdr:spPr bwMode="auto">
        <a:xfrm flipV="1">
          <a:off x="365760" y="5059680"/>
          <a:ext cx="830580" cy="37338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UPRC Gulf Plains</a:t>
          </a:r>
        </a:p>
      </xdr:txBody>
    </xdr:sp>
    <xdr:clientData/>
  </xdr:twoCellAnchor>
  <xdr:twoCellAnchor editAs="absolute">
    <xdr:from>
      <xdr:col>0</xdr:col>
      <xdr:colOff>1219200</xdr:colOff>
      <xdr:row>26</xdr:row>
      <xdr:rowOff>45720</xdr:rowOff>
    </xdr:from>
    <xdr:to>
      <xdr:col>1</xdr:col>
      <xdr:colOff>312420</xdr:colOff>
      <xdr:row>26</xdr:row>
      <xdr:rowOff>68580</xdr:rowOff>
    </xdr:to>
    <xdr:sp macro="" textlink="">
      <xdr:nvSpPr>
        <xdr:cNvPr id="1146" name="Line 122"/>
        <xdr:cNvSpPr>
          <a:spLocks noChangeShapeType="1"/>
        </xdr:cNvSpPr>
      </xdr:nvSpPr>
      <xdr:spPr bwMode="auto">
        <a:xfrm>
          <a:off x="1219200" y="5234940"/>
          <a:ext cx="876300" cy="228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739140</xdr:colOff>
      <xdr:row>27</xdr:row>
      <xdr:rowOff>129540</xdr:rowOff>
    </xdr:from>
    <xdr:to>
      <xdr:col>4</xdr:col>
      <xdr:colOff>815340</xdr:colOff>
      <xdr:row>28</xdr:row>
      <xdr:rowOff>160020</xdr:rowOff>
    </xdr:to>
    <xdr:sp macro="[1]!siteclickloc" textlink="">
      <xdr:nvSpPr>
        <xdr:cNvPr id="1147" name="16244"/>
        <xdr:cNvSpPr>
          <a:spLocks noChangeArrowheads="1"/>
        </xdr:cNvSpPr>
      </xdr:nvSpPr>
      <xdr:spPr bwMode="auto">
        <a:xfrm>
          <a:off x="4259580" y="5516880"/>
          <a:ext cx="89916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Conoco A-D</a:t>
          </a:r>
        </a:p>
      </xdr:txBody>
    </xdr:sp>
    <xdr:clientData/>
  </xdr:twoCellAnchor>
  <xdr:twoCellAnchor editAs="absolute">
    <xdr:from>
      <xdr:col>3</xdr:col>
      <xdr:colOff>312420</xdr:colOff>
      <xdr:row>25</xdr:row>
      <xdr:rowOff>7620</xdr:rowOff>
    </xdr:from>
    <xdr:to>
      <xdr:col>3</xdr:col>
      <xdr:colOff>731520</xdr:colOff>
      <xdr:row>25</xdr:row>
      <xdr:rowOff>160020</xdr:rowOff>
    </xdr:to>
    <xdr:sp macro="" textlink="_sch16130">
      <xdr:nvSpPr>
        <xdr:cNvPr id="1148" name="Text 30"/>
        <xdr:cNvSpPr txBox="1">
          <a:spLocks noChangeArrowheads="1" noTextEdit="1"/>
        </xdr:cNvSpPr>
      </xdr:nvSpPr>
      <xdr:spPr bwMode="auto">
        <a:xfrm flipV="1">
          <a:off x="3832860" y="4998720"/>
          <a:ext cx="4191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7206F1F-EEB2-4C46-83E0-3D6248DADBC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312420</xdr:colOff>
      <xdr:row>26</xdr:row>
      <xdr:rowOff>144780</xdr:rowOff>
    </xdr:from>
    <xdr:to>
      <xdr:col>3</xdr:col>
      <xdr:colOff>731520</xdr:colOff>
      <xdr:row>27</xdr:row>
      <xdr:rowOff>106680</xdr:rowOff>
    </xdr:to>
    <xdr:sp macro="" textlink="_act16130">
      <xdr:nvSpPr>
        <xdr:cNvPr id="1149" name="Text 30"/>
        <xdr:cNvSpPr txBox="1">
          <a:spLocks noChangeArrowheads="1" noTextEdit="1"/>
        </xdr:cNvSpPr>
      </xdr:nvSpPr>
      <xdr:spPr bwMode="auto">
        <a:xfrm flipV="1">
          <a:off x="3832860" y="5334000"/>
          <a:ext cx="41910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4D1F8A6-5354-4A2A-BFE5-FA4D6968041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243840</xdr:colOff>
      <xdr:row>24</xdr:row>
      <xdr:rowOff>182880</xdr:rowOff>
    </xdr:from>
    <xdr:to>
      <xdr:col>3</xdr:col>
      <xdr:colOff>228600</xdr:colOff>
      <xdr:row>26</xdr:row>
      <xdr:rowOff>7620</xdr:rowOff>
    </xdr:to>
    <xdr:sp macro="" textlink="">
      <xdr:nvSpPr>
        <xdr:cNvPr id="1150" name="Line 126"/>
        <xdr:cNvSpPr>
          <a:spLocks noChangeShapeType="1"/>
        </xdr:cNvSpPr>
      </xdr:nvSpPr>
      <xdr:spPr bwMode="auto">
        <a:xfrm flipH="1" flipV="1">
          <a:off x="2941320" y="4975860"/>
          <a:ext cx="80772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198120</xdr:colOff>
      <xdr:row>20</xdr:row>
      <xdr:rowOff>121920</xdr:rowOff>
    </xdr:from>
    <xdr:to>
      <xdr:col>5</xdr:col>
      <xdr:colOff>624840</xdr:colOff>
      <xdr:row>21</xdr:row>
      <xdr:rowOff>83820</xdr:rowOff>
    </xdr:to>
    <xdr:sp macro="" textlink="_sch16290">
      <xdr:nvSpPr>
        <xdr:cNvPr id="1151" name="Text 30"/>
        <xdr:cNvSpPr txBox="1">
          <a:spLocks noChangeArrowheads="1" noTextEdit="1"/>
        </xdr:cNvSpPr>
      </xdr:nvSpPr>
      <xdr:spPr bwMode="auto">
        <a:xfrm flipV="1">
          <a:off x="5364480" y="412242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126DB49-5B2E-4943-BFDA-B8AFFD3A29C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198120</xdr:colOff>
      <xdr:row>22</xdr:row>
      <xdr:rowOff>106680</xdr:rowOff>
    </xdr:from>
    <xdr:to>
      <xdr:col>5</xdr:col>
      <xdr:colOff>624840</xdr:colOff>
      <xdr:row>23</xdr:row>
      <xdr:rowOff>53340</xdr:rowOff>
    </xdr:to>
    <xdr:sp macro="" textlink="_act16290">
      <xdr:nvSpPr>
        <xdr:cNvPr id="1152" name="Text 30"/>
        <xdr:cNvSpPr txBox="1">
          <a:spLocks noChangeArrowheads="1" noTextEdit="1"/>
        </xdr:cNvSpPr>
      </xdr:nvSpPr>
      <xdr:spPr bwMode="auto">
        <a:xfrm flipV="1">
          <a:off x="5364480" y="4503420"/>
          <a:ext cx="42672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2D4AF85-3B37-43AE-918E-CC42C988B41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121920</xdr:colOff>
      <xdr:row>21</xdr:row>
      <xdr:rowOff>83820</xdr:rowOff>
    </xdr:from>
    <xdr:to>
      <xdr:col>5</xdr:col>
      <xdr:colOff>723900</xdr:colOff>
      <xdr:row>22</xdr:row>
      <xdr:rowOff>83820</xdr:rowOff>
    </xdr:to>
    <xdr:sp macro="[1]!siteclickloc" textlink="">
      <xdr:nvSpPr>
        <xdr:cNvPr id="1153" name="16290"/>
        <xdr:cNvSpPr>
          <a:spLocks noChangeArrowheads="1"/>
        </xdr:cNvSpPr>
      </xdr:nvSpPr>
      <xdr:spPr bwMode="auto">
        <a:xfrm>
          <a:off x="5288280" y="4282440"/>
          <a:ext cx="60198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Tomcat</a:t>
          </a:r>
        </a:p>
      </xdr:txBody>
    </xdr:sp>
    <xdr:clientData/>
  </xdr:twoCellAnchor>
  <xdr:twoCellAnchor editAs="absolute">
    <xdr:from>
      <xdr:col>4</xdr:col>
      <xdr:colOff>449580</xdr:colOff>
      <xdr:row>18</xdr:row>
      <xdr:rowOff>83820</xdr:rowOff>
    </xdr:from>
    <xdr:to>
      <xdr:col>5</xdr:col>
      <xdr:colOff>182880</xdr:colOff>
      <xdr:row>21</xdr:row>
      <xdr:rowOff>91440</xdr:rowOff>
    </xdr:to>
    <xdr:sp macro="" textlink="">
      <xdr:nvSpPr>
        <xdr:cNvPr id="1154" name="Line 130"/>
        <xdr:cNvSpPr>
          <a:spLocks noChangeShapeType="1"/>
        </xdr:cNvSpPr>
      </xdr:nvSpPr>
      <xdr:spPr bwMode="auto">
        <a:xfrm flipH="1" flipV="1">
          <a:off x="4792980" y="3688080"/>
          <a:ext cx="556260" cy="601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480060</xdr:colOff>
      <xdr:row>18</xdr:row>
      <xdr:rowOff>53340</xdr:rowOff>
    </xdr:from>
    <xdr:to>
      <xdr:col>7</xdr:col>
      <xdr:colOff>106680</xdr:colOff>
      <xdr:row>19</xdr:row>
      <xdr:rowOff>7620</xdr:rowOff>
    </xdr:to>
    <xdr:sp macro="" textlink="schSeahawk">
      <xdr:nvSpPr>
        <xdr:cNvPr id="1155" name="Text 30"/>
        <xdr:cNvSpPr txBox="1">
          <a:spLocks noChangeArrowheads="1" noTextEdit="1"/>
        </xdr:cNvSpPr>
      </xdr:nvSpPr>
      <xdr:spPr bwMode="auto">
        <a:xfrm flipV="1">
          <a:off x="6469380" y="3657600"/>
          <a:ext cx="44958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7896A74-9FA6-4483-A413-F643E112F45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480060</xdr:colOff>
      <xdr:row>20</xdr:row>
      <xdr:rowOff>30480</xdr:rowOff>
    </xdr:from>
    <xdr:to>
      <xdr:col>7</xdr:col>
      <xdr:colOff>106680</xdr:colOff>
      <xdr:row>20</xdr:row>
      <xdr:rowOff>167640</xdr:rowOff>
    </xdr:to>
    <xdr:sp macro="" textlink="actSeahawk">
      <xdr:nvSpPr>
        <xdr:cNvPr id="1156" name="Text 30"/>
        <xdr:cNvSpPr txBox="1">
          <a:spLocks noChangeArrowheads="1" noTextEdit="1"/>
        </xdr:cNvSpPr>
      </xdr:nvSpPr>
      <xdr:spPr bwMode="auto">
        <a:xfrm flipV="1">
          <a:off x="6469380" y="4030980"/>
          <a:ext cx="44958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0EE3DF0-7D15-4A42-BFFF-DDA740B28A5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167640</xdr:colOff>
      <xdr:row>19</xdr:row>
      <xdr:rowOff>0</xdr:rowOff>
    </xdr:from>
    <xdr:to>
      <xdr:col>7</xdr:col>
      <xdr:colOff>533400</xdr:colOff>
      <xdr:row>20</xdr:row>
      <xdr:rowOff>15240</xdr:rowOff>
    </xdr:to>
    <xdr:sp macro="[1]!siteclickloc" textlink="">
      <xdr:nvSpPr>
        <xdr:cNvPr id="1157" name="16354"/>
        <xdr:cNvSpPr>
          <a:spLocks noChangeArrowheads="1"/>
        </xdr:cNvSpPr>
      </xdr:nvSpPr>
      <xdr:spPr bwMode="auto">
        <a:xfrm>
          <a:off x="6156960" y="3802380"/>
          <a:ext cx="1188720" cy="21336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Seahawk Blessing TTL</a:t>
          </a:r>
        </a:p>
      </xdr:txBody>
    </xdr:sp>
    <xdr:clientData/>
  </xdr:twoCellAnchor>
  <xdr:twoCellAnchor editAs="absolute">
    <xdr:from>
      <xdr:col>5</xdr:col>
      <xdr:colOff>228600</xdr:colOff>
      <xdr:row>15</xdr:row>
      <xdr:rowOff>144780</xdr:rowOff>
    </xdr:from>
    <xdr:to>
      <xdr:col>6</xdr:col>
      <xdr:colOff>243840</xdr:colOff>
      <xdr:row>18</xdr:row>
      <xdr:rowOff>167640</xdr:rowOff>
    </xdr:to>
    <xdr:sp macro="" textlink="">
      <xdr:nvSpPr>
        <xdr:cNvPr id="1158" name="Line 134"/>
        <xdr:cNvSpPr>
          <a:spLocks noChangeShapeType="1"/>
        </xdr:cNvSpPr>
      </xdr:nvSpPr>
      <xdr:spPr bwMode="auto">
        <a:xfrm flipH="1" flipV="1">
          <a:off x="5394960" y="3154680"/>
          <a:ext cx="838200" cy="6172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1143000</xdr:colOff>
      <xdr:row>23</xdr:row>
      <xdr:rowOff>121920</xdr:rowOff>
    </xdr:from>
    <xdr:to>
      <xdr:col>1</xdr:col>
      <xdr:colOff>487680</xdr:colOff>
      <xdr:row>25</xdr:row>
      <xdr:rowOff>83820</xdr:rowOff>
    </xdr:to>
    <xdr:sp macro="" textlink="">
      <xdr:nvSpPr>
        <xdr:cNvPr id="1159" name="Line 135"/>
        <xdr:cNvSpPr>
          <a:spLocks noChangeShapeType="1"/>
        </xdr:cNvSpPr>
      </xdr:nvSpPr>
      <xdr:spPr bwMode="auto">
        <a:xfrm>
          <a:off x="1143000" y="4716780"/>
          <a:ext cx="1127760" cy="3581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1341120</xdr:colOff>
      <xdr:row>21</xdr:row>
      <xdr:rowOff>144780</xdr:rowOff>
    </xdr:from>
    <xdr:to>
      <xdr:col>0</xdr:col>
      <xdr:colOff>1767840</xdr:colOff>
      <xdr:row>22</xdr:row>
      <xdr:rowOff>83820</xdr:rowOff>
    </xdr:to>
    <xdr:sp macro="" textlink="actHPLAD">
      <xdr:nvSpPr>
        <xdr:cNvPr id="1160" name="TGPAGUAS"/>
        <xdr:cNvSpPr txBox="1">
          <a:spLocks noChangeArrowheads="1" noTextEdit="1"/>
        </xdr:cNvSpPr>
      </xdr:nvSpPr>
      <xdr:spPr bwMode="auto">
        <a:xfrm>
          <a:off x="1341120" y="4343400"/>
          <a:ext cx="42672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460AC70-E26B-445E-B6FB-FCA1EEF3D51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1341120</xdr:colOff>
      <xdr:row>20</xdr:row>
      <xdr:rowOff>7620</xdr:rowOff>
    </xdr:from>
    <xdr:to>
      <xdr:col>0</xdr:col>
      <xdr:colOff>1775460</xdr:colOff>
      <xdr:row>20</xdr:row>
      <xdr:rowOff>160020</xdr:rowOff>
    </xdr:to>
    <xdr:sp macro="" textlink="schHPLAD">
      <xdr:nvSpPr>
        <xdr:cNvPr id="1161" name="TGPAGUAS"/>
        <xdr:cNvSpPr txBox="1">
          <a:spLocks noChangeArrowheads="1" noTextEdit="1"/>
        </xdr:cNvSpPr>
      </xdr:nvSpPr>
      <xdr:spPr bwMode="auto">
        <a:xfrm>
          <a:off x="1341120" y="4008120"/>
          <a:ext cx="434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B9FC5D2-8B69-483A-A114-13D6A1F7218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1234440</xdr:colOff>
      <xdr:row>20</xdr:row>
      <xdr:rowOff>144780</xdr:rowOff>
    </xdr:from>
    <xdr:to>
      <xdr:col>1</xdr:col>
      <xdr:colOff>137160</xdr:colOff>
      <xdr:row>21</xdr:row>
      <xdr:rowOff>144780</xdr:rowOff>
    </xdr:to>
    <xdr:sp macro="[1]!siteclickloc" textlink="">
      <xdr:nvSpPr>
        <xdr:cNvPr id="1162" name="26205"/>
        <xdr:cNvSpPr>
          <a:spLocks noChangeArrowheads="1"/>
        </xdr:cNvSpPr>
      </xdr:nvSpPr>
      <xdr:spPr bwMode="auto">
        <a:xfrm>
          <a:off x="1234440" y="4145280"/>
          <a:ext cx="6858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A-D</a:t>
          </a:r>
        </a:p>
      </xdr:txBody>
    </xdr:sp>
    <xdr:clientData/>
  </xdr:twoCellAnchor>
  <xdr:twoCellAnchor editAs="absolute">
    <xdr:from>
      <xdr:col>1</xdr:col>
      <xdr:colOff>99060</xdr:colOff>
      <xdr:row>21</xdr:row>
      <xdr:rowOff>121920</xdr:rowOff>
    </xdr:from>
    <xdr:to>
      <xdr:col>1</xdr:col>
      <xdr:colOff>670560</xdr:colOff>
      <xdr:row>24</xdr:row>
      <xdr:rowOff>167640</xdr:rowOff>
    </xdr:to>
    <xdr:sp macro="" textlink="">
      <xdr:nvSpPr>
        <xdr:cNvPr id="1163" name="Line 139"/>
        <xdr:cNvSpPr>
          <a:spLocks noChangeShapeType="1"/>
        </xdr:cNvSpPr>
      </xdr:nvSpPr>
      <xdr:spPr bwMode="auto">
        <a:xfrm>
          <a:off x="1882140" y="4320540"/>
          <a:ext cx="571500" cy="6400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1173480</xdr:colOff>
      <xdr:row>18</xdr:row>
      <xdr:rowOff>182880</xdr:rowOff>
    </xdr:from>
    <xdr:to>
      <xdr:col>0</xdr:col>
      <xdr:colOff>1661160</xdr:colOff>
      <xdr:row>19</xdr:row>
      <xdr:rowOff>129540</xdr:rowOff>
    </xdr:to>
    <xdr:sp macro="" textlink="_act16222">
      <xdr:nvSpPr>
        <xdr:cNvPr id="1164" name="TGPAGUAS"/>
        <xdr:cNvSpPr txBox="1">
          <a:spLocks noChangeArrowheads="1" noTextEdit="1"/>
        </xdr:cNvSpPr>
      </xdr:nvSpPr>
      <xdr:spPr bwMode="auto">
        <a:xfrm>
          <a:off x="1173480" y="3787140"/>
          <a:ext cx="48768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5DC22AD-CAC9-4D6C-9F48-F1BD5C7B958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1242060</xdr:colOff>
      <xdr:row>17</xdr:row>
      <xdr:rowOff>30480</xdr:rowOff>
    </xdr:from>
    <xdr:to>
      <xdr:col>0</xdr:col>
      <xdr:colOff>1630680</xdr:colOff>
      <xdr:row>17</xdr:row>
      <xdr:rowOff>190500</xdr:rowOff>
    </xdr:to>
    <xdr:sp macro="" textlink="_sch16222">
      <xdr:nvSpPr>
        <xdr:cNvPr id="1165" name="TGPAGUAS"/>
        <xdr:cNvSpPr txBox="1">
          <a:spLocks noChangeArrowheads="1" noTextEdit="1"/>
        </xdr:cNvSpPr>
      </xdr:nvSpPr>
      <xdr:spPr bwMode="auto">
        <a:xfrm>
          <a:off x="1242060" y="3436620"/>
          <a:ext cx="3886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367961E-EBDA-4AA8-9435-2193592C266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1013460</xdr:colOff>
      <xdr:row>17</xdr:row>
      <xdr:rowOff>167640</xdr:rowOff>
    </xdr:from>
    <xdr:to>
      <xdr:col>1</xdr:col>
      <xdr:colOff>198120</xdr:colOff>
      <xdr:row>18</xdr:row>
      <xdr:rowOff>182880</xdr:rowOff>
    </xdr:to>
    <xdr:sp macro="[1]!siteclickloc" textlink="">
      <xdr:nvSpPr>
        <xdr:cNvPr id="1166" name="16222"/>
        <xdr:cNvSpPr>
          <a:spLocks noChangeArrowheads="1"/>
        </xdr:cNvSpPr>
      </xdr:nvSpPr>
      <xdr:spPr bwMode="auto">
        <a:xfrm>
          <a:off x="1013460" y="3573780"/>
          <a:ext cx="967740" cy="21336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PGE Cardwell</a:t>
          </a:r>
        </a:p>
      </xdr:txBody>
    </xdr:sp>
    <xdr:clientData/>
  </xdr:twoCellAnchor>
  <xdr:twoCellAnchor editAs="absolute">
    <xdr:from>
      <xdr:col>1</xdr:col>
      <xdr:colOff>144780</xdr:colOff>
      <xdr:row>18</xdr:row>
      <xdr:rowOff>167640</xdr:rowOff>
    </xdr:from>
    <xdr:to>
      <xdr:col>1</xdr:col>
      <xdr:colOff>899160</xdr:colOff>
      <xdr:row>24</xdr:row>
      <xdr:rowOff>7620</xdr:rowOff>
    </xdr:to>
    <xdr:sp macro="" textlink="">
      <xdr:nvSpPr>
        <xdr:cNvPr id="1167" name="Line 143"/>
        <xdr:cNvSpPr>
          <a:spLocks noChangeShapeType="1"/>
        </xdr:cNvSpPr>
      </xdr:nvSpPr>
      <xdr:spPr bwMode="auto">
        <a:xfrm>
          <a:off x="1927860" y="3771900"/>
          <a:ext cx="75438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601980</xdr:colOff>
      <xdr:row>20</xdr:row>
      <xdr:rowOff>114300</xdr:rowOff>
    </xdr:from>
    <xdr:to>
      <xdr:col>2</xdr:col>
      <xdr:colOff>53340</xdr:colOff>
      <xdr:row>21</xdr:row>
      <xdr:rowOff>38100</xdr:rowOff>
    </xdr:to>
    <xdr:sp macro="" textlink="_act16069">
      <xdr:nvSpPr>
        <xdr:cNvPr id="1168" name="TGPAGUAS"/>
        <xdr:cNvSpPr txBox="1">
          <a:spLocks noChangeArrowheads="1" noTextEdit="1"/>
        </xdr:cNvSpPr>
      </xdr:nvSpPr>
      <xdr:spPr bwMode="auto">
        <a:xfrm>
          <a:off x="2385060" y="4114800"/>
          <a:ext cx="36576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B636B1F-F468-4EA8-BE8F-2B43015B1C2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586740</xdr:colOff>
      <xdr:row>18</xdr:row>
      <xdr:rowOff>160020</xdr:rowOff>
    </xdr:from>
    <xdr:to>
      <xdr:col>2</xdr:col>
      <xdr:colOff>121920</xdr:colOff>
      <xdr:row>19</xdr:row>
      <xdr:rowOff>83820</xdr:rowOff>
    </xdr:to>
    <xdr:sp macro="" textlink="_sch16069">
      <xdr:nvSpPr>
        <xdr:cNvPr id="1169" name="TGPAGUAS"/>
        <xdr:cNvSpPr txBox="1">
          <a:spLocks noChangeArrowheads="1" noTextEdit="1"/>
        </xdr:cNvSpPr>
      </xdr:nvSpPr>
      <xdr:spPr bwMode="auto">
        <a:xfrm>
          <a:off x="2369820" y="3764280"/>
          <a:ext cx="44958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AD5C161-84CD-4E85-9111-CCEF50E924C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441960</xdr:colOff>
      <xdr:row>19</xdr:row>
      <xdr:rowOff>91440</xdr:rowOff>
    </xdr:from>
    <xdr:to>
      <xdr:col>2</xdr:col>
      <xdr:colOff>274320</xdr:colOff>
      <xdr:row>20</xdr:row>
      <xdr:rowOff>106680</xdr:rowOff>
    </xdr:to>
    <xdr:sp macro="[1]!siteclickloc" textlink="">
      <xdr:nvSpPr>
        <xdr:cNvPr id="1170" name="16069"/>
        <xdr:cNvSpPr>
          <a:spLocks noChangeArrowheads="1"/>
        </xdr:cNvSpPr>
      </xdr:nvSpPr>
      <xdr:spPr bwMode="auto">
        <a:xfrm>
          <a:off x="2225040" y="3893820"/>
          <a:ext cx="746760" cy="21336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Odem</a:t>
          </a:r>
        </a:p>
      </xdr:txBody>
    </xdr:sp>
    <xdr:clientData/>
  </xdr:twoCellAnchor>
  <xdr:twoCellAnchor editAs="absolute">
    <xdr:from>
      <xdr:col>2</xdr:col>
      <xdr:colOff>7620</xdr:colOff>
      <xdr:row>20</xdr:row>
      <xdr:rowOff>129540</xdr:rowOff>
    </xdr:from>
    <xdr:to>
      <xdr:col>2</xdr:col>
      <xdr:colOff>213360</xdr:colOff>
      <xdr:row>23</xdr:row>
      <xdr:rowOff>106680</xdr:rowOff>
    </xdr:to>
    <xdr:sp macro="" textlink="">
      <xdr:nvSpPr>
        <xdr:cNvPr id="1171" name="Line 147"/>
        <xdr:cNvSpPr>
          <a:spLocks noChangeShapeType="1"/>
        </xdr:cNvSpPr>
      </xdr:nvSpPr>
      <xdr:spPr bwMode="auto">
        <a:xfrm>
          <a:off x="2705100" y="4130040"/>
          <a:ext cx="205740"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121920</xdr:colOff>
      <xdr:row>18</xdr:row>
      <xdr:rowOff>68580</xdr:rowOff>
    </xdr:from>
    <xdr:to>
      <xdr:col>2</xdr:col>
      <xdr:colOff>579120</xdr:colOff>
      <xdr:row>19</xdr:row>
      <xdr:rowOff>30480</xdr:rowOff>
    </xdr:to>
    <xdr:sp macro="" textlink="actHPLGreg">
      <xdr:nvSpPr>
        <xdr:cNvPr id="1172" name="TGPAGUAS"/>
        <xdr:cNvSpPr txBox="1">
          <a:spLocks noChangeArrowheads="1" noTextEdit="1"/>
        </xdr:cNvSpPr>
      </xdr:nvSpPr>
      <xdr:spPr bwMode="auto">
        <a:xfrm>
          <a:off x="2819400" y="3672840"/>
          <a:ext cx="4572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6EC2DAE-71A7-4420-A698-CF7A99B73E1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121920</xdr:colOff>
      <xdr:row>16</xdr:row>
      <xdr:rowOff>114300</xdr:rowOff>
    </xdr:from>
    <xdr:to>
      <xdr:col>2</xdr:col>
      <xdr:colOff>571500</xdr:colOff>
      <xdr:row>17</xdr:row>
      <xdr:rowOff>68580</xdr:rowOff>
    </xdr:to>
    <xdr:sp macro="" textlink="schHPLGreg">
      <xdr:nvSpPr>
        <xdr:cNvPr id="1173" name="TGPAGUAS"/>
        <xdr:cNvSpPr txBox="1">
          <a:spLocks noChangeArrowheads="1" noTextEdit="1"/>
        </xdr:cNvSpPr>
      </xdr:nvSpPr>
      <xdr:spPr bwMode="auto">
        <a:xfrm>
          <a:off x="2819400" y="3322320"/>
          <a:ext cx="4495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DE4153B-CB4F-4BA9-8C2D-391A667410D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45720</xdr:colOff>
      <xdr:row>17</xdr:row>
      <xdr:rowOff>68580</xdr:rowOff>
    </xdr:from>
    <xdr:to>
      <xdr:col>3</xdr:col>
      <xdr:colOff>167640</xdr:colOff>
      <xdr:row>18</xdr:row>
      <xdr:rowOff>68580</xdr:rowOff>
    </xdr:to>
    <xdr:sp macro="[1]!siteclickloc" textlink="">
      <xdr:nvSpPr>
        <xdr:cNvPr id="1174" name="26191"/>
        <xdr:cNvSpPr>
          <a:spLocks noChangeArrowheads="1"/>
        </xdr:cNvSpPr>
      </xdr:nvSpPr>
      <xdr:spPr bwMode="auto">
        <a:xfrm>
          <a:off x="2743200" y="3474720"/>
          <a:ext cx="94488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Gregory</a:t>
          </a:r>
        </a:p>
      </xdr:txBody>
    </xdr:sp>
    <xdr:clientData/>
  </xdr:twoCellAnchor>
  <xdr:twoCellAnchor editAs="absolute">
    <xdr:from>
      <xdr:col>2</xdr:col>
      <xdr:colOff>609600</xdr:colOff>
      <xdr:row>18</xdr:row>
      <xdr:rowOff>106680</xdr:rowOff>
    </xdr:from>
    <xdr:to>
      <xdr:col>2</xdr:col>
      <xdr:colOff>655320</xdr:colOff>
      <xdr:row>22</xdr:row>
      <xdr:rowOff>15240</xdr:rowOff>
    </xdr:to>
    <xdr:sp macro="" textlink="">
      <xdr:nvSpPr>
        <xdr:cNvPr id="1175" name="Line 151"/>
        <xdr:cNvSpPr>
          <a:spLocks noChangeShapeType="1"/>
        </xdr:cNvSpPr>
      </xdr:nvSpPr>
      <xdr:spPr bwMode="auto">
        <a:xfrm>
          <a:off x="3307080" y="3710940"/>
          <a:ext cx="45720" cy="7010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723900</xdr:colOff>
      <xdr:row>15</xdr:row>
      <xdr:rowOff>160020</xdr:rowOff>
    </xdr:from>
    <xdr:to>
      <xdr:col>3</xdr:col>
      <xdr:colOff>274320</xdr:colOff>
      <xdr:row>16</xdr:row>
      <xdr:rowOff>121920</xdr:rowOff>
    </xdr:to>
    <xdr:sp macro="" textlink="_act16210">
      <xdr:nvSpPr>
        <xdr:cNvPr id="1176" name="TGPAGUAS"/>
        <xdr:cNvSpPr txBox="1">
          <a:spLocks noChangeArrowheads="1" noTextEdit="1"/>
        </xdr:cNvSpPr>
      </xdr:nvSpPr>
      <xdr:spPr bwMode="auto">
        <a:xfrm>
          <a:off x="3421380" y="3169920"/>
          <a:ext cx="37338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4EB6DF6-5ADD-41C2-A42E-BBFBCF293EC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723900</xdr:colOff>
      <xdr:row>14</xdr:row>
      <xdr:rowOff>30480</xdr:rowOff>
    </xdr:from>
    <xdr:to>
      <xdr:col>3</xdr:col>
      <xdr:colOff>274320</xdr:colOff>
      <xdr:row>14</xdr:row>
      <xdr:rowOff>167640</xdr:rowOff>
    </xdr:to>
    <xdr:sp macro="" textlink="_sch16210">
      <xdr:nvSpPr>
        <xdr:cNvPr id="1177" name="TGPAGUAS"/>
        <xdr:cNvSpPr txBox="1">
          <a:spLocks noChangeArrowheads="1" noTextEdit="1"/>
        </xdr:cNvSpPr>
      </xdr:nvSpPr>
      <xdr:spPr bwMode="auto">
        <a:xfrm>
          <a:off x="3421380" y="2842260"/>
          <a:ext cx="37338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38AD78A-424E-4A1B-9795-47177385AB0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533400</xdr:colOff>
      <xdr:row>14</xdr:row>
      <xdr:rowOff>160020</xdr:rowOff>
    </xdr:from>
    <xdr:to>
      <xdr:col>3</xdr:col>
      <xdr:colOff>815340</xdr:colOff>
      <xdr:row>15</xdr:row>
      <xdr:rowOff>160020</xdr:rowOff>
    </xdr:to>
    <xdr:sp macro="[1]!siteclickloc" textlink="">
      <xdr:nvSpPr>
        <xdr:cNvPr id="1178" name="16210"/>
        <xdr:cNvSpPr>
          <a:spLocks noChangeAspect="1" noChangeArrowheads="1"/>
        </xdr:cNvSpPr>
      </xdr:nvSpPr>
      <xdr:spPr bwMode="auto">
        <a:xfrm>
          <a:off x="3230880" y="2971800"/>
          <a:ext cx="11049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North N Tivoli</a:t>
          </a:r>
        </a:p>
      </xdr:txBody>
    </xdr:sp>
    <xdr:clientData/>
  </xdr:twoCellAnchor>
  <xdr:twoCellAnchor editAs="absolute">
    <xdr:from>
      <xdr:col>3</xdr:col>
      <xdr:colOff>533400</xdr:colOff>
      <xdr:row>15</xdr:row>
      <xdr:rowOff>167640</xdr:rowOff>
    </xdr:from>
    <xdr:to>
      <xdr:col>4</xdr:col>
      <xdr:colOff>91440</xdr:colOff>
      <xdr:row>18</xdr:row>
      <xdr:rowOff>7620</xdr:rowOff>
    </xdr:to>
    <xdr:sp macro="" textlink="">
      <xdr:nvSpPr>
        <xdr:cNvPr id="1179" name="Line 155"/>
        <xdr:cNvSpPr>
          <a:spLocks noChangeShapeType="1"/>
        </xdr:cNvSpPr>
      </xdr:nvSpPr>
      <xdr:spPr bwMode="auto">
        <a:xfrm>
          <a:off x="4053840" y="3177540"/>
          <a:ext cx="381000" cy="4343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38100</xdr:colOff>
      <xdr:row>11</xdr:row>
      <xdr:rowOff>152400</xdr:rowOff>
    </xdr:from>
    <xdr:to>
      <xdr:col>3</xdr:col>
      <xdr:colOff>373380</xdr:colOff>
      <xdr:row>12</xdr:row>
      <xdr:rowOff>121920</xdr:rowOff>
    </xdr:to>
    <xdr:sp macro="" textlink="_act26184">
      <xdr:nvSpPr>
        <xdr:cNvPr id="1180" name="TGPAGUAS"/>
        <xdr:cNvSpPr txBox="1">
          <a:spLocks noChangeArrowheads="1" noTextEdit="1"/>
        </xdr:cNvSpPr>
      </xdr:nvSpPr>
      <xdr:spPr bwMode="auto">
        <a:xfrm>
          <a:off x="3558540" y="2369820"/>
          <a:ext cx="3352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2D2F6022-93BC-4FB4-B8BE-355B0918A19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53340</xdr:colOff>
      <xdr:row>9</xdr:row>
      <xdr:rowOff>152400</xdr:rowOff>
    </xdr:from>
    <xdr:to>
      <xdr:col>3</xdr:col>
      <xdr:colOff>388620</xdr:colOff>
      <xdr:row>10</xdr:row>
      <xdr:rowOff>121920</xdr:rowOff>
    </xdr:to>
    <xdr:sp macro="" textlink="_sch26184">
      <xdr:nvSpPr>
        <xdr:cNvPr id="1181" name="TGPAGUAS"/>
        <xdr:cNvSpPr txBox="1">
          <a:spLocks noChangeArrowheads="1" noTextEdit="1"/>
        </xdr:cNvSpPr>
      </xdr:nvSpPr>
      <xdr:spPr bwMode="auto">
        <a:xfrm>
          <a:off x="3573780" y="1973580"/>
          <a:ext cx="3352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DEB9BE07-46B8-471C-ABFB-BBF9EF1E360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365760</xdr:colOff>
      <xdr:row>10</xdr:row>
      <xdr:rowOff>121920</xdr:rowOff>
    </xdr:from>
    <xdr:to>
      <xdr:col>4</xdr:col>
      <xdr:colOff>83820</xdr:colOff>
      <xdr:row>11</xdr:row>
      <xdr:rowOff>121920</xdr:rowOff>
    </xdr:to>
    <xdr:sp macro="[1]!siteclickloc" textlink="">
      <xdr:nvSpPr>
        <xdr:cNvPr id="1182" name="26184"/>
        <xdr:cNvSpPr>
          <a:spLocks noChangeArrowheads="1"/>
        </xdr:cNvSpPr>
      </xdr:nvSpPr>
      <xdr:spPr bwMode="auto">
        <a:xfrm>
          <a:off x="3063240" y="2141220"/>
          <a:ext cx="136398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Formosa Pt Comfort</a:t>
          </a:r>
        </a:p>
      </xdr:txBody>
    </xdr:sp>
    <xdr:clientData/>
  </xdr:twoCellAnchor>
  <xdr:twoCellAnchor editAs="absolute">
    <xdr:from>
      <xdr:col>3</xdr:col>
      <xdr:colOff>533400</xdr:colOff>
      <xdr:row>11</xdr:row>
      <xdr:rowOff>190500</xdr:rowOff>
    </xdr:from>
    <xdr:to>
      <xdr:col>4</xdr:col>
      <xdr:colOff>495300</xdr:colOff>
      <xdr:row>16</xdr:row>
      <xdr:rowOff>53340</xdr:rowOff>
    </xdr:to>
    <xdr:sp macro="" textlink="">
      <xdr:nvSpPr>
        <xdr:cNvPr id="1183" name="Line 159"/>
        <xdr:cNvSpPr>
          <a:spLocks noChangeShapeType="1"/>
        </xdr:cNvSpPr>
      </xdr:nvSpPr>
      <xdr:spPr bwMode="auto">
        <a:xfrm flipH="1" flipV="1">
          <a:off x="4053840" y="2407920"/>
          <a:ext cx="784860" cy="8534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457200</xdr:colOff>
      <xdr:row>13</xdr:row>
      <xdr:rowOff>30480</xdr:rowOff>
    </xdr:from>
    <xdr:to>
      <xdr:col>4</xdr:col>
      <xdr:colOff>792480</xdr:colOff>
      <xdr:row>14</xdr:row>
      <xdr:rowOff>0</xdr:rowOff>
    </xdr:to>
    <xdr:sp macro="" textlink="_act26073">
      <xdr:nvSpPr>
        <xdr:cNvPr id="1184" name="TGPAGUAS"/>
        <xdr:cNvSpPr txBox="1">
          <a:spLocks noChangeArrowheads="1" noTextEdit="1"/>
        </xdr:cNvSpPr>
      </xdr:nvSpPr>
      <xdr:spPr bwMode="auto">
        <a:xfrm>
          <a:off x="4800600" y="2644140"/>
          <a:ext cx="3352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A5AA6ACE-B8A9-46CA-80FA-C69E80FE1DC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457200</xdr:colOff>
      <xdr:row>11</xdr:row>
      <xdr:rowOff>68580</xdr:rowOff>
    </xdr:from>
    <xdr:to>
      <xdr:col>4</xdr:col>
      <xdr:colOff>815340</xdr:colOff>
      <xdr:row>12</xdr:row>
      <xdr:rowOff>38100</xdr:rowOff>
    </xdr:to>
    <xdr:sp macro="" textlink="_sch26073">
      <xdr:nvSpPr>
        <xdr:cNvPr id="1185" name="TGPAGUAS"/>
        <xdr:cNvSpPr txBox="1">
          <a:spLocks noChangeArrowheads="1" noTextEdit="1"/>
        </xdr:cNvSpPr>
      </xdr:nvSpPr>
      <xdr:spPr bwMode="auto">
        <a:xfrm>
          <a:off x="4800600" y="2286000"/>
          <a:ext cx="35814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4D5D7E3D-0450-4D4D-8FB4-1AD566A1481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137160</xdr:colOff>
      <xdr:row>12</xdr:row>
      <xdr:rowOff>7620</xdr:rowOff>
    </xdr:from>
    <xdr:to>
      <xdr:col>5</xdr:col>
      <xdr:colOff>403860</xdr:colOff>
      <xdr:row>13</xdr:row>
      <xdr:rowOff>0</xdr:rowOff>
    </xdr:to>
    <xdr:sp macro="[1]!siteclickloc" textlink="">
      <xdr:nvSpPr>
        <xdr:cNvPr id="1186" name="26073"/>
        <xdr:cNvSpPr>
          <a:spLocks noChangeArrowheads="1"/>
        </xdr:cNvSpPr>
      </xdr:nvSpPr>
      <xdr:spPr bwMode="auto">
        <a:xfrm>
          <a:off x="4480560" y="2423160"/>
          <a:ext cx="108966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HPLSwan Lake</a:t>
          </a:r>
        </a:p>
      </xdr:txBody>
    </xdr:sp>
    <xdr:clientData/>
  </xdr:twoCellAnchor>
  <xdr:twoCellAnchor editAs="absolute">
    <xdr:from>
      <xdr:col>4</xdr:col>
      <xdr:colOff>320040</xdr:colOff>
      <xdr:row>13</xdr:row>
      <xdr:rowOff>45720</xdr:rowOff>
    </xdr:from>
    <xdr:to>
      <xdr:col>4</xdr:col>
      <xdr:colOff>769620</xdr:colOff>
      <xdr:row>15</xdr:row>
      <xdr:rowOff>167640</xdr:rowOff>
    </xdr:to>
    <xdr:sp macro="" textlink="">
      <xdr:nvSpPr>
        <xdr:cNvPr id="1187" name="Line 163"/>
        <xdr:cNvSpPr>
          <a:spLocks noChangeShapeType="1"/>
        </xdr:cNvSpPr>
      </xdr:nvSpPr>
      <xdr:spPr bwMode="auto">
        <a:xfrm flipH="1" flipV="1">
          <a:off x="4663440" y="2659380"/>
          <a:ext cx="449580" cy="5181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464820</xdr:colOff>
      <xdr:row>11</xdr:row>
      <xdr:rowOff>160020</xdr:rowOff>
    </xdr:from>
    <xdr:to>
      <xdr:col>6</xdr:col>
      <xdr:colOff>68580</xdr:colOff>
      <xdr:row>12</xdr:row>
      <xdr:rowOff>121920</xdr:rowOff>
    </xdr:to>
    <xdr:sp macro="" textlink="_act16273">
      <xdr:nvSpPr>
        <xdr:cNvPr id="1188" name="Text 30"/>
        <xdr:cNvSpPr txBox="1">
          <a:spLocks noChangeArrowheads="1" noTextEdit="1"/>
        </xdr:cNvSpPr>
      </xdr:nvSpPr>
      <xdr:spPr bwMode="auto">
        <a:xfrm flipV="1">
          <a:off x="5631180" y="237744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A8C80EF-0E7C-444E-A7FE-81D130B0326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464820</xdr:colOff>
      <xdr:row>9</xdr:row>
      <xdr:rowOff>182880</xdr:rowOff>
    </xdr:from>
    <xdr:to>
      <xdr:col>6</xdr:col>
      <xdr:colOff>68580</xdr:colOff>
      <xdr:row>10</xdr:row>
      <xdr:rowOff>121920</xdr:rowOff>
    </xdr:to>
    <xdr:sp macro="" textlink="_sch16273">
      <xdr:nvSpPr>
        <xdr:cNvPr id="1189" name="Text 30"/>
        <xdr:cNvSpPr txBox="1">
          <a:spLocks noChangeArrowheads="1" noTextEdit="1"/>
        </xdr:cNvSpPr>
      </xdr:nvSpPr>
      <xdr:spPr bwMode="auto">
        <a:xfrm flipV="1">
          <a:off x="5631180" y="2004060"/>
          <a:ext cx="42672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54016AA-DBB3-44EC-9A46-AEF0B3E8B46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121920</xdr:colOff>
      <xdr:row>10</xdr:row>
      <xdr:rowOff>129540</xdr:rowOff>
    </xdr:from>
    <xdr:to>
      <xdr:col>6</xdr:col>
      <xdr:colOff>312420</xdr:colOff>
      <xdr:row>11</xdr:row>
      <xdr:rowOff>160020</xdr:rowOff>
    </xdr:to>
    <xdr:sp macro="[1]!siteclickloc" textlink="">
      <xdr:nvSpPr>
        <xdr:cNvPr id="1190" name="16273"/>
        <xdr:cNvSpPr>
          <a:spLocks noChangeArrowheads="1"/>
        </xdr:cNvSpPr>
      </xdr:nvSpPr>
      <xdr:spPr bwMode="auto">
        <a:xfrm>
          <a:off x="5288280" y="2148840"/>
          <a:ext cx="101346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Manville</a:t>
          </a:r>
        </a:p>
      </xdr:txBody>
    </xdr:sp>
    <xdr:clientData/>
  </xdr:twoCellAnchor>
  <xdr:twoCellAnchor editAs="absolute">
    <xdr:from>
      <xdr:col>6</xdr:col>
      <xdr:colOff>327660</xdr:colOff>
      <xdr:row>10</xdr:row>
      <xdr:rowOff>45720</xdr:rowOff>
    </xdr:from>
    <xdr:to>
      <xdr:col>7</xdr:col>
      <xdr:colOff>53340</xdr:colOff>
      <xdr:row>10</xdr:row>
      <xdr:rowOff>182880</xdr:rowOff>
    </xdr:to>
    <xdr:sp macro="" textlink="">
      <xdr:nvSpPr>
        <xdr:cNvPr id="1191" name="Line 167"/>
        <xdr:cNvSpPr>
          <a:spLocks noChangeShapeType="1"/>
        </xdr:cNvSpPr>
      </xdr:nvSpPr>
      <xdr:spPr bwMode="auto">
        <a:xfrm flipV="1">
          <a:off x="6316980" y="2065020"/>
          <a:ext cx="548640" cy="1371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769620</xdr:colOff>
      <xdr:row>13</xdr:row>
      <xdr:rowOff>167640</xdr:rowOff>
    </xdr:from>
    <xdr:to>
      <xdr:col>7</xdr:col>
      <xdr:colOff>411480</xdr:colOff>
      <xdr:row>14</xdr:row>
      <xdr:rowOff>160020</xdr:rowOff>
    </xdr:to>
    <xdr:sp macro="" textlink="_act26160">
      <xdr:nvSpPr>
        <xdr:cNvPr id="1192" name="Text 30"/>
        <xdr:cNvSpPr txBox="1">
          <a:spLocks noChangeArrowheads="1" noTextEdit="1"/>
        </xdr:cNvSpPr>
      </xdr:nvSpPr>
      <xdr:spPr bwMode="auto">
        <a:xfrm flipV="1">
          <a:off x="6758940" y="2781300"/>
          <a:ext cx="46482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E445D21-A693-4751-9CA2-85CCFED7418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723900</xdr:colOff>
      <xdr:row>12</xdr:row>
      <xdr:rowOff>160020</xdr:rowOff>
    </xdr:from>
    <xdr:to>
      <xdr:col>7</xdr:col>
      <xdr:colOff>769620</xdr:colOff>
      <xdr:row>13</xdr:row>
      <xdr:rowOff>167640</xdr:rowOff>
    </xdr:to>
    <xdr:sp macro="[1]!siteclickloc" textlink="">
      <xdr:nvSpPr>
        <xdr:cNvPr id="1193" name="26160"/>
        <xdr:cNvSpPr>
          <a:spLocks noChangeArrowheads="1"/>
        </xdr:cNvSpPr>
      </xdr:nvSpPr>
      <xdr:spPr bwMode="auto">
        <a:xfrm>
          <a:off x="6713220" y="2575560"/>
          <a:ext cx="86868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Pledger</a:t>
          </a:r>
        </a:p>
      </xdr:txBody>
    </xdr:sp>
    <xdr:clientData/>
  </xdr:twoCellAnchor>
  <xdr:twoCellAnchor editAs="absolute">
    <xdr:from>
      <xdr:col>6</xdr:col>
      <xdr:colOff>0</xdr:colOff>
      <xdr:row>8</xdr:row>
      <xdr:rowOff>160020</xdr:rowOff>
    </xdr:from>
    <xdr:to>
      <xdr:col>7</xdr:col>
      <xdr:colOff>38100</xdr:colOff>
      <xdr:row>9</xdr:row>
      <xdr:rowOff>160020</xdr:rowOff>
    </xdr:to>
    <xdr:sp macro="" textlink="">
      <xdr:nvSpPr>
        <xdr:cNvPr id="1194" name="julbypass2"/>
        <xdr:cNvSpPr>
          <a:spLocks noChangeShapeType="1"/>
        </xdr:cNvSpPr>
      </xdr:nvSpPr>
      <xdr:spPr bwMode="auto">
        <a:xfrm>
          <a:off x="5989320" y="1775460"/>
          <a:ext cx="861060" cy="20574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495300</xdr:colOff>
      <xdr:row>11</xdr:row>
      <xdr:rowOff>167640</xdr:rowOff>
    </xdr:from>
    <xdr:to>
      <xdr:col>8</xdr:col>
      <xdr:colOff>91440</xdr:colOff>
      <xdr:row>12</xdr:row>
      <xdr:rowOff>121920</xdr:rowOff>
    </xdr:to>
    <xdr:sp macro="" textlink="_act16296">
      <xdr:nvSpPr>
        <xdr:cNvPr id="1195" name="Text 30"/>
        <xdr:cNvSpPr txBox="1">
          <a:spLocks noChangeArrowheads="1" noTextEdit="1"/>
        </xdr:cNvSpPr>
      </xdr:nvSpPr>
      <xdr:spPr bwMode="auto">
        <a:xfrm flipV="1">
          <a:off x="7307580" y="2385060"/>
          <a:ext cx="4191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1C58472-2965-4667-8121-DEF1BD7EC71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457200</xdr:colOff>
      <xdr:row>10</xdr:row>
      <xdr:rowOff>15240</xdr:rowOff>
    </xdr:from>
    <xdr:to>
      <xdr:col>8</xdr:col>
      <xdr:colOff>53340</xdr:colOff>
      <xdr:row>10</xdr:row>
      <xdr:rowOff>167640</xdr:rowOff>
    </xdr:to>
    <xdr:sp macro="" textlink="_sch16296">
      <xdr:nvSpPr>
        <xdr:cNvPr id="1196" name="Text 30"/>
        <xdr:cNvSpPr txBox="1">
          <a:spLocks noChangeArrowheads="1" noTextEdit="1"/>
        </xdr:cNvSpPr>
      </xdr:nvSpPr>
      <xdr:spPr bwMode="auto">
        <a:xfrm flipV="1">
          <a:off x="7269480" y="2034540"/>
          <a:ext cx="4191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D5BCDF3-177E-45F2-A811-CC3A377228A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373380</xdr:colOff>
      <xdr:row>10</xdr:row>
      <xdr:rowOff>160020</xdr:rowOff>
    </xdr:from>
    <xdr:to>
      <xdr:col>8</xdr:col>
      <xdr:colOff>464820</xdr:colOff>
      <xdr:row>11</xdr:row>
      <xdr:rowOff>160020</xdr:rowOff>
    </xdr:to>
    <xdr:sp macro="[1]!siteclickloc" textlink="">
      <xdr:nvSpPr>
        <xdr:cNvPr id="1197" name="16296"/>
        <xdr:cNvSpPr>
          <a:spLocks noChangeArrowheads="1"/>
        </xdr:cNvSpPr>
      </xdr:nvSpPr>
      <xdr:spPr bwMode="auto">
        <a:xfrm>
          <a:off x="7185660" y="2179320"/>
          <a:ext cx="9144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Hastings</a:t>
          </a:r>
        </a:p>
      </xdr:txBody>
    </xdr:sp>
    <xdr:clientData/>
  </xdr:twoCellAnchor>
  <xdr:twoCellAnchor editAs="absolute">
    <xdr:from>
      <xdr:col>7</xdr:col>
      <xdr:colOff>403860</xdr:colOff>
      <xdr:row>9</xdr:row>
      <xdr:rowOff>121920</xdr:rowOff>
    </xdr:from>
    <xdr:to>
      <xdr:col>7</xdr:col>
      <xdr:colOff>457200</xdr:colOff>
      <xdr:row>10</xdr:row>
      <xdr:rowOff>160020</xdr:rowOff>
    </xdr:to>
    <xdr:sp macro="" textlink="">
      <xdr:nvSpPr>
        <xdr:cNvPr id="1198" name="Line 174"/>
        <xdr:cNvSpPr>
          <a:spLocks noChangeShapeType="1"/>
        </xdr:cNvSpPr>
      </xdr:nvSpPr>
      <xdr:spPr bwMode="auto">
        <a:xfrm flipH="1" flipV="1">
          <a:off x="7216140" y="1943100"/>
          <a:ext cx="53340" cy="2362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518160</xdr:colOff>
      <xdr:row>7</xdr:row>
      <xdr:rowOff>38100</xdr:rowOff>
    </xdr:from>
    <xdr:to>
      <xdr:col>7</xdr:col>
      <xdr:colOff>137160</xdr:colOff>
      <xdr:row>7</xdr:row>
      <xdr:rowOff>190500</xdr:rowOff>
    </xdr:to>
    <xdr:sp macro="" textlink="_act26018">
      <xdr:nvSpPr>
        <xdr:cNvPr id="1199" name="Text 30"/>
        <xdr:cNvSpPr txBox="1">
          <a:spLocks noChangeArrowheads="1" noTextEdit="1"/>
        </xdr:cNvSpPr>
      </xdr:nvSpPr>
      <xdr:spPr bwMode="auto">
        <a:xfrm flipV="1">
          <a:off x="6507480" y="1447800"/>
          <a:ext cx="44196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87187EB-7AFC-4324-8EF3-199652707DC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518160</xdr:colOff>
      <xdr:row>5</xdr:row>
      <xdr:rowOff>76200</xdr:rowOff>
    </xdr:from>
    <xdr:to>
      <xdr:col>7</xdr:col>
      <xdr:colOff>137160</xdr:colOff>
      <xdr:row>6</xdr:row>
      <xdr:rowOff>15240</xdr:rowOff>
    </xdr:to>
    <xdr:sp macro="" textlink="_sch26018">
      <xdr:nvSpPr>
        <xdr:cNvPr id="1200" name="Text 30"/>
        <xdr:cNvSpPr txBox="1">
          <a:spLocks noChangeArrowheads="1" noTextEdit="1"/>
        </xdr:cNvSpPr>
      </xdr:nvSpPr>
      <xdr:spPr bwMode="auto">
        <a:xfrm flipV="1">
          <a:off x="6507480" y="1089660"/>
          <a:ext cx="44196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C132060-0D05-43A7-ABC2-4102E5BE3CD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312420</xdr:colOff>
      <xdr:row>6</xdr:row>
      <xdr:rowOff>30480</xdr:rowOff>
    </xdr:from>
    <xdr:to>
      <xdr:col>7</xdr:col>
      <xdr:colOff>449580</xdr:colOff>
      <xdr:row>7</xdr:row>
      <xdr:rowOff>30480</xdr:rowOff>
    </xdr:to>
    <xdr:sp macro="[1]!siteclickloc" textlink="">
      <xdr:nvSpPr>
        <xdr:cNvPr id="1201" name="26018"/>
        <xdr:cNvSpPr>
          <a:spLocks noChangeArrowheads="1"/>
        </xdr:cNvSpPr>
      </xdr:nvSpPr>
      <xdr:spPr bwMode="auto">
        <a:xfrm>
          <a:off x="6301740" y="1242060"/>
          <a:ext cx="96012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Pearland</a:t>
          </a:r>
        </a:p>
      </xdr:txBody>
    </xdr:sp>
    <xdr:clientData/>
  </xdr:twoCellAnchor>
  <xdr:twoCellAnchor editAs="absolute">
    <xdr:from>
      <xdr:col>7</xdr:col>
      <xdr:colOff>213360</xdr:colOff>
      <xdr:row>7</xdr:row>
      <xdr:rowOff>68580</xdr:rowOff>
    </xdr:from>
    <xdr:to>
      <xdr:col>7</xdr:col>
      <xdr:colOff>274320</xdr:colOff>
      <xdr:row>9</xdr:row>
      <xdr:rowOff>121920</xdr:rowOff>
    </xdr:to>
    <xdr:sp macro="" textlink="">
      <xdr:nvSpPr>
        <xdr:cNvPr id="1202" name="Line 178"/>
        <xdr:cNvSpPr>
          <a:spLocks noChangeShapeType="1"/>
        </xdr:cNvSpPr>
      </xdr:nvSpPr>
      <xdr:spPr bwMode="auto">
        <a:xfrm flipH="1" flipV="1">
          <a:off x="7025640" y="1478280"/>
          <a:ext cx="60960" cy="4648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91440</xdr:colOff>
      <xdr:row>12</xdr:row>
      <xdr:rowOff>106680</xdr:rowOff>
    </xdr:from>
    <xdr:to>
      <xdr:col>9</xdr:col>
      <xdr:colOff>548640</xdr:colOff>
      <xdr:row>13</xdr:row>
      <xdr:rowOff>83820</xdr:rowOff>
    </xdr:to>
    <xdr:sp macro="" textlink="_act16058">
      <xdr:nvSpPr>
        <xdr:cNvPr id="1203" name="Text 30"/>
        <xdr:cNvSpPr txBox="1">
          <a:spLocks noChangeArrowheads="1" noTextEdit="1"/>
        </xdr:cNvSpPr>
      </xdr:nvSpPr>
      <xdr:spPr bwMode="auto">
        <a:xfrm flipV="1">
          <a:off x="8549640" y="2522220"/>
          <a:ext cx="45720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EEC88D4-2035-4CF6-9DD4-CA5D0C5CF03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91440</xdr:colOff>
      <xdr:row>10</xdr:row>
      <xdr:rowOff>144780</xdr:rowOff>
    </xdr:from>
    <xdr:to>
      <xdr:col>9</xdr:col>
      <xdr:colOff>502920</xdr:colOff>
      <xdr:row>11</xdr:row>
      <xdr:rowOff>129540</xdr:rowOff>
    </xdr:to>
    <xdr:sp macro="" textlink="_sch16058">
      <xdr:nvSpPr>
        <xdr:cNvPr id="1204" name="Text 30"/>
        <xdr:cNvSpPr txBox="1">
          <a:spLocks noChangeArrowheads="1" noTextEdit="1"/>
        </xdr:cNvSpPr>
      </xdr:nvSpPr>
      <xdr:spPr bwMode="auto">
        <a:xfrm flipV="1">
          <a:off x="8549640" y="2164080"/>
          <a:ext cx="41148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BAFAE91-9A69-4F77-9C27-467D9DCCE8A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769620</xdr:colOff>
      <xdr:row>11</xdr:row>
      <xdr:rowOff>91440</xdr:rowOff>
    </xdr:from>
    <xdr:to>
      <xdr:col>10</xdr:col>
      <xdr:colOff>121920</xdr:colOff>
      <xdr:row>12</xdr:row>
      <xdr:rowOff>83820</xdr:rowOff>
    </xdr:to>
    <xdr:sp macro="[1]!siteclickloc" textlink="">
      <xdr:nvSpPr>
        <xdr:cNvPr id="1205" name="16058"/>
        <xdr:cNvSpPr>
          <a:spLocks noChangeArrowheads="1"/>
        </xdr:cNvSpPr>
      </xdr:nvSpPr>
      <xdr:spPr bwMode="auto">
        <a:xfrm>
          <a:off x="8404860" y="2308860"/>
          <a:ext cx="99822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Exx Clearlake</a:t>
          </a:r>
        </a:p>
      </xdr:txBody>
    </xdr:sp>
    <xdr:clientData/>
  </xdr:twoCellAnchor>
  <xdr:twoCellAnchor editAs="absolute">
    <xdr:from>
      <xdr:col>7</xdr:col>
      <xdr:colOff>784860</xdr:colOff>
      <xdr:row>8</xdr:row>
      <xdr:rowOff>83820</xdr:rowOff>
    </xdr:from>
    <xdr:to>
      <xdr:col>9</xdr:col>
      <xdr:colOff>0</xdr:colOff>
      <xdr:row>11</xdr:row>
      <xdr:rowOff>91440</xdr:rowOff>
    </xdr:to>
    <xdr:sp macro="" textlink="">
      <xdr:nvSpPr>
        <xdr:cNvPr id="1206" name="Line 182"/>
        <xdr:cNvSpPr>
          <a:spLocks noChangeShapeType="1"/>
        </xdr:cNvSpPr>
      </xdr:nvSpPr>
      <xdr:spPr bwMode="auto">
        <a:xfrm>
          <a:off x="7597140" y="1699260"/>
          <a:ext cx="861060"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editAs="absolute">
    <xdr:from>
      <xdr:col>10</xdr:col>
      <xdr:colOff>327660</xdr:colOff>
      <xdr:row>10</xdr:row>
      <xdr:rowOff>114300</xdr:rowOff>
    </xdr:from>
    <xdr:to>
      <xdr:col>10</xdr:col>
      <xdr:colOff>708660</xdr:colOff>
      <xdr:row>11</xdr:row>
      <xdr:rowOff>68580</xdr:rowOff>
    </xdr:to>
    <xdr:sp macro="" textlink="_act16355">
      <xdr:nvSpPr>
        <xdr:cNvPr id="1207" name="Text 30"/>
        <xdr:cNvSpPr txBox="1">
          <a:spLocks noChangeArrowheads="1" noTextEdit="1"/>
        </xdr:cNvSpPr>
      </xdr:nvSpPr>
      <xdr:spPr bwMode="auto">
        <a:xfrm flipV="1">
          <a:off x="9608820" y="213360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25E3711-8882-4951-BEC6-9BD824CE259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312420</xdr:colOff>
      <xdr:row>8</xdr:row>
      <xdr:rowOff>160020</xdr:rowOff>
    </xdr:from>
    <xdr:to>
      <xdr:col>10</xdr:col>
      <xdr:colOff>701040</xdr:colOff>
      <xdr:row>9</xdr:row>
      <xdr:rowOff>129540</xdr:rowOff>
    </xdr:to>
    <xdr:sp macro="" textlink="_sch16355">
      <xdr:nvSpPr>
        <xdr:cNvPr id="1208" name="Text 30"/>
        <xdr:cNvSpPr txBox="1">
          <a:spLocks noChangeArrowheads="1" noTextEdit="1"/>
        </xdr:cNvSpPr>
      </xdr:nvSpPr>
      <xdr:spPr bwMode="auto">
        <a:xfrm flipV="1">
          <a:off x="9593580" y="1775460"/>
          <a:ext cx="38862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B4D45B4-D18C-4B61-9B5A-D4A0D4FF246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167640</xdr:colOff>
      <xdr:row>9</xdr:row>
      <xdr:rowOff>106680</xdr:rowOff>
    </xdr:from>
    <xdr:to>
      <xdr:col>11</xdr:col>
      <xdr:colOff>495300</xdr:colOff>
      <xdr:row>10</xdr:row>
      <xdr:rowOff>106680</xdr:rowOff>
    </xdr:to>
    <xdr:sp macro="[1]!siteclickloc" textlink="">
      <xdr:nvSpPr>
        <xdr:cNvPr id="1209" name="16355"/>
        <xdr:cNvSpPr>
          <a:spLocks noChangeArrowheads="1"/>
        </xdr:cNvSpPr>
      </xdr:nvSpPr>
      <xdr:spPr bwMode="auto">
        <a:xfrm>
          <a:off x="9448800" y="1927860"/>
          <a:ext cx="115062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Vintage Baytown</a:t>
          </a:r>
        </a:p>
      </xdr:txBody>
    </xdr:sp>
    <xdr:clientData/>
  </xdr:twoCellAnchor>
  <xdr:twoCellAnchor editAs="absolute">
    <xdr:from>
      <xdr:col>8</xdr:col>
      <xdr:colOff>320040</xdr:colOff>
      <xdr:row>7</xdr:row>
      <xdr:rowOff>106680</xdr:rowOff>
    </xdr:from>
    <xdr:to>
      <xdr:col>10</xdr:col>
      <xdr:colOff>152400</xdr:colOff>
      <xdr:row>9</xdr:row>
      <xdr:rowOff>167640</xdr:rowOff>
    </xdr:to>
    <xdr:sp macro="" textlink="">
      <xdr:nvSpPr>
        <xdr:cNvPr id="1210" name="Line 186"/>
        <xdr:cNvSpPr>
          <a:spLocks noChangeShapeType="1"/>
        </xdr:cNvSpPr>
      </xdr:nvSpPr>
      <xdr:spPr bwMode="auto">
        <a:xfrm flipH="1" flipV="1">
          <a:off x="7955280" y="1516380"/>
          <a:ext cx="1478280" cy="4724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571500</xdr:colOff>
      <xdr:row>5</xdr:row>
      <xdr:rowOff>83820</xdr:rowOff>
    </xdr:from>
    <xdr:to>
      <xdr:col>8</xdr:col>
      <xdr:colOff>198120</xdr:colOff>
      <xdr:row>6</xdr:row>
      <xdr:rowOff>30480</xdr:rowOff>
    </xdr:to>
    <xdr:sp macro="" textlink="actcedar">
      <xdr:nvSpPr>
        <xdr:cNvPr id="1211" name="Text 30"/>
        <xdr:cNvSpPr txBox="1">
          <a:spLocks noChangeArrowheads="1" noTextEdit="1"/>
        </xdr:cNvSpPr>
      </xdr:nvSpPr>
      <xdr:spPr bwMode="auto">
        <a:xfrm flipV="1">
          <a:off x="7383780" y="1097280"/>
          <a:ext cx="44958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ADE425B-0446-4697-A8D1-A514ED68706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327660</xdr:colOff>
      <xdr:row>5</xdr:row>
      <xdr:rowOff>129540</xdr:rowOff>
    </xdr:from>
    <xdr:to>
      <xdr:col>8</xdr:col>
      <xdr:colOff>327660</xdr:colOff>
      <xdr:row>6</xdr:row>
      <xdr:rowOff>144780</xdr:rowOff>
    </xdr:to>
    <xdr:sp macro="" textlink="">
      <xdr:nvSpPr>
        <xdr:cNvPr id="1212" name="Line 188"/>
        <xdr:cNvSpPr>
          <a:spLocks noChangeShapeType="1"/>
        </xdr:cNvSpPr>
      </xdr:nvSpPr>
      <xdr:spPr bwMode="auto">
        <a:xfrm flipV="1">
          <a:off x="7962900" y="1143000"/>
          <a:ext cx="0" cy="2133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579120</xdr:colOff>
      <xdr:row>8</xdr:row>
      <xdr:rowOff>137160</xdr:rowOff>
    </xdr:from>
    <xdr:to>
      <xdr:col>10</xdr:col>
      <xdr:colOff>243840</xdr:colOff>
      <xdr:row>9</xdr:row>
      <xdr:rowOff>83820</xdr:rowOff>
    </xdr:to>
    <xdr:sp macro="" textlink="_act26026">
      <xdr:nvSpPr>
        <xdr:cNvPr id="1213" name="Text 30"/>
        <xdr:cNvSpPr txBox="1">
          <a:spLocks noChangeArrowheads="1" noTextEdit="1"/>
        </xdr:cNvSpPr>
      </xdr:nvSpPr>
      <xdr:spPr bwMode="auto">
        <a:xfrm flipV="1">
          <a:off x="9037320" y="1752600"/>
          <a:ext cx="48768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42D74BA-CBB9-4527-A510-A12CC3208A7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579120</xdr:colOff>
      <xdr:row>6</xdr:row>
      <xdr:rowOff>160020</xdr:rowOff>
    </xdr:from>
    <xdr:to>
      <xdr:col>10</xdr:col>
      <xdr:colOff>228600</xdr:colOff>
      <xdr:row>7</xdr:row>
      <xdr:rowOff>114300</xdr:rowOff>
    </xdr:to>
    <xdr:sp macro="" textlink="_sch26026">
      <xdr:nvSpPr>
        <xdr:cNvPr id="1214" name="Text 30"/>
        <xdr:cNvSpPr txBox="1">
          <a:spLocks noChangeArrowheads="1" noTextEdit="1"/>
        </xdr:cNvSpPr>
      </xdr:nvSpPr>
      <xdr:spPr bwMode="auto">
        <a:xfrm flipV="1">
          <a:off x="9037320" y="1371600"/>
          <a:ext cx="47244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38F07FC-47E1-4952-9A5D-B56CFF94817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464820</xdr:colOff>
      <xdr:row>7</xdr:row>
      <xdr:rowOff>121920</xdr:rowOff>
    </xdr:from>
    <xdr:to>
      <xdr:col>10</xdr:col>
      <xdr:colOff>533400</xdr:colOff>
      <xdr:row>8</xdr:row>
      <xdr:rowOff>121920</xdr:rowOff>
    </xdr:to>
    <xdr:sp macro="[1]!siteclickloc" textlink="">
      <xdr:nvSpPr>
        <xdr:cNvPr id="1215" name="26026"/>
        <xdr:cNvSpPr>
          <a:spLocks noChangeArrowheads="1"/>
        </xdr:cNvSpPr>
      </xdr:nvSpPr>
      <xdr:spPr bwMode="auto">
        <a:xfrm>
          <a:off x="8923020" y="1531620"/>
          <a:ext cx="89154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Warren</a:t>
          </a:r>
        </a:p>
      </xdr:txBody>
    </xdr:sp>
    <xdr:clientData/>
  </xdr:twoCellAnchor>
  <xdr:twoCellAnchor editAs="absolute">
    <xdr:from>
      <xdr:col>8</xdr:col>
      <xdr:colOff>624840</xdr:colOff>
      <xdr:row>6</xdr:row>
      <xdr:rowOff>83820</xdr:rowOff>
    </xdr:from>
    <xdr:to>
      <xdr:col>9</xdr:col>
      <xdr:colOff>464820</xdr:colOff>
      <xdr:row>7</xdr:row>
      <xdr:rowOff>160020</xdr:rowOff>
    </xdr:to>
    <xdr:sp macro="" textlink="">
      <xdr:nvSpPr>
        <xdr:cNvPr id="1216" name="Line 192"/>
        <xdr:cNvSpPr>
          <a:spLocks noChangeShapeType="1"/>
        </xdr:cNvSpPr>
      </xdr:nvSpPr>
      <xdr:spPr bwMode="auto">
        <a:xfrm>
          <a:off x="8260080" y="1295400"/>
          <a:ext cx="662940" cy="2743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662940</xdr:colOff>
      <xdr:row>2</xdr:row>
      <xdr:rowOff>190500</xdr:rowOff>
    </xdr:from>
    <xdr:to>
      <xdr:col>9</xdr:col>
      <xdr:colOff>274320</xdr:colOff>
      <xdr:row>3</xdr:row>
      <xdr:rowOff>129540</xdr:rowOff>
    </xdr:to>
    <xdr:sp macro="" textlink="_act16168">
      <xdr:nvSpPr>
        <xdr:cNvPr id="1217" name="Text 30"/>
        <xdr:cNvSpPr txBox="1">
          <a:spLocks noChangeArrowheads="1" noTextEdit="1"/>
        </xdr:cNvSpPr>
      </xdr:nvSpPr>
      <xdr:spPr bwMode="auto">
        <a:xfrm flipV="1">
          <a:off x="8298180" y="594360"/>
          <a:ext cx="43434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CC14C72-96E2-4180-B022-FFD554EABA1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655320</xdr:colOff>
      <xdr:row>1</xdr:row>
      <xdr:rowOff>30480</xdr:rowOff>
    </xdr:from>
    <xdr:to>
      <xdr:col>9</xdr:col>
      <xdr:colOff>274320</xdr:colOff>
      <xdr:row>2</xdr:row>
      <xdr:rowOff>0</xdr:rowOff>
    </xdr:to>
    <xdr:sp macro="" textlink="_sch16168">
      <xdr:nvSpPr>
        <xdr:cNvPr id="1218" name="Text 30"/>
        <xdr:cNvSpPr txBox="1">
          <a:spLocks noChangeArrowheads="1" noTextEdit="1"/>
        </xdr:cNvSpPr>
      </xdr:nvSpPr>
      <xdr:spPr bwMode="auto">
        <a:xfrm flipV="1">
          <a:off x="8290560" y="228600"/>
          <a:ext cx="44196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5F67B96-0B89-42AE-951B-948CF13D064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533400</xdr:colOff>
      <xdr:row>1</xdr:row>
      <xdr:rowOff>175260</xdr:rowOff>
    </xdr:from>
    <xdr:to>
      <xdr:col>9</xdr:col>
      <xdr:colOff>739140</xdr:colOff>
      <xdr:row>2</xdr:row>
      <xdr:rowOff>182880</xdr:rowOff>
    </xdr:to>
    <xdr:sp macro="[1]!siteclickloc" textlink="">
      <xdr:nvSpPr>
        <xdr:cNvPr id="1219" name="16168"/>
        <xdr:cNvSpPr>
          <a:spLocks noChangeArrowheads="1"/>
        </xdr:cNvSpPr>
      </xdr:nvSpPr>
      <xdr:spPr bwMode="auto">
        <a:xfrm>
          <a:off x="8168640" y="373380"/>
          <a:ext cx="1028700" cy="21336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Midcon Devers</a:t>
          </a:r>
        </a:p>
      </xdr:txBody>
    </xdr:sp>
    <xdr:clientData/>
  </xdr:twoCellAnchor>
  <xdr:twoCellAnchor editAs="absolute">
    <xdr:from>
      <xdr:col>9</xdr:col>
      <xdr:colOff>259080</xdr:colOff>
      <xdr:row>3</xdr:row>
      <xdr:rowOff>30480</xdr:rowOff>
    </xdr:from>
    <xdr:to>
      <xdr:col>9</xdr:col>
      <xdr:colOff>312420</xdr:colOff>
      <xdr:row>3</xdr:row>
      <xdr:rowOff>190500</xdr:rowOff>
    </xdr:to>
    <xdr:sp macro="" textlink="">
      <xdr:nvSpPr>
        <xdr:cNvPr id="1220" name="Line 196"/>
        <xdr:cNvSpPr>
          <a:spLocks noChangeShapeType="1"/>
        </xdr:cNvSpPr>
      </xdr:nvSpPr>
      <xdr:spPr bwMode="auto">
        <a:xfrm>
          <a:off x="8717280" y="632460"/>
          <a:ext cx="53340" cy="1600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7620</xdr:colOff>
      <xdr:row>8</xdr:row>
      <xdr:rowOff>91440</xdr:rowOff>
    </xdr:from>
    <xdr:to>
      <xdr:col>11</xdr:col>
      <xdr:colOff>495300</xdr:colOff>
      <xdr:row>9</xdr:row>
      <xdr:rowOff>83820</xdr:rowOff>
    </xdr:to>
    <xdr:sp macro="" textlink="_act26021">
      <xdr:nvSpPr>
        <xdr:cNvPr id="1221" name="Text 30"/>
        <xdr:cNvSpPr txBox="1">
          <a:spLocks noChangeArrowheads="1" noTextEdit="1"/>
        </xdr:cNvSpPr>
      </xdr:nvSpPr>
      <xdr:spPr bwMode="auto">
        <a:xfrm flipV="1">
          <a:off x="10111740" y="1706880"/>
          <a:ext cx="487680" cy="1981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9146882-3A2D-44AD-8DED-A424057EF8E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739140</xdr:colOff>
      <xdr:row>7</xdr:row>
      <xdr:rowOff>106680</xdr:rowOff>
    </xdr:from>
    <xdr:to>
      <xdr:col>12</xdr:col>
      <xdr:colOff>53340</xdr:colOff>
      <xdr:row>8</xdr:row>
      <xdr:rowOff>106680</xdr:rowOff>
    </xdr:to>
    <xdr:sp macro="[1]!siteclickloc" textlink="">
      <xdr:nvSpPr>
        <xdr:cNvPr id="1222" name="26021"/>
        <xdr:cNvSpPr>
          <a:spLocks noChangeArrowheads="1"/>
        </xdr:cNvSpPr>
      </xdr:nvSpPr>
      <xdr:spPr bwMode="auto">
        <a:xfrm>
          <a:off x="10020300" y="1516380"/>
          <a:ext cx="96012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Beaum</a:t>
          </a:r>
        </a:p>
      </xdr:txBody>
    </xdr:sp>
    <xdr:clientData/>
  </xdr:twoCellAnchor>
  <xdr:twoCellAnchor editAs="absolute">
    <xdr:from>
      <xdr:col>9</xdr:col>
      <xdr:colOff>457200</xdr:colOff>
      <xdr:row>4</xdr:row>
      <xdr:rowOff>68580</xdr:rowOff>
    </xdr:from>
    <xdr:to>
      <xdr:col>10</xdr:col>
      <xdr:colOff>777240</xdr:colOff>
      <xdr:row>7</xdr:row>
      <xdr:rowOff>121920</xdr:rowOff>
    </xdr:to>
    <xdr:sp macro="" textlink="">
      <xdr:nvSpPr>
        <xdr:cNvPr id="1223" name="Line 199"/>
        <xdr:cNvSpPr>
          <a:spLocks noChangeShapeType="1"/>
        </xdr:cNvSpPr>
      </xdr:nvSpPr>
      <xdr:spPr bwMode="auto">
        <a:xfrm>
          <a:off x="8915400" y="876300"/>
          <a:ext cx="1143000" cy="6553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739140</xdr:colOff>
      <xdr:row>0</xdr:row>
      <xdr:rowOff>0</xdr:rowOff>
    </xdr:from>
    <xdr:to>
      <xdr:col>10</xdr:col>
      <xdr:colOff>419100</xdr:colOff>
      <xdr:row>0</xdr:row>
      <xdr:rowOff>144780</xdr:rowOff>
    </xdr:to>
    <xdr:sp macro="" textlink="_sch16335">
      <xdr:nvSpPr>
        <xdr:cNvPr id="1224" name="Text 30"/>
        <xdr:cNvSpPr txBox="1">
          <a:spLocks noChangeArrowheads="1" noTextEdit="1"/>
        </xdr:cNvSpPr>
      </xdr:nvSpPr>
      <xdr:spPr bwMode="auto">
        <a:xfrm flipV="1">
          <a:off x="9197340" y="0"/>
          <a:ext cx="50292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EB0DF0B-CBF1-46D2-A60B-48A23D9888E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495300</xdr:colOff>
      <xdr:row>0</xdr:row>
      <xdr:rowOff>144780</xdr:rowOff>
    </xdr:from>
    <xdr:to>
      <xdr:col>10</xdr:col>
      <xdr:colOff>563880</xdr:colOff>
      <xdr:row>1</xdr:row>
      <xdr:rowOff>152400</xdr:rowOff>
    </xdr:to>
    <xdr:sp macro="[1]!siteclickloc" textlink="">
      <xdr:nvSpPr>
        <xdr:cNvPr id="1225" name="16335"/>
        <xdr:cNvSpPr>
          <a:spLocks noChangeArrowheads="1"/>
        </xdr:cNvSpPr>
      </xdr:nvSpPr>
      <xdr:spPr bwMode="auto">
        <a:xfrm>
          <a:off x="8953500" y="144780"/>
          <a:ext cx="89154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Texoma</a:t>
          </a:r>
        </a:p>
      </xdr:txBody>
    </xdr:sp>
    <xdr:clientData/>
  </xdr:twoCellAnchor>
  <xdr:twoCellAnchor editAs="absolute">
    <xdr:from>
      <xdr:col>9</xdr:col>
      <xdr:colOff>777240</xdr:colOff>
      <xdr:row>2</xdr:row>
      <xdr:rowOff>106680</xdr:rowOff>
    </xdr:from>
    <xdr:to>
      <xdr:col>10</xdr:col>
      <xdr:colOff>83820</xdr:colOff>
      <xdr:row>3</xdr:row>
      <xdr:rowOff>76200</xdr:rowOff>
    </xdr:to>
    <xdr:sp macro="" textlink="">
      <xdr:nvSpPr>
        <xdr:cNvPr id="1226" name="Line 202"/>
        <xdr:cNvSpPr>
          <a:spLocks noChangeShapeType="1"/>
        </xdr:cNvSpPr>
      </xdr:nvSpPr>
      <xdr:spPr bwMode="auto">
        <a:xfrm flipH="1">
          <a:off x="9235440" y="510540"/>
          <a:ext cx="12954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213360</xdr:colOff>
      <xdr:row>5</xdr:row>
      <xdr:rowOff>53340</xdr:rowOff>
    </xdr:from>
    <xdr:to>
      <xdr:col>11</xdr:col>
      <xdr:colOff>7620</xdr:colOff>
      <xdr:row>6</xdr:row>
      <xdr:rowOff>30480</xdr:rowOff>
    </xdr:to>
    <xdr:sp macro="" textlink="_act26126">
      <xdr:nvSpPr>
        <xdr:cNvPr id="1227" name="Text 30"/>
        <xdr:cNvSpPr txBox="1">
          <a:spLocks noChangeArrowheads="1" noTextEdit="1"/>
        </xdr:cNvSpPr>
      </xdr:nvSpPr>
      <xdr:spPr bwMode="auto">
        <a:xfrm flipV="1">
          <a:off x="9494520" y="1066800"/>
          <a:ext cx="61722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F74F033-B157-48A6-B85D-E885366F5B0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259080</xdr:colOff>
      <xdr:row>3</xdr:row>
      <xdr:rowOff>114300</xdr:rowOff>
    </xdr:from>
    <xdr:to>
      <xdr:col>10</xdr:col>
      <xdr:colOff>784860</xdr:colOff>
      <xdr:row>4</xdr:row>
      <xdr:rowOff>83820</xdr:rowOff>
    </xdr:to>
    <xdr:sp macro="" textlink="_sch26126">
      <xdr:nvSpPr>
        <xdr:cNvPr id="1228" name="Text 30"/>
        <xdr:cNvSpPr txBox="1">
          <a:spLocks noChangeArrowheads="1" noTextEdit="1"/>
        </xdr:cNvSpPr>
      </xdr:nvSpPr>
      <xdr:spPr bwMode="auto">
        <a:xfrm flipV="1">
          <a:off x="9540240" y="716280"/>
          <a:ext cx="52578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69E134F-2D1D-4B29-8C8E-78B4028028F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45720</xdr:colOff>
      <xdr:row>3</xdr:row>
      <xdr:rowOff>114300</xdr:rowOff>
    </xdr:from>
    <xdr:to>
      <xdr:col>10</xdr:col>
      <xdr:colOff>152400</xdr:colOff>
      <xdr:row>4</xdr:row>
      <xdr:rowOff>68580</xdr:rowOff>
    </xdr:to>
    <xdr:sp macro="" textlink="">
      <xdr:nvSpPr>
        <xdr:cNvPr id="1229" name="Line 205"/>
        <xdr:cNvSpPr>
          <a:spLocks noChangeShapeType="1"/>
        </xdr:cNvSpPr>
      </xdr:nvSpPr>
      <xdr:spPr bwMode="auto">
        <a:xfrm>
          <a:off x="9326880" y="716280"/>
          <a:ext cx="106680" cy="1600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777240</xdr:colOff>
      <xdr:row>2</xdr:row>
      <xdr:rowOff>144780</xdr:rowOff>
    </xdr:from>
    <xdr:to>
      <xdr:col>12</xdr:col>
      <xdr:colOff>411480</xdr:colOff>
      <xdr:row>3</xdr:row>
      <xdr:rowOff>91440</xdr:rowOff>
    </xdr:to>
    <xdr:sp macro="" textlink="actTGPSAB">
      <xdr:nvSpPr>
        <xdr:cNvPr id="1230" name="Text 30"/>
        <xdr:cNvSpPr txBox="1">
          <a:spLocks noChangeArrowheads="1" noTextEdit="1"/>
        </xdr:cNvSpPr>
      </xdr:nvSpPr>
      <xdr:spPr bwMode="auto">
        <a:xfrm flipV="1">
          <a:off x="10881360" y="548640"/>
          <a:ext cx="45720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320DE9F-4310-4BC4-A71D-7863C16E459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769620</xdr:colOff>
      <xdr:row>1</xdr:row>
      <xdr:rowOff>7620</xdr:rowOff>
    </xdr:from>
    <xdr:to>
      <xdr:col>12</xdr:col>
      <xdr:colOff>419100</xdr:colOff>
      <xdr:row>1</xdr:row>
      <xdr:rowOff>160020</xdr:rowOff>
    </xdr:to>
    <xdr:sp macro="" textlink="schTGPSAB">
      <xdr:nvSpPr>
        <xdr:cNvPr id="1231" name="Text 30"/>
        <xdr:cNvSpPr txBox="1">
          <a:spLocks noChangeArrowheads="1" noTextEdit="1"/>
        </xdr:cNvSpPr>
      </xdr:nvSpPr>
      <xdr:spPr bwMode="auto">
        <a:xfrm flipV="1">
          <a:off x="10873740" y="205740"/>
          <a:ext cx="47244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DE680A7-B212-4792-A1F8-576B4371D6E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358140</xdr:colOff>
      <xdr:row>1</xdr:row>
      <xdr:rowOff>137160</xdr:rowOff>
    </xdr:from>
    <xdr:to>
      <xdr:col>12</xdr:col>
      <xdr:colOff>411480</xdr:colOff>
      <xdr:row>2</xdr:row>
      <xdr:rowOff>144780</xdr:rowOff>
    </xdr:to>
    <xdr:sp macro="[1]!siteclickloc" textlink="">
      <xdr:nvSpPr>
        <xdr:cNvPr id="1232" name="16179"/>
        <xdr:cNvSpPr>
          <a:spLocks noChangeArrowheads="1"/>
        </xdr:cNvSpPr>
      </xdr:nvSpPr>
      <xdr:spPr bwMode="auto">
        <a:xfrm>
          <a:off x="10462260" y="335280"/>
          <a:ext cx="876300" cy="21336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Sabine</a:t>
          </a:r>
        </a:p>
      </xdr:txBody>
    </xdr:sp>
    <xdr:clientData/>
  </xdr:twoCellAnchor>
  <xdr:twoCellAnchor editAs="absolute">
    <xdr:from>
      <xdr:col>11</xdr:col>
      <xdr:colOff>45720</xdr:colOff>
      <xdr:row>2</xdr:row>
      <xdr:rowOff>45720</xdr:rowOff>
    </xdr:from>
    <xdr:to>
      <xdr:col>11</xdr:col>
      <xdr:colOff>358140</xdr:colOff>
      <xdr:row>2</xdr:row>
      <xdr:rowOff>83820</xdr:rowOff>
    </xdr:to>
    <xdr:sp macro="" textlink="">
      <xdr:nvSpPr>
        <xdr:cNvPr id="1233" name="Line 209"/>
        <xdr:cNvSpPr>
          <a:spLocks noChangeShapeType="1"/>
        </xdr:cNvSpPr>
      </xdr:nvSpPr>
      <xdr:spPr bwMode="auto">
        <a:xfrm flipH="1">
          <a:off x="10149840" y="449580"/>
          <a:ext cx="31242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7620</xdr:colOff>
      <xdr:row>2</xdr:row>
      <xdr:rowOff>190500</xdr:rowOff>
    </xdr:from>
    <xdr:to>
      <xdr:col>7</xdr:col>
      <xdr:colOff>167640</xdr:colOff>
      <xdr:row>4</xdr:row>
      <xdr:rowOff>91440</xdr:rowOff>
    </xdr:to>
    <xdr:sp macro="[1]!siteclickloc" textlink="">
      <xdr:nvSpPr>
        <xdr:cNvPr id="1234" name="26006"/>
        <xdr:cNvSpPr>
          <a:spLocks noChangeArrowheads="1"/>
        </xdr:cNvSpPr>
      </xdr:nvSpPr>
      <xdr:spPr bwMode="auto">
        <a:xfrm>
          <a:off x="5996940" y="594360"/>
          <a:ext cx="982980" cy="304800"/>
        </a:xfrm>
        <a:prstGeom prst="wedgeRoundRectCallout">
          <a:avLst>
            <a:gd name="adj1" fmla="val 95347"/>
            <a:gd name="adj2" fmla="val 180301"/>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imes New Roman"/>
              <a:cs typeface="Times New Roman"/>
            </a:rPr>
            <a:t>Total 814-1A Ship Channel</a:t>
          </a:r>
        </a:p>
      </xdr:txBody>
    </xdr:sp>
    <xdr:clientData/>
  </xdr:twoCellAnchor>
  <xdr:twoCellAnchor editAs="absolute">
    <xdr:from>
      <xdr:col>10</xdr:col>
      <xdr:colOff>38100</xdr:colOff>
      <xdr:row>4</xdr:row>
      <xdr:rowOff>45720</xdr:rowOff>
    </xdr:from>
    <xdr:to>
      <xdr:col>11</xdr:col>
      <xdr:colOff>22860</xdr:colOff>
      <xdr:row>5</xdr:row>
      <xdr:rowOff>38100</xdr:rowOff>
    </xdr:to>
    <xdr:sp macro="[1]!siteclickloc" textlink="">
      <xdr:nvSpPr>
        <xdr:cNvPr id="1235" name="26126"/>
        <xdr:cNvSpPr>
          <a:spLocks noChangeArrowheads="1"/>
        </xdr:cNvSpPr>
      </xdr:nvSpPr>
      <xdr:spPr bwMode="auto">
        <a:xfrm>
          <a:off x="9319260" y="853440"/>
          <a:ext cx="80772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Gulf States</a:t>
          </a:r>
        </a:p>
      </xdr:txBody>
    </xdr:sp>
    <xdr:clientData/>
  </xdr:twoCellAnchor>
  <xdr:twoCellAnchor editAs="absolute">
    <xdr:from>
      <xdr:col>6</xdr:col>
      <xdr:colOff>670560</xdr:colOff>
      <xdr:row>21</xdr:row>
      <xdr:rowOff>144780</xdr:rowOff>
    </xdr:from>
    <xdr:to>
      <xdr:col>6</xdr:col>
      <xdr:colOff>815340</xdr:colOff>
      <xdr:row>22</xdr:row>
      <xdr:rowOff>45720</xdr:rowOff>
    </xdr:to>
    <xdr:sp macro="" textlink="">
      <xdr:nvSpPr>
        <xdr:cNvPr id="1236" name="806A01"/>
        <xdr:cNvSpPr>
          <a:spLocks noChangeArrowheads="1"/>
        </xdr:cNvSpPr>
      </xdr:nvSpPr>
      <xdr:spPr bwMode="auto">
        <a:xfrm>
          <a:off x="6659880" y="4343400"/>
          <a:ext cx="144780" cy="9906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38100</xdr:colOff>
      <xdr:row>21</xdr:row>
      <xdr:rowOff>144780</xdr:rowOff>
    </xdr:from>
    <xdr:to>
      <xdr:col>7</xdr:col>
      <xdr:colOff>167640</xdr:colOff>
      <xdr:row>22</xdr:row>
      <xdr:rowOff>45720</xdr:rowOff>
    </xdr:to>
    <xdr:sp macro="" textlink="">
      <xdr:nvSpPr>
        <xdr:cNvPr id="1237" name="806A02"/>
        <xdr:cNvSpPr>
          <a:spLocks noChangeArrowheads="1"/>
        </xdr:cNvSpPr>
      </xdr:nvSpPr>
      <xdr:spPr bwMode="auto">
        <a:xfrm>
          <a:off x="6850380" y="4343400"/>
          <a:ext cx="129540" cy="9906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213360</xdr:colOff>
      <xdr:row>21</xdr:row>
      <xdr:rowOff>144780</xdr:rowOff>
    </xdr:from>
    <xdr:to>
      <xdr:col>7</xdr:col>
      <xdr:colOff>358140</xdr:colOff>
      <xdr:row>22</xdr:row>
      <xdr:rowOff>45720</xdr:rowOff>
    </xdr:to>
    <xdr:sp macro="" textlink="">
      <xdr:nvSpPr>
        <xdr:cNvPr id="1238" name="806A03"/>
        <xdr:cNvSpPr>
          <a:spLocks noChangeArrowheads="1"/>
        </xdr:cNvSpPr>
      </xdr:nvSpPr>
      <xdr:spPr bwMode="auto">
        <a:xfrm>
          <a:off x="7025640" y="4343400"/>
          <a:ext cx="144780" cy="99060"/>
        </a:xfrm>
        <a:prstGeom prst="ellipse">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571500</xdr:colOff>
      <xdr:row>18</xdr:row>
      <xdr:rowOff>68580</xdr:rowOff>
    </xdr:from>
    <xdr:to>
      <xdr:col>8</xdr:col>
      <xdr:colOff>693420</xdr:colOff>
      <xdr:row>18</xdr:row>
      <xdr:rowOff>175260</xdr:rowOff>
    </xdr:to>
    <xdr:sp macro="" textlink="">
      <xdr:nvSpPr>
        <xdr:cNvPr id="1239" name="809A02"/>
        <xdr:cNvSpPr>
          <a:spLocks noChangeAspect="1" noChangeArrowheads="1"/>
        </xdr:cNvSpPr>
      </xdr:nvSpPr>
      <xdr:spPr bwMode="auto">
        <a:xfrm>
          <a:off x="8206740" y="3672840"/>
          <a:ext cx="121920" cy="106680"/>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739140</xdr:colOff>
      <xdr:row>18</xdr:row>
      <xdr:rowOff>68580</xdr:rowOff>
    </xdr:from>
    <xdr:to>
      <xdr:col>9</xdr:col>
      <xdr:colOff>38100</xdr:colOff>
      <xdr:row>18</xdr:row>
      <xdr:rowOff>182880</xdr:rowOff>
    </xdr:to>
    <xdr:sp macro="" textlink="">
      <xdr:nvSpPr>
        <xdr:cNvPr id="1240" name="809A03"/>
        <xdr:cNvSpPr>
          <a:spLocks noChangeAspect="1" noChangeArrowheads="1"/>
        </xdr:cNvSpPr>
      </xdr:nvSpPr>
      <xdr:spPr bwMode="auto">
        <a:xfrm>
          <a:off x="8374380" y="3672840"/>
          <a:ext cx="121920" cy="114300"/>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83820</xdr:colOff>
      <xdr:row>18</xdr:row>
      <xdr:rowOff>68580</xdr:rowOff>
    </xdr:from>
    <xdr:to>
      <xdr:col>9</xdr:col>
      <xdr:colOff>220980</xdr:colOff>
      <xdr:row>18</xdr:row>
      <xdr:rowOff>182880</xdr:rowOff>
    </xdr:to>
    <xdr:sp macro="" textlink="">
      <xdr:nvSpPr>
        <xdr:cNvPr id="1241" name="809B01"/>
        <xdr:cNvSpPr>
          <a:spLocks noChangeArrowheads="1"/>
        </xdr:cNvSpPr>
      </xdr:nvSpPr>
      <xdr:spPr bwMode="auto">
        <a:xfrm>
          <a:off x="8542020" y="3672840"/>
          <a:ext cx="137160" cy="11430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358140</xdr:colOff>
      <xdr:row>9</xdr:row>
      <xdr:rowOff>15240</xdr:rowOff>
    </xdr:from>
    <xdr:to>
      <xdr:col>5</xdr:col>
      <xdr:colOff>495300</xdr:colOff>
      <xdr:row>9</xdr:row>
      <xdr:rowOff>121920</xdr:rowOff>
    </xdr:to>
    <xdr:sp macro="" textlink="">
      <xdr:nvSpPr>
        <xdr:cNvPr id="1242" name="812A01"/>
        <xdr:cNvSpPr>
          <a:spLocks noChangeArrowheads="1"/>
        </xdr:cNvSpPr>
      </xdr:nvSpPr>
      <xdr:spPr bwMode="auto">
        <a:xfrm>
          <a:off x="5524500" y="1836420"/>
          <a:ext cx="137160" cy="10668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502920</xdr:colOff>
      <xdr:row>9</xdr:row>
      <xdr:rowOff>15240</xdr:rowOff>
    </xdr:from>
    <xdr:to>
      <xdr:col>5</xdr:col>
      <xdr:colOff>640080</xdr:colOff>
      <xdr:row>9</xdr:row>
      <xdr:rowOff>121920</xdr:rowOff>
    </xdr:to>
    <xdr:sp macro="" textlink="">
      <xdr:nvSpPr>
        <xdr:cNvPr id="1243" name="812A02"/>
        <xdr:cNvSpPr>
          <a:spLocks noChangeArrowheads="1"/>
        </xdr:cNvSpPr>
      </xdr:nvSpPr>
      <xdr:spPr bwMode="auto">
        <a:xfrm>
          <a:off x="5669280" y="1836420"/>
          <a:ext cx="137160" cy="10668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662940</xdr:colOff>
      <xdr:row>9</xdr:row>
      <xdr:rowOff>15240</xdr:rowOff>
    </xdr:from>
    <xdr:to>
      <xdr:col>5</xdr:col>
      <xdr:colOff>800100</xdr:colOff>
      <xdr:row>9</xdr:row>
      <xdr:rowOff>121920</xdr:rowOff>
    </xdr:to>
    <xdr:sp macro="" textlink="">
      <xdr:nvSpPr>
        <xdr:cNvPr id="1244" name="812A03"/>
        <xdr:cNvSpPr>
          <a:spLocks noChangeArrowheads="1"/>
        </xdr:cNvSpPr>
      </xdr:nvSpPr>
      <xdr:spPr bwMode="auto">
        <a:xfrm>
          <a:off x="5829300" y="1836420"/>
          <a:ext cx="137160" cy="10668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83820</xdr:colOff>
      <xdr:row>23</xdr:row>
      <xdr:rowOff>106680</xdr:rowOff>
    </xdr:from>
    <xdr:to>
      <xdr:col>6</xdr:col>
      <xdr:colOff>213360</xdr:colOff>
      <xdr:row>24</xdr:row>
      <xdr:rowOff>7620</xdr:rowOff>
    </xdr:to>
    <xdr:sp macro="" textlink="">
      <xdr:nvSpPr>
        <xdr:cNvPr id="1245" name="804A01"/>
        <xdr:cNvSpPr>
          <a:spLocks noChangeArrowheads="1"/>
        </xdr:cNvSpPr>
      </xdr:nvSpPr>
      <xdr:spPr bwMode="auto">
        <a:xfrm>
          <a:off x="6073140" y="4701540"/>
          <a:ext cx="129540" cy="9906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259080</xdr:colOff>
      <xdr:row>23</xdr:row>
      <xdr:rowOff>106680</xdr:rowOff>
    </xdr:from>
    <xdr:to>
      <xdr:col>6</xdr:col>
      <xdr:colOff>403860</xdr:colOff>
      <xdr:row>24</xdr:row>
      <xdr:rowOff>7620</xdr:rowOff>
    </xdr:to>
    <xdr:sp macro="" textlink="">
      <xdr:nvSpPr>
        <xdr:cNvPr id="1246" name="804A02"/>
        <xdr:cNvSpPr>
          <a:spLocks noChangeArrowheads="1"/>
        </xdr:cNvSpPr>
      </xdr:nvSpPr>
      <xdr:spPr bwMode="auto">
        <a:xfrm>
          <a:off x="6248400" y="4701540"/>
          <a:ext cx="144780" cy="9906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213360</xdr:colOff>
      <xdr:row>25</xdr:row>
      <xdr:rowOff>144780</xdr:rowOff>
    </xdr:from>
    <xdr:to>
      <xdr:col>4</xdr:col>
      <xdr:colOff>213360</xdr:colOff>
      <xdr:row>26</xdr:row>
      <xdr:rowOff>129540</xdr:rowOff>
    </xdr:to>
    <xdr:sp macro="[1]!siteclickloc" textlink="">
      <xdr:nvSpPr>
        <xdr:cNvPr id="1247" name="16130"/>
        <xdr:cNvSpPr>
          <a:spLocks noChangeArrowheads="1"/>
        </xdr:cNvSpPr>
      </xdr:nvSpPr>
      <xdr:spPr bwMode="auto">
        <a:xfrm>
          <a:off x="3733800" y="5135880"/>
          <a:ext cx="822960" cy="18288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PG&amp;E A-D</a:t>
          </a:r>
        </a:p>
      </xdr:txBody>
    </xdr:sp>
    <xdr:clientData/>
  </xdr:twoCellAnchor>
  <xdr:twoCellAnchor editAs="absolute">
    <xdr:from>
      <xdr:col>11</xdr:col>
      <xdr:colOff>365760</xdr:colOff>
      <xdr:row>15</xdr:row>
      <xdr:rowOff>121920</xdr:rowOff>
    </xdr:from>
    <xdr:to>
      <xdr:col>12</xdr:col>
      <xdr:colOff>563880</xdr:colOff>
      <xdr:row>19</xdr:row>
      <xdr:rowOff>167640</xdr:rowOff>
    </xdr:to>
    <xdr:grpSp>
      <xdr:nvGrpSpPr>
        <xdr:cNvPr id="1253" name="Group 229">
          <a:hlinkClick xmlns:r="http://schemas.openxmlformats.org/officeDocument/2006/relationships" r:id="rId2"/>
        </xdr:cNvPr>
        <xdr:cNvGrpSpPr>
          <a:grpSpLocks/>
        </xdr:cNvGrpSpPr>
      </xdr:nvGrpSpPr>
      <xdr:grpSpPr bwMode="auto">
        <a:xfrm>
          <a:off x="10469880" y="3131820"/>
          <a:ext cx="1021080" cy="838200"/>
          <a:chOff x="328" y="60"/>
          <a:chExt cx="89" cy="89"/>
        </a:xfrm>
      </xdr:grpSpPr>
      <xdr:sp macro="" textlink="">
        <xdr:nvSpPr>
          <xdr:cNvPr id="1254" name="AutoShape 230"/>
          <xdr:cNvSpPr>
            <a:spLocks noChangeArrowheads="1"/>
          </xdr:cNvSpPr>
        </xdr:nvSpPr>
        <xdr:spPr bwMode="auto">
          <a:xfrm>
            <a:off x="328" y="60"/>
            <a:ext cx="89" cy="79"/>
          </a:xfrm>
          <a:prstGeom prst="star16">
            <a:avLst>
              <a:gd name="adj" fmla="val 37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22860" rIns="27432" bIns="22860" anchor="ctr" upright="1"/>
          <a:lstStyle/>
          <a:p>
            <a:pPr algn="ctr" rtl="0">
              <a:lnSpc>
                <a:spcPts val="800"/>
              </a:lnSpc>
              <a:defRPr sz="1000"/>
            </a:pPr>
            <a:r>
              <a:rPr lang="en-US" sz="800" b="0" i="0" u="none" strike="noStrike" baseline="0">
                <a:solidFill>
                  <a:srgbClr val="0000FF"/>
                </a:solidFill>
                <a:latin typeface="Times New Roman"/>
                <a:cs typeface="Times New Roman"/>
              </a:rPr>
              <a:t>Check Weather</a:t>
            </a:r>
          </a:p>
        </xdr:txBody>
      </xdr:sp>
      <xdr:sp macro="" textlink="">
        <xdr:nvSpPr>
          <xdr:cNvPr id="1255" name="AutoShape 231"/>
          <xdr:cNvSpPr>
            <a:spLocks noChangeArrowheads="1"/>
          </xdr:cNvSpPr>
        </xdr:nvSpPr>
        <xdr:spPr bwMode="auto">
          <a:xfrm>
            <a:off x="359" y="109"/>
            <a:ext cx="58" cy="40"/>
          </a:xfrm>
          <a:prstGeom prst="cloudCallout">
            <a:avLst>
              <a:gd name="adj1" fmla="val -36366"/>
              <a:gd name="adj2" fmla="val -27421"/>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C0C0C0" mc:Ignorable="a14" a14:legacySpreadsheetColorIndex="22"/>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grpSp>
    <xdr:clientData fPrintsWithSheet="0"/>
  </xdr:twoCellAnchor>
  <xdr:twoCellAnchor editAs="absolute">
    <xdr:from>
      <xdr:col>9</xdr:col>
      <xdr:colOff>662940</xdr:colOff>
      <xdr:row>22</xdr:row>
      <xdr:rowOff>7620</xdr:rowOff>
    </xdr:from>
    <xdr:to>
      <xdr:col>11</xdr:col>
      <xdr:colOff>312420</xdr:colOff>
      <xdr:row>23</xdr:row>
      <xdr:rowOff>53340</xdr:rowOff>
    </xdr:to>
    <xdr:sp macro="" textlink="">
      <xdr:nvSpPr>
        <xdr:cNvPr id="1256" name="AutoShape 232">
          <a:hlinkClick xmlns:r="http://schemas.openxmlformats.org/officeDocument/2006/relationships" r:id="rId3"/>
        </xdr:cNvPr>
        <xdr:cNvSpPr>
          <a:spLocks noChangeArrowheads="1"/>
        </xdr:cNvSpPr>
      </xdr:nvSpPr>
      <xdr:spPr bwMode="auto">
        <a:xfrm>
          <a:off x="9121140" y="4404360"/>
          <a:ext cx="1295400" cy="243840"/>
        </a:xfrm>
        <a:prstGeom prst="cloudCallout">
          <a:avLst>
            <a:gd name="adj1" fmla="val -40287"/>
            <a:gd name="adj2" fmla="val 95454"/>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FFFFFF"/>
              </a:solidFill>
              <a:latin typeface="Times New Roman"/>
              <a:cs typeface="Times New Roman"/>
            </a:rPr>
            <a:t>Hurricane Watch</a:t>
          </a:r>
        </a:p>
      </xdr:txBody>
    </xdr:sp>
    <xdr:clientData fPrintsWithSheet="0"/>
  </xdr:twoCellAnchor>
  <xdr:twoCellAnchor editAs="absolute">
    <xdr:from>
      <xdr:col>5</xdr:col>
      <xdr:colOff>571500</xdr:colOff>
      <xdr:row>19</xdr:row>
      <xdr:rowOff>53340</xdr:rowOff>
    </xdr:from>
    <xdr:to>
      <xdr:col>6</xdr:col>
      <xdr:colOff>259080</xdr:colOff>
      <xdr:row>20</xdr:row>
      <xdr:rowOff>7620</xdr:rowOff>
    </xdr:to>
    <xdr:sp macro="" textlink="PSBLESS">
      <xdr:nvSpPr>
        <xdr:cNvPr id="1257" name="PBLESSs"/>
        <xdr:cNvSpPr txBox="1">
          <a:spLocks noChangeArrowheads="1" noTextEdit="1"/>
        </xdr:cNvSpPr>
      </xdr:nvSpPr>
      <xdr:spPr bwMode="auto">
        <a:xfrm>
          <a:off x="5737860" y="3855720"/>
          <a:ext cx="51054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AE5D594B-1152-4676-B4A4-1DC64C7DD78C}"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7</xdr:col>
      <xdr:colOff>91440</xdr:colOff>
      <xdr:row>2</xdr:row>
      <xdr:rowOff>91440</xdr:rowOff>
    </xdr:from>
    <xdr:to>
      <xdr:col>7</xdr:col>
      <xdr:colOff>518160</xdr:colOff>
      <xdr:row>3</xdr:row>
      <xdr:rowOff>38100</xdr:rowOff>
    </xdr:to>
    <xdr:sp macro="" textlink="_PD26114">
      <xdr:nvSpPr>
        <xdr:cNvPr id="1258" name="p26114d"/>
        <xdr:cNvSpPr txBox="1">
          <a:spLocks noChangeArrowheads="1" noTextEdit="1"/>
        </xdr:cNvSpPr>
      </xdr:nvSpPr>
      <xdr:spPr bwMode="auto">
        <a:xfrm>
          <a:off x="6903720" y="495300"/>
          <a:ext cx="426720" cy="14478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E3EAF765-5C6B-41F7-9607-10138B49823E}"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53340</xdr:colOff>
      <xdr:row>5</xdr:row>
      <xdr:rowOff>182880</xdr:rowOff>
    </xdr:from>
    <xdr:to>
      <xdr:col>11</xdr:col>
      <xdr:colOff>594360</xdr:colOff>
      <xdr:row>6</xdr:row>
      <xdr:rowOff>121920</xdr:rowOff>
    </xdr:to>
    <xdr:sp macro="" textlink="_PD26167">
      <xdr:nvSpPr>
        <xdr:cNvPr id="1259" name="p26167d"/>
        <xdr:cNvSpPr txBox="1">
          <a:spLocks noChangeArrowheads="1" noTextEdit="1"/>
        </xdr:cNvSpPr>
      </xdr:nvSpPr>
      <xdr:spPr bwMode="auto">
        <a:xfrm>
          <a:off x="10157460" y="1196340"/>
          <a:ext cx="541020" cy="13716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2C4DA00E-2B47-414E-B865-28F4EBD80003}"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495300</xdr:colOff>
      <xdr:row>26</xdr:row>
      <xdr:rowOff>38100</xdr:rowOff>
    </xdr:from>
    <xdr:to>
      <xdr:col>5</xdr:col>
      <xdr:colOff>152400</xdr:colOff>
      <xdr:row>26</xdr:row>
      <xdr:rowOff>190500</xdr:rowOff>
    </xdr:to>
    <xdr:sp macro="" textlink="_PS802">
      <xdr:nvSpPr>
        <xdr:cNvPr id="1260" name="p802s"/>
        <xdr:cNvSpPr txBox="1">
          <a:spLocks noChangeArrowheads="1" noTextEdit="1"/>
        </xdr:cNvSpPr>
      </xdr:nvSpPr>
      <xdr:spPr bwMode="auto">
        <a:xfrm>
          <a:off x="4838700" y="5227320"/>
          <a:ext cx="48006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EB2411CA-0FC5-4706-AA38-D356A7C296F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533400</xdr:colOff>
      <xdr:row>25</xdr:row>
      <xdr:rowOff>0</xdr:rowOff>
    </xdr:from>
    <xdr:to>
      <xdr:col>6</xdr:col>
      <xdr:colOff>167640</xdr:colOff>
      <xdr:row>25</xdr:row>
      <xdr:rowOff>152400</xdr:rowOff>
    </xdr:to>
    <xdr:sp macro="" textlink="_PS804">
      <xdr:nvSpPr>
        <xdr:cNvPr id="1261" name="p804s"/>
        <xdr:cNvSpPr txBox="1">
          <a:spLocks noChangeArrowheads="1" noTextEdit="1"/>
        </xdr:cNvSpPr>
      </xdr:nvSpPr>
      <xdr:spPr bwMode="auto">
        <a:xfrm>
          <a:off x="5699760" y="4991100"/>
          <a:ext cx="4572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E43C76A2-0738-4001-8F2F-D03F9765E48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419100</xdr:colOff>
      <xdr:row>25</xdr:row>
      <xdr:rowOff>0</xdr:rowOff>
    </xdr:from>
    <xdr:to>
      <xdr:col>7</xdr:col>
      <xdr:colOff>53340</xdr:colOff>
      <xdr:row>25</xdr:row>
      <xdr:rowOff>160020</xdr:rowOff>
    </xdr:to>
    <xdr:sp macro="" textlink="_PD804">
      <xdr:nvSpPr>
        <xdr:cNvPr id="1262" name="p804d"/>
        <xdr:cNvSpPr txBox="1">
          <a:spLocks noChangeArrowheads="1" noTextEdit="1"/>
        </xdr:cNvSpPr>
      </xdr:nvSpPr>
      <xdr:spPr bwMode="auto">
        <a:xfrm>
          <a:off x="6408420" y="4991100"/>
          <a:ext cx="45720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6A69E47F-A601-4544-B311-99E6DBBFA94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419100</xdr:colOff>
      <xdr:row>4</xdr:row>
      <xdr:rowOff>129540</xdr:rowOff>
    </xdr:from>
    <xdr:to>
      <xdr:col>12</xdr:col>
      <xdr:colOff>53340</xdr:colOff>
      <xdr:row>5</xdr:row>
      <xdr:rowOff>91440</xdr:rowOff>
    </xdr:to>
    <xdr:sp macro="" textlink="_act26169">
      <xdr:nvSpPr>
        <xdr:cNvPr id="1263" name="Text 30"/>
        <xdr:cNvSpPr txBox="1">
          <a:spLocks noChangeArrowheads="1" noTextEdit="1"/>
        </xdr:cNvSpPr>
      </xdr:nvSpPr>
      <xdr:spPr bwMode="auto">
        <a:xfrm flipV="1">
          <a:off x="10523220" y="937260"/>
          <a:ext cx="457200" cy="1676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CBA4921-C748-4D33-AB99-50BBF97771F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419100</xdr:colOff>
      <xdr:row>3</xdr:row>
      <xdr:rowOff>15240</xdr:rowOff>
    </xdr:from>
    <xdr:to>
      <xdr:col>12</xdr:col>
      <xdr:colOff>53340</xdr:colOff>
      <xdr:row>3</xdr:row>
      <xdr:rowOff>167640</xdr:rowOff>
    </xdr:to>
    <xdr:sp macro="" textlink="_sch26169">
      <xdr:nvSpPr>
        <xdr:cNvPr id="1264" name="Text 30"/>
        <xdr:cNvSpPr txBox="1">
          <a:spLocks noChangeArrowheads="1" noTextEdit="1"/>
        </xdr:cNvSpPr>
      </xdr:nvSpPr>
      <xdr:spPr bwMode="auto">
        <a:xfrm flipV="1">
          <a:off x="10523220" y="617220"/>
          <a:ext cx="4572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8E44A5E-F0A7-4635-9D76-7291AA4A2F6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289560</xdr:colOff>
      <xdr:row>3</xdr:row>
      <xdr:rowOff>137160</xdr:rowOff>
    </xdr:from>
    <xdr:to>
      <xdr:col>12</xdr:col>
      <xdr:colOff>464820</xdr:colOff>
      <xdr:row>4</xdr:row>
      <xdr:rowOff>129540</xdr:rowOff>
    </xdr:to>
    <xdr:sp macro="[1]!siteclickloc" textlink="">
      <xdr:nvSpPr>
        <xdr:cNvPr id="1265" name="26169"/>
        <xdr:cNvSpPr>
          <a:spLocks noChangeArrowheads="1"/>
        </xdr:cNvSpPr>
      </xdr:nvSpPr>
      <xdr:spPr bwMode="auto">
        <a:xfrm>
          <a:off x="10393680" y="739140"/>
          <a:ext cx="99822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Sabine Orange</a:t>
          </a:r>
        </a:p>
      </xdr:txBody>
    </xdr:sp>
    <xdr:clientData/>
  </xdr:twoCellAnchor>
  <xdr:twoCellAnchor>
    <xdr:from>
      <xdr:col>10</xdr:col>
      <xdr:colOff>624840</xdr:colOff>
      <xdr:row>2</xdr:row>
      <xdr:rowOff>121920</xdr:rowOff>
    </xdr:from>
    <xdr:to>
      <xdr:col>11</xdr:col>
      <xdr:colOff>495300</xdr:colOff>
      <xdr:row>5</xdr:row>
      <xdr:rowOff>182880</xdr:rowOff>
    </xdr:to>
    <xdr:sp macro="" textlink="">
      <xdr:nvSpPr>
        <xdr:cNvPr id="1266" name="Line 242"/>
        <xdr:cNvSpPr>
          <a:spLocks noChangeShapeType="1"/>
        </xdr:cNvSpPr>
      </xdr:nvSpPr>
      <xdr:spPr bwMode="auto">
        <a:xfrm>
          <a:off x="9906000" y="525780"/>
          <a:ext cx="693420" cy="6705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777240</xdr:colOff>
      <xdr:row>2</xdr:row>
      <xdr:rowOff>144780</xdr:rowOff>
    </xdr:from>
    <xdr:to>
      <xdr:col>12</xdr:col>
      <xdr:colOff>289560</xdr:colOff>
      <xdr:row>8</xdr:row>
      <xdr:rowOff>30480</xdr:rowOff>
    </xdr:to>
    <xdr:sp macro="" textlink="">
      <xdr:nvSpPr>
        <xdr:cNvPr id="1267" name="Line 243"/>
        <xdr:cNvSpPr>
          <a:spLocks noChangeShapeType="1"/>
        </xdr:cNvSpPr>
      </xdr:nvSpPr>
      <xdr:spPr bwMode="auto">
        <a:xfrm flipH="1" flipV="1">
          <a:off x="10058400" y="548640"/>
          <a:ext cx="1158240" cy="109728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624840</xdr:colOff>
      <xdr:row>16</xdr:row>
      <xdr:rowOff>190500</xdr:rowOff>
    </xdr:from>
    <xdr:to>
      <xdr:col>9</xdr:col>
      <xdr:colOff>259080</xdr:colOff>
      <xdr:row>17</xdr:row>
      <xdr:rowOff>121920</xdr:rowOff>
    </xdr:to>
    <xdr:sp macro="" textlink="PS8121A">
      <xdr:nvSpPr>
        <xdr:cNvPr id="1269" name="p8121as"/>
        <xdr:cNvSpPr txBox="1">
          <a:spLocks noChangeArrowheads="1" noTextEdit="1"/>
        </xdr:cNvSpPr>
      </xdr:nvSpPr>
      <xdr:spPr bwMode="auto">
        <a:xfrm>
          <a:off x="8260080" y="3398520"/>
          <a:ext cx="457200" cy="12954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3AC50ACF-4F44-4F86-934C-111F8B73174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701040</xdr:colOff>
      <xdr:row>16</xdr:row>
      <xdr:rowOff>190500</xdr:rowOff>
    </xdr:from>
    <xdr:to>
      <xdr:col>10</xdr:col>
      <xdr:colOff>312420</xdr:colOff>
      <xdr:row>17</xdr:row>
      <xdr:rowOff>144780</xdr:rowOff>
    </xdr:to>
    <xdr:sp macro="" textlink="PD8121A">
      <xdr:nvSpPr>
        <xdr:cNvPr id="1270" name="p8121ad"/>
        <xdr:cNvSpPr txBox="1">
          <a:spLocks noChangeArrowheads="1" noTextEdit="1"/>
        </xdr:cNvSpPr>
      </xdr:nvSpPr>
      <xdr:spPr bwMode="auto">
        <a:xfrm>
          <a:off x="9159240" y="3398520"/>
          <a:ext cx="43434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2F4ABBD1-CA69-4330-B101-BD71103DBF4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723900</xdr:colOff>
      <xdr:row>11</xdr:row>
      <xdr:rowOff>167640</xdr:rowOff>
    </xdr:from>
    <xdr:to>
      <xdr:col>12</xdr:col>
      <xdr:colOff>434340</xdr:colOff>
      <xdr:row>12</xdr:row>
      <xdr:rowOff>167640</xdr:rowOff>
    </xdr:to>
    <xdr:sp macro="" textlink="_act816">
      <xdr:nvSpPr>
        <xdr:cNvPr id="1271" name="Text 120"/>
        <xdr:cNvSpPr txBox="1">
          <a:spLocks noChangeArrowheads="1" noTextEdit="1"/>
        </xdr:cNvSpPr>
      </xdr:nvSpPr>
      <xdr:spPr bwMode="auto">
        <a:xfrm>
          <a:off x="10828020" y="2385060"/>
          <a:ext cx="5334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98645B8-A22C-4BE7-AD38-8BC721A35C6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701040</xdr:colOff>
      <xdr:row>10</xdr:row>
      <xdr:rowOff>30480</xdr:rowOff>
    </xdr:from>
    <xdr:to>
      <xdr:col>12</xdr:col>
      <xdr:colOff>403860</xdr:colOff>
      <xdr:row>11</xdr:row>
      <xdr:rowOff>0</xdr:rowOff>
    </xdr:to>
    <xdr:sp macro="" textlink="_sch816">
      <xdr:nvSpPr>
        <xdr:cNvPr id="1272" name="Text 107"/>
        <xdr:cNvSpPr txBox="1">
          <a:spLocks noChangeArrowheads="1" noTextEdit="1"/>
        </xdr:cNvSpPr>
      </xdr:nvSpPr>
      <xdr:spPr bwMode="auto">
        <a:xfrm>
          <a:off x="10805160" y="2049780"/>
          <a:ext cx="5257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F5EAC57-1197-4E3B-ABDB-1042E1E6FFE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53340</xdr:colOff>
      <xdr:row>11</xdr:row>
      <xdr:rowOff>0</xdr:rowOff>
    </xdr:from>
    <xdr:to>
      <xdr:col>12</xdr:col>
      <xdr:colOff>281940</xdr:colOff>
      <xdr:row>11</xdr:row>
      <xdr:rowOff>160020</xdr:rowOff>
    </xdr:to>
    <xdr:sp macro="[1]!siteclickloc" textlink="">
      <xdr:nvSpPr>
        <xdr:cNvPr id="1273" name="816"/>
        <xdr:cNvSpPr txBox="1">
          <a:spLocks noChangeArrowheads="1"/>
        </xdr:cNvSpPr>
      </xdr:nvSpPr>
      <xdr:spPr bwMode="auto">
        <a:xfrm>
          <a:off x="10980420" y="2217420"/>
          <a:ext cx="2286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816</a:t>
          </a:r>
        </a:p>
      </xdr:txBody>
    </xdr:sp>
    <xdr:clientData/>
  </xdr:twoCellAnchor>
  <xdr:twoCellAnchor editAs="absolute">
    <xdr:from>
      <xdr:col>8</xdr:col>
      <xdr:colOff>685800</xdr:colOff>
      <xdr:row>6</xdr:row>
      <xdr:rowOff>45720</xdr:rowOff>
    </xdr:from>
    <xdr:to>
      <xdr:col>11</xdr:col>
      <xdr:colOff>784860</xdr:colOff>
      <xdr:row>10</xdr:row>
      <xdr:rowOff>167640</xdr:rowOff>
    </xdr:to>
    <xdr:sp macro="[1]!siteclickloc" textlink="">
      <xdr:nvSpPr>
        <xdr:cNvPr id="1274" name="Line 250"/>
        <xdr:cNvSpPr>
          <a:spLocks noChangeShapeType="1"/>
        </xdr:cNvSpPr>
      </xdr:nvSpPr>
      <xdr:spPr bwMode="auto">
        <a:xfrm flipH="1" flipV="1">
          <a:off x="8321040" y="1257300"/>
          <a:ext cx="2567940" cy="92964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624840</xdr:colOff>
      <xdr:row>5</xdr:row>
      <xdr:rowOff>182880</xdr:rowOff>
    </xdr:from>
    <xdr:to>
      <xdr:col>8</xdr:col>
      <xdr:colOff>723900</xdr:colOff>
      <xdr:row>6</xdr:row>
      <xdr:rowOff>68580</xdr:rowOff>
    </xdr:to>
    <xdr:sp macro="" textlink="">
      <xdr:nvSpPr>
        <xdr:cNvPr id="1275" name="Rectangle 251"/>
        <xdr:cNvSpPr>
          <a:spLocks noChangeArrowheads="1"/>
        </xdr:cNvSpPr>
      </xdr:nvSpPr>
      <xdr:spPr bwMode="auto">
        <a:xfrm>
          <a:off x="8260080" y="1196340"/>
          <a:ext cx="9906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403860</xdr:colOff>
      <xdr:row>26</xdr:row>
      <xdr:rowOff>144780</xdr:rowOff>
    </xdr:from>
    <xdr:to>
      <xdr:col>7</xdr:col>
      <xdr:colOff>7620</xdr:colOff>
      <xdr:row>27</xdr:row>
      <xdr:rowOff>91440</xdr:rowOff>
    </xdr:to>
    <xdr:sp macro="" textlink="TTLCHK804">
      <xdr:nvSpPr>
        <xdr:cNvPr id="1276" name="AutoShape 252"/>
        <xdr:cNvSpPr>
          <a:spLocks noChangeArrowheads="1" noTextEdit="1"/>
        </xdr:cNvSpPr>
      </xdr:nvSpPr>
      <xdr:spPr bwMode="auto">
        <a:xfrm>
          <a:off x="6393180" y="5334000"/>
          <a:ext cx="426720" cy="144780"/>
        </a:xfrm>
        <a:prstGeom prst="wedgeRectCallout">
          <a:avLst>
            <a:gd name="adj1" fmla="val -7894"/>
            <a:gd name="adj2" fmla="val -14375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A854736E-0CF3-4843-BC4A-DFB2F2688B6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670560</xdr:colOff>
      <xdr:row>18</xdr:row>
      <xdr:rowOff>121920</xdr:rowOff>
    </xdr:from>
    <xdr:to>
      <xdr:col>10</xdr:col>
      <xdr:colOff>358140</xdr:colOff>
      <xdr:row>19</xdr:row>
      <xdr:rowOff>45720</xdr:rowOff>
    </xdr:to>
    <xdr:sp macro="" textlink="TTLCHK812">
      <xdr:nvSpPr>
        <xdr:cNvPr id="1277" name="AutoShape 253"/>
        <xdr:cNvSpPr>
          <a:spLocks noChangeArrowheads="1" noTextEdit="1"/>
        </xdr:cNvSpPr>
      </xdr:nvSpPr>
      <xdr:spPr bwMode="auto">
        <a:xfrm>
          <a:off x="9128760" y="3726180"/>
          <a:ext cx="510540" cy="121920"/>
        </a:xfrm>
        <a:prstGeom prst="wedgeRectCallout">
          <a:avLst>
            <a:gd name="adj1" fmla="val -12792"/>
            <a:gd name="adj2" fmla="val -180769"/>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77CC0728-2571-45E3-BCED-FD559E1F696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259080</xdr:colOff>
      <xdr:row>12</xdr:row>
      <xdr:rowOff>182880</xdr:rowOff>
    </xdr:from>
    <xdr:to>
      <xdr:col>12</xdr:col>
      <xdr:colOff>701040</xdr:colOff>
      <xdr:row>13</xdr:row>
      <xdr:rowOff>121920</xdr:rowOff>
    </xdr:to>
    <xdr:sp macro="" textlink="TTLCHK816">
      <xdr:nvSpPr>
        <xdr:cNvPr id="1278" name="AutoShape 254"/>
        <xdr:cNvSpPr>
          <a:spLocks noChangeArrowheads="1" noTextEdit="1"/>
        </xdr:cNvSpPr>
      </xdr:nvSpPr>
      <xdr:spPr bwMode="auto">
        <a:xfrm>
          <a:off x="11186160" y="2598420"/>
          <a:ext cx="441960" cy="137160"/>
        </a:xfrm>
        <a:prstGeom prst="wedgeRectCallout">
          <a:avLst>
            <a:gd name="adj1" fmla="val -7894"/>
            <a:gd name="adj2" fmla="val -14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FF34E335-50EB-4C53-83AD-D156857094D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533400</xdr:colOff>
      <xdr:row>32</xdr:row>
      <xdr:rowOff>15240</xdr:rowOff>
    </xdr:from>
    <xdr:to>
      <xdr:col>5</xdr:col>
      <xdr:colOff>152400</xdr:colOff>
      <xdr:row>32</xdr:row>
      <xdr:rowOff>160020</xdr:rowOff>
    </xdr:to>
    <xdr:sp macro="" textlink="TTLCHK800South">
      <xdr:nvSpPr>
        <xdr:cNvPr id="1279" name="AutoShape 255"/>
        <xdr:cNvSpPr>
          <a:spLocks noChangeArrowheads="1" noTextEdit="1"/>
        </xdr:cNvSpPr>
      </xdr:nvSpPr>
      <xdr:spPr bwMode="auto">
        <a:xfrm>
          <a:off x="4876800" y="6400800"/>
          <a:ext cx="441960" cy="144780"/>
        </a:xfrm>
        <a:prstGeom prst="wedgeRectCallout">
          <a:avLst>
            <a:gd name="adj1" fmla="val -7894"/>
            <a:gd name="adj2" fmla="val -14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A2953AE7-34EB-4AF3-B8C7-B8D774491DB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373380</xdr:colOff>
      <xdr:row>14</xdr:row>
      <xdr:rowOff>106680</xdr:rowOff>
    </xdr:from>
    <xdr:to>
      <xdr:col>8</xdr:col>
      <xdr:colOff>7620</xdr:colOff>
      <xdr:row>15</xdr:row>
      <xdr:rowOff>53340</xdr:rowOff>
    </xdr:to>
    <xdr:sp macro="" textlink="_sch16247">
      <xdr:nvSpPr>
        <xdr:cNvPr id="1280" name="Text 30"/>
        <xdr:cNvSpPr txBox="1">
          <a:spLocks noChangeArrowheads="1" noTextEdit="1"/>
        </xdr:cNvSpPr>
      </xdr:nvSpPr>
      <xdr:spPr bwMode="auto">
        <a:xfrm flipV="1">
          <a:off x="7185660" y="2918460"/>
          <a:ext cx="45720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4CFAE07-CEF1-4FD8-8D31-B66E65DDE7C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403860</xdr:colOff>
      <xdr:row>16</xdr:row>
      <xdr:rowOff>76200</xdr:rowOff>
    </xdr:from>
    <xdr:to>
      <xdr:col>8</xdr:col>
      <xdr:colOff>22860</xdr:colOff>
      <xdr:row>17</xdr:row>
      <xdr:rowOff>30480</xdr:rowOff>
    </xdr:to>
    <xdr:sp macro="" textlink="_act16247">
      <xdr:nvSpPr>
        <xdr:cNvPr id="1281" name="Text 30"/>
        <xdr:cNvSpPr txBox="1">
          <a:spLocks noChangeArrowheads="1" noTextEdit="1"/>
        </xdr:cNvSpPr>
      </xdr:nvSpPr>
      <xdr:spPr bwMode="auto">
        <a:xfrm flipV="1">
          <a:off x="7216140" y="3284220"/>
          <a:ext cx="44196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35208C5-D48B-4FC9-9948-8F865F50874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213360</xdr:colOff>
      <xdr:row>15</xdr:row>
      <xdr:rowOff>45720</xdr:rowOff>
    </xdr:from>
    <xdr:to>
      <xdr:col>8</xdr:col>
      <xdr:colOff>579120</xdr:colOff>
      <xdr:row>16</xdr:row>
      <xdr:rowOff>68580</xdr:rowOff>
    </xdr:to>
    <xdr:sp macro="[1]!siteclickloc" textlink="">
      <xdr:nvSpPr>
        <xdr:cNvPr id="1282" name="16247"/>
        <xdr:cNvSpPr>
          <a:spLocks noChangeArrowheads="1"/>
        </xdr:cNvSpPr>
      </xdr:nvSpPr>
      <xdr:spPr bwMode="auto">
        <a:xfrm>
          <a:off x="7025640" y="3055620"/>
          <a:ext cx="1188720" cy="22098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Transco Markham</a:t>
          </a:r>
        </a:p>
      </xdr:txBody>
    </xdr:sp>
    <xdr:clientData/>
  </xdr:twoCellAnchor>
  <xdr:twoCellAnchor editAs="absolute">
    <xdr:from>
      <xdr:col>5</xdr:col>
      <xdr:colOff>815340</xdr:colOff>
      <xdr:row>15</xdr:row>
      <xdr:rowOff>7620</xdr:rowOff>
    </xdr:from>
    <xdr:to>
      <xdr:col>7</xdr:col>
      <xdr:colOff>289560</xdr:colOff>
      <xdr:row>15</xdr:row>
      <xdr:rowOff>53340</xdr:rowOff>
    </xdr:to>
    <xdr:sp macro="" textlink="">
      <xdr:nvSpPr>
        <xdr:cNvPr id="1283" name="Line 259"/>
        <xdr:cNvSpPr>
          <a:spLocks noChangeShapeType="1"/>
        </xdr:cNvSpPr>
      </xdr:nvSpPr>
      <xdr:spPr bwMode="auto">
        <a:xfrm flipH="1" flipV="1">
          <a:off x="5981700" y="3017520"/>
          <a:ext cx="1120140" cy="457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723900</xdr:colOff>
      <xdr:row>0</xdr:row>
      <xdr:rowOff>30480</xdr:rowOff>
    </xdr:from>
    <xdr:to>
      <xdr:col>7</xdr:col>
      <xdr:colOff>403860</xdr:colOff>
      <xdr:row>0</xdr:row>
      <xdr:rowOff>182880</xdr:rowOff>
    </xdr:to>
    <xdr:sp macro="" textlink="MBBAL">
      <xdr:nvSpPr>
        <xdr:cNvPr id="1284" name="AutoShape 260"/>
        <xdr:cNvSpPr>
          <a:spLocks noChangeArrowheads="1" noTextEdit="1"/>
        </xdr:cNvSpPr>
      </xdr:nvSpPr>
      <xdr:spPr bwMode="auto">
        <a:xfrm>
          <a:off x="6713220" y="30480"/>
          <a:ext cx="502920" cy="152400"/>
        </a:xfrm>
        <a:prstGeom prst="wedgeRectCallout">
          <a:avLst>
            <a:gd name="adj1" fmla="val 50000"/>
            <a:gd name="adj2" fmla="val 118750"/>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3366FF" mc:Ignorable="a14" a14:legacySpreadsheetColorIndex="48"/>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27432" tIns="18288" rIns="27432" bIns="18288" anchor="ctr" upright="1"/>
        <a:lstStyle/>
        <a:p>
          <a:pPr algn="ctr" rtl="0">
            <a:defRPr sz="1000"/>
          </a:pPr>
          <a:fld id="{06C91C3E-2C8B-40F0-B8CF-48E6A5ACEBC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1501140</xdr:colOff>
      <xdr:row>28</xdr:row>
      <xdr:rowOff>167640</xdr:rowOff>
    </xdr:from>
    <xdr:to>
      <xdr:col>1</xdr:col>
      <xdr:colOff>289560</xdr:colOff>
      <xdr:row>29</xdr:row>
      <xdr:rowOff>7620</xdr:rowOff>
    </xdr:to>
    <xdr:sp macro="" textlink="">
      <xdr:nvSpPr>
        <xdr:cNvPr id="1285" name="Line 261"/>
        <xdr:cNvSpPr>
          <a:spLocks noChangeShapeType="1"/>
        </xdr:cNvSpPr>
      </xdr:nvSpPr>
      <xdr:spPr bwMode="auto">
        <a:xfrm flipV="1">
          <a:off x="1501140" y="5753100"/>
          <a:ext cx="57150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495300</xdr:colOff>
      <xdr:row>8</xdr:row>
      <xdr:rowOff>160020</xdr:rowOff>
    </xdr:from>
    <xdr:to>
      <xdr:col>7</xdr:col>
      <xdr:colOff>579120</xdr:colOff>
      <xdr:row>9</xdr:row>
      <xdr:rowOff>45720</xdr:rowOff>
    </xdr:to>
    <xdr:sp macro="" textlink="">
      <xdr:nvSpPr>
        <xdr:cNvPr id="1288" name="Rectangle 264"/>
        <xdr:cNvSpPr>
          <a:spLocks noChangeArrowheads="1"/>
        </xdr:cNvSpPr>
      </xdr:nvSpPr>
      <xdr:spPr bwMode="auto">
        <a:xfrm>
          <a:off x="7307580" y="1775460"/>
          <a:ext cx="8382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769620</xdr:colOff>
      <xdr:row>7</xdr:row>
      <xdr:rowOff>167640</xdr:rowOff>
    </xdr:from>
    <xdr:to>
      <xdr:col>8</xdr:col>
      <xdr:colOff>38100</xdr:colOff>
      <xdr:row>8</xdr:row>
      <xdr:rowOff>53340</xdr:rowOff>
    </xdr:to>
    <xdr:sp macro="" textlink="">
      <xdr:nvSpPr>
        <xdr:cNvPr id="1289" name="Rectangle 265"/>
        <xdr:cNvSpPr>
          <a:spLocks noChangeArrowheads="1"/>
        </xdr:cNvSpPr>
      </xdr:nvSpPr>
      <xdr:spPr bwMode="auto">
        <a:xfrm>
          <a:off x="7581900" y="157734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absolute">
        <xdr:from>
          <xdr:col>12</xdr:col>
          <xdr:colOff>320040</xdr:colOff>
          <xdr:row>34</xdr:row>
          <xdr:rowOff>160020</xdr:rowOff>
        </xdr:from>
        <xdr:to>
          <xdr:col>12</xdr:col>
          <xdr:colOff>685800</xdr:colOff>
          <xdr:row>35</xdr:row>
          <xdr:rowOff>160020</xdr:rowOff>
        </xdr:to>
        <xdr:sp macro="" textlink="">
          <xdr:nvSpPr>
            <xdr:cNvPr id="1291" name="checkboxSaveDailyData" hidden="1">
              <a:extLst>
                <a:ext uri="{63B3BB69-23CF-44E3-9099-C40C66FF867C}">
                  <a14:compatExt spid="_x0000_s1291"/>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sp>
        <xdr:clientData fPrintsWithSheet="0"/>
      </xdr:twoCellAnchor>
    </mc:Choice>
    <mc:Fallback/>
  </mc:AlternateContent>
  <xdr:twoCellAnchor editAs="absolute">
    <xdr:from>
      <xdr:col>12</xdr:col>
      <xdr:colOff>137160</xdr:colOff>
      <xdr:row>6</xdr:row>
      <xdr:rowOff>144780</xdr:rowOff>
    </xdr:from>
    <xdr:to>
      <xdr:col>12</xdr:col>
      <xdr:colOff>594360</xdr:colOff>
      <xdr:row>7</xdr:row>
      <xdr:rowOff>106680</xdr:rowOff>
    </xdr:to>
    <xdr:sp macro="" textlink="_act26167">
      <xdr:nvSpPr>
        <xdr:cNvPr id="1292" name="Text 30"/>
        <xdr:cNvSpPr txBox="1">
          <a:spLocks noChangeArrowheads="1" noTextEdit="1"/>
        </xdr:cNvSpPr>
      </xdr:nvSpPr>
      <xdr:spPr bwMode="auto">
        <a:xfrm flipV="1">
          <a:off x="11064240" y="1356360"/>
          <a:ext cx="45720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77E53E1-CE9B-4451-8C45-1FBA83D4443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464820</xdr:colOff>
      <xdr:row>5</xdr:row>
      <xdr:rowOff>144780</xdr:rowOff>
    </xdr:from>
    <xdr:to>
      <xdr:col>12</xdr:col>
      <xdr:colOff>685800</xdr:colOff>
      <xdr:row>6</xdr:row>
      <xdr:rowOff>144780</xdr:rowOff>
    </xdr:to>
    <xdr:sp macro="[1]!siteclickloc" textlink="">
      <xdr:nvSpPr>
        <xdr:cNvPr id="1293" name="26167"/>
        <xdr:cNvSpPr>
          <a:spLocks noChangeArrowheads="1"/>
        </xdr:cNvSpPr>
      </xdr:nvSpPr>
      <xdr:spPr bwMode="auto">
        <a:xfrm>
          <a:off x="10568940" y="1158240"/>
          <a:ext cx="104394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Centana Orange</a:t>
          </a:r>
        </a:p>
      </xdr:txBody>
    </xdr:sp>
    <xdr:clientData/>
  </xdr:twoCellAnchor>
  <xdr:twoCellAnchor>
    <xdr:from>
      <xdr:col>10</xdr:col>
      <xdr:colOff>655320</xdr:colOff>
      <xdr:row>2</xdr:row>
      <xdr:rowOff>106680</xdr:rowOff>
    </xdr:from>
    <xdr:to>
      <xdr:col>11</xdr:col>
      <xdr:colOff>327660</xdr:colOff>
      <xdr:row>3</xdr:row>
      <xdr:rowOff>114300</xdr:rowOff>
    </xdr:to>
    <xdr:sp macro="" textlink="">
      <xdr:nvSpPr>
        <xdr:cNvPr id="1294" name="Line 270"/>
        <xdr:cNvSpPr>
          <a:spLocks noChangeShapeType="1"/>
        </xdr:cNvSpPr>
      </xdr:nvSpPr>
      <xdr:spPr bwMode="auto">
        <a:xfrm>
          <a:off x="9936480" y="510540"/>
          <a:ext cx="495300" cy="20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53340</xdr:colOff>
      <xdr:row>0</xdr:row>
      <xdr:rowOff>0</xdr:rowOff>
    </xdr:from>
    <xdr:to>
      <xdr:col>12</xdr:col>
      <xdr:colOff>419100</xdr:colOff>
      <xdr:row>1</xdr:row>
      <xdr:rowOff>53340</xdr:rowOff>
    </xdr:to>
    <xdr:sp macro="" textlink="">
      <xdr:nvSpPr>
        <xdr:cNvPr id="1295" name="Text 83"/>
        <xdr:cNvSpPr txBox="1">
          <a:spLocks noChangeArrowheads="1"/>
        </xdr:cNvSpPr>
      </xdr:nvSpPr>
      <xdr:spPr bwMode="auto">
        <a:xfrm>
          <a:off x="10157460" y="0"/>
          <a:ext cx="1188720" cy="25146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36576" rIns="45720" bIns="0" anchor="t" upright="1"/>
        <a:lstStyle/>
        <a:p>
          <a:pPr algn="r" rtl="0">
            <a:defRPr sz="1000"/>
          </a:pPr>
          <a:r>
            <a:rPr lang="en-US" sz="1600" b="1" i="1" u="none" strike="noStrike" baseline="0">
              <a:solidFill>
                <a:srgbClr val="000000"/>
              </a:solidFill>
              <a:latin typeface="Times New Roman"/>
              <a:cs typeface="Times New Roman"/>
            </a:rPr>
            <a:t>Louisiana</a:t>
          </a:r>
        </a:p>
      </xdr:txBody>
    </xdr:sp>
    <xdr:clientData/>
  </xdr:twoCellAnchor>
  <xdr:twoCellAnchor editAs="absolute">
    <xdr:from>
      <xdr:col>12</xdr:col>
      <xdr:colOff>228600</xdr:colOff>
      <xdr:row>9</xdr:row>
      <xdr:rowOff>45720</xdr:rowOff>
    </xdr:from>
    <xdr:to>
      <xdr:col>12</xdr:col>
      <xdr:colOff>777240</xdr:colOff>
      <xdr:row>9</xdr:row>
      <xdr:rowOff>175260</xdr:rowOff>
    </xdr:to>
    <xdr:sp macro="" textlink="_act820">
      <xdr:nvSpPr>
        <xdr:cNvPr id="1296" name="Text 120"/>
        <xdr:cNvSpPr txBox="1">
          <a:spLocks noChangeArrowheads="1"/>
        </xdr:cNvSpPr>
      </xdr:nvSpPr>
      <xdr:spPr bwMode="auto">
        <a:xfrm>
          <a:off x="11155680" y="1866900"/>
          <a:ext cx="54864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EF1426D-10AC-4C32-A2F1-644ED900207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365760</xdr:colOff>
      <xdr:row>8</xdr:row>
      <xdr:rowOff>68580</xdr:rowOff>
    </xdr:from>
    <xdr:to>
      <xdr:col>12</xdr:col>
      <xdr:colOff>617220</xdr:colOff>
      <xdr:row>9</xdr:row>
      <xdr:rowOff>30480</xdr:rowOff>
    </xdr:to>
    <xdr:sp macro="[1]!siteclickloc" textlink="">
      <xdr:nvSpPr>
        <xdr:cNvPr id="1297" name="820"/>
        <xdr:cNvSpPr txBox="1">
          <a:spLocks noChangeArrowheads="1"/>
        </xdr:cNvSpPr>
      </xdr:nvSpPr>
      <xdr:spPr bwMode="auto">
        <a:xfrm>
          <a:off x="11292840" y="1684020"/>
          <a:ext cx="2514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820</a:t>
          </a:r>
        </a:p>
      </xdr:txBody>
    </xdr:sp>
    <xdr:clientData/>
  </xdr:twoCellAnchor>
  <xdr:twoCellAnchor editAs="absolute">
    <xdr:from>
      <xdr:col>0</xdr:col>
      <xdr:colOff>220980</xdr:colOff>
      <xdr:row>30</xdr:row>
      <xdr:rowOff>129540</xdr:rowOff>
    </xdr:from>
    <xdr:to>
      <xdr:col>0</xdr:col>
      <xdr:colOff>350520</xdr:colOff>
      <xdr:row>31</xdr:row>
      <xdr:rowOff>30480</xdr:rowOff>
    </xdr:to>
    <xdr:sp macro="" textlink="">
      <xdr:nvSpPr>
        <xdr:cNvPr id="1298" name="402A01"/>
        <xdr:cNvSpPr>
          <a:spLocks noChangeArrowheads="1"/>
        </xdr:cNvSpPr>
      </xdr:nvSpPr>
      <xdr:spPr bwMode="auto">
        <a:xfrm>
          <a:off x="220980" y="6111240"/>
          <a:ext cx="129540" cy="9906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403860</xdr:colOff>
      <xdr:row>30</xdr:row>
      <xdr:rowOff>129540</xdr:rowOff>
    </xdr:from>
    <xdr:to>
      <xdr:col>0</xdr:col>
      <xdr:colOff>541020</xdr:colOff>
      <xdr:row>31</xdr:row>
      <xdr:rowOff>30480</xdr:rowOff>
    </xdr:to>
    <xdr:sp macro="" textlink="">
      <xdr:nvSpPr>
        <xdr:cNvPr id="1299" name="402A02"/>
        <xdr:cNvSpPr>
          <a:spLocks noChangeArrowheads="1"/>
        </xdr:cNvSpPr>
      </xdr:nvSpPr>
      <xdr:spPr bwMode="auto">
        <a:xfrm>
          <a:off x="403860" y="6111240"/>
          <a:ext cx="137160" cy="9906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411480</xdr:colOff>
      <xdr:row>31</xdr:row>
      <xdr:rowOff>83820</xdr:rowOff>
    </xdr:from>
    <xdr:to>
      <xdr:col>0</xdr:col>
      <xdr:colOff>670560</xdr:colOff>
      <xdr:row>32</xdr:row>
      <xdr:rowOff>7620</xdr:rowOff>
    </xdr:to>
    <xdr:sp macro="" textlink="">
      <xdr:nvSpPr>
        <xdr:cNvPr id="1300" name="Line 276"/>
        <xdr:cNvSpPr>
          <a:spLocks noChangeShapeType="1"/>
        </xdr:cNvSpPr>
      </xdr:nvSpPr>
      <xdr:spPr bwMode="auto">
        <a:xfrm>
          <a:off x="411480" y="6263640"/>
          <a:ext cx="259080" cy="1295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144780</xdr:colOff>
      <xdr:row>29</xdr:row>
      <xdr:rowOff>38100</xdr:rowOff>
    </xdr:from>
    <xdr:to>
      <xdr:col>0</xdr:col>
      <xdr:colOff>464820</xdr:colOff>
      <xdr:row>30</xdr:row>
      <xdr:rowOff>0</xdr:rowOff>
    </xdr:to>
    <xdr:sp macro="[1]!siteclickloc" textlink="">
      <xdr:nvSpPr>
        <xdr:cNvPr id="1301" name="402C"/>
        <xdr:cNvSpPr txBox="1">
          <a:spLocks noChangeArrowheads="1"/>
        </xdr:cNvSpPr>
      </xdr:nvSpPr>
      <xdr:spPr bwMode="auto">
        <a:xfrm>
          <a:off x="144780" y="5821680"/>
          <a:ext cx="3200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402C</a:t>
          </a:r>
        </a:p>
      </xdr:txBody>
    </xdr:sp>
    <xdr:clientData/>
  </xdr:twoCellAnchor>
  <xdr:twoCellAnchor editAs="absolute">
    <xdr:from>
      <xdr:col>3</xdr:col>
      <xdr:colOff>449580</xdr:colOff>
      <xdr:row>30</xdr:row>
      <xdr:rowOff>106680</xdr:rowOff>
    </xdr:from>
    <xdr:to>
      <xdr:col>4</xdr:col>
      <xdr:colOff>83820</xdr:colOff>
      <xdr:row>31</xdr:row>
      <xdr:rowOff>45720</xdr:rowOff>
    </xdr:to>
    <xdr:sp macro="" textlink="_PS800">
      <xdr:nvSpPr>
        <xdr:cNvPr id="1302" name="p800s"/>
        <xdr:cNvSpPr txBox="1">
          <a:spLocks noChangeArrowheads="1" noTextEdit="1"/>
        </xdr:cNvSpPr>
      </xdr:nvSpPr>
      <xdr:spPr bwMode="auto">
        <a:xfrm>
          <a:off x="3970020" y="6088380"/>
          <a:ext cx="457200" cy="13716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79577CE2-39A1-4F3C-95A4-CA74FAD6E3E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815340</xdr:colOff>
      <xdr:row>1</xdr:row>
      <xdr:rowOff>106680</xdr:rowOff>
    </xdr:from>
    <xdr:to>
      <xdr:col>11</xdr:col>
      <xdr:colOff>411480</xdr:colOff>
      <xdr:row>2</xdr:row>
      <xdr:rowOff>53340</xdr:rowOff>
    </xdr:to>
    <xdr:sp macro="" textlink="_PD26156">
      <xdr:nvSpPr>
        <xdr:cNvPr id="1303" name="p26156d"/>
        <xdr:cNvSpPr txBox="1">
          <a:spLocks noChangeArrowheads="1" noTextEdit="1"/>
        </xdr:cNvSpPr>
      </xdr:nvSpPr>
      <xdr:spPr bwMode="auto">
        <a:xfrm>
          <a:off x="10096500" y="304800"/>
          <a:ext cx="4191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3D1AA210-0E5D-4826-9CBE-F2EB026EFE0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731520</xdr:colOff>
      <xdr:row>3</xdr:row>
      <xdr:rowOff>175260</xdr:rowOff>
    </xdr:from>
    <xdr:to>
      <xdr:col>5</xdr:col>
      <xdr:colOff>358140</xdr:colOff>
      <xdr:row>4</xdr:row>
      <xdr:rowOff>137160</xdr:rowOff>
    </xdr:to>
    <xdr:sp macro="" textlink="_act11159">
      <xdr:nvSpPr>
        <xdr:cNvPr id="1304" name="Text 30"/>
        <xdr:cNvSpPr txBox="1">
          <a:spLocks noChangeArrowheads="1" noTextEdit="1"/>
        </xdr:cNvSpPr>
      </xdr:nvSpPr>
      <xdr:spPr bwMode="auto">
        <a:xfrm flipV="1">
          <a:off x="5074920" y="777240"/>
          <a:ext cx="449580" cy="1676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426E1E0-C99F-4583-A03A-4200A4C4FC0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411480</xdr:colOff>
      <xdr:row>4</xdr:row>
      <xdr:rowOff>15240</xdr:rowOff>
    </xdr:from>
    <xdr:to>
      <xdr:col>6</xdr:col>
      <xdr:colOff>152400</xdr:colOff>
      <xdr:row>6</xdr:row>
      <xdr:rowOff>83820</xdr:rowOff>
    </xdr:to>
    <xdr:sp macro="" textlink="">
      <xdr:nvSpPr>
        <xdr:cNvPr id="1305" name="Line 281"/>
        <xdr:cNvSpPr>
          <a:spLocks noChangeShapeType="1"/>
        </xdr:cNvSpPr>
      </xdr:nvSpPr>
      <xdr:spPr bwMode="auto">
        <a:xfrm flipH="1" flipV="1">
          <a:off x="5577840" y="822960"/>
          <a:ext cx="563880" cy="4724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685800</xdr:colOff>
      <xdr:row>5</xdr:row>
      <xdr:rowOff>182880</xdr:rowOff>
    </xdr:from>
    <xdr:to>
      <xdr:col>5</xdr:col>
      <xdr:colOff>312420</xdr:colOff>
      <xdr:row>6</xdr:row>
      <xdr:rowOff>144780</xdr:rowOff>
    </xdr:to>
    <xdr:sp macro="" textlink="_act56015">
      <xdr:nvSpPr>
        <xdr:cNvPr id="1306" name="Text 30"/>
        <xdr:cNvSpPr txBox="1">
          <a:spLocks noChangeArrowheads="1" noTextEdit="1"/>
        </xdr:cNvSpPr>
      </xdr:nvSpPr>
      <xdr:spPr bwMode="auto">
        <a:xfrm flipV="1">
          <a:off x="5029200" y="1196340"/>
          <a:ext cx="44958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0404BB5-A80F-4DE7-B753-99D29F9377C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624840</xdr:colOff>
      <xdr:row>3</xdr:row>
      <xdr:rowOff>0</xdr:rowOff>
    </xdr:from>
    <xdr:to>
      <xdr:col>5</xdr:col>
      <xdr:colOff>464820</xdr:colOff>
      <xdr:row>3</xdr:row>
      <xdr:rowOff>167640</xdr:rowOff>
    </xdr:to>
    <xdr:sp macro="" textlink="">
      <xdr:nvSpPr>
        <xdr:cNvPr id="1307" name="16297"/>
        <xdr:cNvSpPr txBox="1">
          <a:spLocks noChangeArrowheads="1"/>
        </xdr:cNvSpPr>
      </xdr:nvSpPr>
      <xdr:spPr bwMode="auto">
        <a:xfrm>
          <a:off x="4968240" y="601980"/>
          <a:ext cx="6629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Katy</a:t>
          </a:r>
        </a:p>
      </xdr:txBody>
    </xdr:sp>
    <xdr:clientData/>
  </xdr:twoCellAnchor>
  <xdr:twoCellAnchor editAs="absolute">
    <xdr:from>
      <xdr:col>4</xdr:col>
      <xdr:colOff>0</xdr:colOff>
      <xdr:row>5</xdr:row>
      <xdr:rowOff>15240</xdr:rowOff>
    </xdr:from>
    <xdr:to>
      <xdr:col>5</xdr:col>
      <xdr:colOff>259080</xdr:colOff>
      <xdr:row>5</xdr:row>
      <xdr:rowOff>182880</xdr:rowOff>
    </xdr:to>
    <xdr:sp macro="" textlink="">
      <xdr:nvSpPr>
        <xdr:cNvPr id="1308" name="16297"/>
        <xdr:cNvSpPr txBox="1">
          <a:spLocks noChangeArrowheads="1"/>
        </xdr:cNvSpPr>
      </xdr:nvSpPr>
      <xdr:spPr bwMode="auto">
        <a:xfrm>
          <a:off x="4343400" y="1028700"/>
          <a:ext cx="10820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Parish Plt  //   DT</a:t>
          </a:r>
        </a:p>
      </xdr:txBody>
    </xdr:sp>
    <xdr:clientData/>
  </xdr:twoCellAnchor>
  <xdr:twoCellAnchor editAs="absolute">
    <xdr:from>
      <xdr:col>5</xdr:col>
      <xdr:colOff>274320</xdr:colOff>
      <xdr:row>6</xdr:row>
      <xdr:rowOff>7620</xdr:rowOff>
    </xdr:from>
    <xdr:to>
      <xdr:col>6</xdr:col>
      <xdr:colOff>655320</xdr:colOff>
      <xdr:row>9</xdr:row>
      <xdr:rowOff>45720</xdr:rowOff>
    </xdr:to>
    <xdr:sp macro="" textlink="">
      <xdr:nvSpPr>
        <xdr:cNvPr id="1309" name="Line 285"/>
        <xdr:cNvSpPr>
          <a:spLocks noChangeShapeType="1"/>
        </xdr:cNvSpPr>
      </xdr:nvSpPr>
      <xdr:spPr bwMode="auto">
        <a:xfrm flipH="1" flipV="1">
          <a:off x="5440680" y="1219200"/>
          <a:ext cx="120396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403860</xdr:colOff>
      <xdr:row>6</xdr:row>
      <xdr:rowOff>53340</xdr:rowOff>
    </xdr:from>
    <xdr:to>
      <xdr:col>4</xdr:col>
      <xdr:colOff>693420</xdr:colOff>
      <xdr:row>6</xdr:row>
      <xdr:rowOff>53340</xdr:rowOff>
    </xdr:to>
    <xdr:sp macro="" textlink="">
      <xdr:nvSpPr>
        <xdr:cNvPr id="1310" name="Line 286"/>
        <xdr:cNvSpPr>
          <a:spLocks noChangeShapeType="1"/>
        </xdr:cNvSpPr>
      </xdr:nvSpPr>
      <xdr:spPr bwMode="auto">
        <a:xfrm flipH="1">
          <a:off x="4747260" y="1264920"/>
          <a:ext cx="289560" cy="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5</xdr:col>
      <xdr:colOff>137160</xdr:colOff>
      <xdr:row>8</xdr:row>
      <xdr:rowOff>137160</xdr:rowOff>
    </xdr:from>
    <xdr:to>
      <xdr:col>5</xdr:col>
      <xdr:colOff>480060</xdr:colOff>
      <xdr:row>8</xdr:row>
      <xdr:rowOff>137160</xdr:rowOff>
    </xdr:to>
    <xdr:sp macro="" textlink="">
      <xdr:nvSpPr>
        <xdr:cNvPr id="1311" name="julbypass"/>
        <xdr:cNvSpPr>
          <a:spLocks noChangeShapeType="1"/>
        </xdr:cNvSpPr>
      </xdr:nvSpPr>
      <xdr:spPr bwMode="auto">
        <a:xfrm>
          <a:off x="5303520" y="1752600"/>
          <a:ext cx="342900" cy="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739140</xdr:colOff>
      <xdr:row>8</xdr:row>
      <xdr:rowOff>198120</xdr:rowOff>
    </xdr:from>
    <xdr:to>
      <xdr:col>5</xdr:col>
      <xdr:colOff>358140</xdr:colOff>
      <xdr:row>9</xdr:row>
      <xdr:rowOff>83820</xdr:rowOff>
    </xdr:to>
    <xdr:sp macro="" textlink="">
      <xdr:nvSpPr>
        <xdr:cNvPr id="1312" name="julturb" hidden="1"/>
        <xdr:cNvSpPr>
          <a:spLocks noChangeShapeType="1"/>
        </xdr:cNvSpPr>
      </xdr:nvSpPr>
      <xdr:spPr bwMode="auto">
        <a:xfrm>
          <a:off x="5082540" y="1813560"/>
          <a:ext cx="441960" cy="9144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45720</xdr:colOff>
      <xdr:row>9</xdr:row>
      <xdr:rowOff>121920</xdr:rowOff>
    </xdr:from>
    <xdr:to>
      <xdr:col>7</xdr:col>
      <xdr:colOff>83820</xdr:colOff>
      <xdr:row>9</xdr:row>
      <xdr:rowOff>160020</xdr:rowOff>
    </xdr:to>
    <xdr:sp macro="" textlink="">
      <xdr:nvSpPr>
        <xdr:cNvPr id="1313" name="julturb2" hidden="1"/>
        <xdr:cNvSpPr>
          <a:spLocks noChangeShapeType="1"/>
        </xdr:cNvSpPr>
      </xdr:nvSpPr>
      <xdr:spPr bwMode="auto">
        <a:xfrm>
          <a:off x="6035040" y="1943100"/>
          <a:ext cx="861060" cy="3810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167640</xdr:colOff>
      <xdr:row>7</xdr:row>
      <xdr:rowOff>121920</xdr:rowOff>
    </xdr:from>
    <xdr:to>
      <xdr:col>4</xdr:col>
      <xdr:colOff>609600</xdr:colOff>
      <xdr:row>8</xdr:row>
      <xdr:rowOff>76200</xdr:rowOff>
    </xdr:to>
    <xdr:sp macro="" textlink="_PS812">
      <xdr:nvSpPr>
        <xdr:cNvPr id="1314" name="p812s"/>
        <xdr:cNvSpPr txBox="1">
          <a:spLocks noChangeArrowheads="1" noTextEdit="1"/>
        </xdr:cNvSpPr>
      </xdr:nvSpPr>
      <xdr:spPr bwMode="auto">
        <a:xfrm>
          <a:off x="4511040" y="1531620"/>
          <a:ext cx="44196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B2E14018-8A58-495F-9BAF-0FFFE9CB505D}"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5</xdr:col>
      <xdr:colOff>533400</xdr:colOff>
      <xdr:row>7</xdr:row>
      <xdr:rowOff>121920</xdr:rowOff>
    </xdr:from>
    <xdr:to>
      <xdr:col>6</xdr:col>
      <xdr:colOff>198120</xdr:colOff>
      <xdr:row>8</xdr:row>
      <xdr:rowOff>45720</xdr:rowOff>
    </xdr:to>
    <xdr:sp macro="" textlink="_PD812">
      <xdr:nvSpPr>
        <xdr:cNvPr id="1315" name="p812d"/>
        <xdr:cNvSpPr txBox="1">
          <a:spLocks noChangeArrowheads="1" noTextEdit="1"/>
        </xdr:cNvSpPr>
      </xdr:nvSpPr>
      <xdr:spPr bwMode="auto">
        <a:xfrm>
          <a:off x="5699760" y="1531620"/>
          <a:ext cx="487680" cy="12954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22B42A8F-698D-4E67-8EDF-D8D7B2862D3B}"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3</xdr:col>
      <xdr:colOff>419100</xdr:colOff>
      <xdr:row>5</xdr:row>
      <xdr:rowOff>30480</xdr:rowOff>
    </xdr:from>
    <xdr:to>
      <xdr:col>4</xdr:col>
      <xdr:colOff>38100</xdr:colOff>
      <xdr:row>5</xdr:row>
      <xdr:rowOff>190500</xdr:rowOff>
    </xdr:to>
    <xdr:sp macro="" textlink="_PD6148">
      <xdr:nvSpPr>
        <xdr:cNvPr id="1316" name="p6148d"/>
        <xdr:cNvSpPr txBox="1">
          <a:spLocks noChangeArrowheads="1" noTextEdit="1"/>
        </xdr:cNvSpPr>
      </xdr:nvSpPr>
      <xdr:spPr bwMode="auto">
        <a:xfrm>
          <a:off x="3939540" y="1043940"/>
          <a:ext cx="44196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AE4C8CC0-7734-4DE3-9D8A-E93720529B30}"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213360</xdr:colOff>
      <xdr:row>5</xdr:row>
      <xdr:rowOff>30480</xdr:rowOff>
    </xdr:from>
    <xdr:to>
      <xdr:col>5</xdr:col>
      <xdr:colOff>647700</xdr:colOff>
      <xdr:row>5</xdr:row>
      <xdr:rowOff>190500</xdr:rowOff>
    </xdr:to>
    <xdr:sp macro="" textlink="_PD56015">
      <xdr:nvSpPr>
        <xdr:cNvPr id="1317" name="p56015d"/>
        <xdr:cNvSpPr txBox="1">
          <a:spLocks noChangeArrowheads="1" noTextEdit="1"/>
        </xdr:cNvSpPr>
      </xdr:nvSpPr>
      <xdr:spPr bwMode="auto">
        <a:xfrm>
          <a:off x="5379720" y="1043940"/>
          <a:ext cx="43434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B7AB5358-B6F1-4441-8B12-3C7E5A89671A}"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absolute">
        <xdr:from>
          <xdr:col>0</xdr:col>
          <xdr:colOff>38100</xdr:colOff>
          <xdr:row>3</xdr:row>
          <xdr:rowOff>68580</xdr:rowOff>
        </xdr:from>
        <xdr:to>
          <xdr:col>0</xdr:col>
          <xdr:colOff>1341120</xdr:colOff>
          <xdr:row>4</xdr:row>
          <xdr:rowOff>76200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twoCellAnchor editAs="absolute">
    <xdr:from>
      <xdr:col>8</xdr:col>
      <xdr:colOff>106680</xdr:colOff>
      <xdr:row>5</xdr:row>
      <xdr:rowOff>144780</xdr:rowOff>
    </xdr:from>
    <xdr:to>
      <xdr:col>8</xdr:col>
      <xdr:colOff>259080</xdr:colOff>
      <xdr:row>7</xdr:row>
      <xdr:rowOff>68580</xdr:rowOff>
    </xdr:to>
    <xdr:sp macro="" textlink="">
      <xdr:nvSpPr>
        <xdr:cNvPr id="1319" name="Line 295"/>
        <xdr:cNvSpPr>
          <a:spLocks noChangeShapeType="1"/>
        </xdr:cNvSpPr>
      </xdr:nvSpPr>
      <xdr:spPr bwMode="auto">
        <a:xfrm flipV="1">
          <a:off x="7741920" y="1158240"/>
          <a:ext cx="152400" cy="3200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289560</xdr:colOff>
      <xdr:row>3</xdr:row>
      <xdr:rowOff>121920</xdr:rowOff>
    </xdr:from>
    <xdr:to>
      <xdr:col>9</xdr:col>
      <xdr:colOff>45720</xdr:colOff>
      <xdr:row>5</xdr:row>
      <xdr:rowOff>76200</xdr:rowOff>
    </xdr:to>
    <xdr:sp macro="[1]!siteclickloc" textlink="">
      <xdr:nvSpPr>
        <xdr:cNvPr id="1321" name="26106"/>
        <xdr:cNvSpPr>
          <a:spLocks noChangeArrowheads="1"/>
        </xdr:cNvSpPr>
      </xdr:nvSpPr>
      <xdr:spPr bwMode="auto">
        <a:xfrm>
          <a:off x="7101840" y="723900"/>
          <a:ext cx="1402080" cy="36576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TTL HL&amp;P Cedar Bayou/Red Bluff CIG </a:t>
          </a:r>
        </a:p>
      </xdr:txBody>
    </xdr:sp>
    <xdr:clientData/>
  </xdr:twoCellAnchor>
  <xdr:twoCellAnchor>
    <xdr:from>
      <xdr:col>0</xdr:col>
      <xdr:colOff>22860</xdr:colOff>
      <xdr:row>9</xdr:row>
      <xdr:rowOff>15240</xdr:rowOff>
    </xdr:from>
    <xdr:to>
      <xdr:col>2</xdr:col>
      <xdr:colOff>137160</xdr:colOff>
      <xdr:row>16</xdr:row>
      <xdr:rowOff>144780</xdr:rowOff>
    </xdr:to>
    <xdr:graphicFrame macro="">
      <xdr:nvGraphicFramePr>
        <xdr:cNvPr id="1322" name="Chart 29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320040</xdr:colOff>
      <xdr:row>9</xdr:row>
      <xdr:rowOff>83820</xdr:rowOff>
    </xdr:from>
    <xdr:to>
      <xdr:col>6</xdr:col>
      <xdr:colOff>45720</xdr:colOff>
      <xdr:row>10</xdr:row>
      <xdr:rowOff>76200</xdr:rowOff>
    </xdr:to>
    <xdr:sp macro="" textlink="schSCTTLhpl">
      <xdr:nvSpPr>
        <xdr:cNvPr id="2049" name="Text 30"/>
        <xdr:cNvSpPr txBox="1">
          <a:spLocks noChangeArrowheads="1" noTextEdit="1"/>
        </xdr:cNvSpPr>
      </xdr:nvSpPr>
      <xdr:spPr bwMode="auto">
        <a:xfrm flipV="1">
          <a:off x="5394960" y="1882140"/>
          <a:ext cx="54864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71101F6-E192-467A-943E-32476CEDD1F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723900</xdr:colOff>
      <xdr:row>1</xdr:row>
      <xdr:rowOff>0</xdr:rowOff>
    </xdr:from>
    <xdr:to>
      <xdr:col>7</xdr:col>
      <xdr:colOff>342900</xdr:colOff>
      <xdr:row>1</xdr:row>
      <xdr:rowOff>129540</xdr:rowOff>
    </xdr:to>
    <xdr:sp macro="" textlink="_PS16297">
      <xdr:nvSpPr>
        <xdr:cNvPr id="2050" name="Text 97"/>
        <xdr:cNvSpPr txBox="1">
          <a:spLocks noChangeArrowheads="1" noTextEdit="1"/>
        </xdr:cNvSpPr>
      </xdr:nvSpPr>
      <xdr:spPr bwMode="auto">
        <a:xfrm>
          <a:off x="6621780" y="198120"/>
          <a:ext cx="44196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fld id="{47DCB6E7-B7F3-467F-835E-005190ADCF3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137160</xdr:colOff>
      <xdr:row>6</xdr:row>
      <xdr:rowOff>160020</xdr:rowOff>
    </xdr:from>
    <xdr:to>
      <xdr:col>11</xdr:col>
      <xdr:colOff>609600</xdr:colOff>
      <xdr:row>7</xdr:row>
      <xdr:rowOff>152400</xdr:rowOff>
    </xdr:to>
    <xdr:sp macro="" textlink="sch26021hpl">
      <xdr:nvSpPr>
        <xdr:cNvPr id="2051" name="Text 30"/>
        <xdr:cNvSpPr txBox="1">
          <a:spLocks noChangeArrowheads="1" noTextEdit="1"/>
        </xdr:cNvSpPr>
      </xdr:nvSpPr>
      <xdr:spPr bwMode="auto">
        <a:xfrm flipV="1">
          <a:off x="10149840" y="1348740"/>
          <a:ext cx="47244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457B500-10D2-4E3C-A8ED-0E7C997567B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358140</xdr:colOff>
      <xdr:row>9</xdr:row>
      <xdr:rowOff>106680</xdr:rowOff>
    </xdr:from>
    <xdr:to>
      <xdr:col>5</xdr:col>
      <xdr:colOff>45720</xdr:colOff>
      <xdr:row>10</xdr:row>
      <xdr:rowOff>68580</xdr:rowOff>
    </xdr:to>
    <xdr:sp macro="" textlink="actSCTTLhpl">
      <xdr:nvSpPr>
        <xdr:cNvPr id="2052" name="Text 30"/>
        <xdr:cNvSpPr txBox="1">
          <a:spLocks noChangeArrowheads="1" noTextEdit="1"/>
        </xdr:cNvSpPr>
      </xdr:nvSpPr>
      <xdr:spPr bwMode="auto">
        <a:xfrm flipV="1">
          <a:off x="4610100" y="1905000"/>
          <a:ext cx="51054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F0147FE-7630-4361-B5E7-2F857766E5C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624840</xdr:colOff>
      <xdr:row>6</xdr:row>
      <xdr:rowOff>76200</xdr:rowOff>
    </xdr:from>
    <xdr:to>
      <xdr:col>8</xdr:col>
      <xdr:colOff>243840</xdr:colOff>
      <xdr:row>8</xdr:row>
      <xdr:rowOff>38100</xdr:rowOff>
    </xdr:to>
    <xdr:sp macro="" textlink="">
      <xdr:nvSpPr>
        <xdr:cNvPr id="2053" name="Oval 5"/>
        <xdr:cNvSpPr>
          <a:spLocks noChangeArrowheads="1"/>
        </xdr:cNvSpPr>
      </xdr:nvSpPr>
      <xdr:spPr bwMode="auto">
        <a:xfrm>
          <a:off x="7345680" y="1264920"/>
          <a:ext cx="441960" cy="365760"/>
        </a:xfrm>
        <a:prstGeom prst="ellipse">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91440</xdr:colOff>
      <xdr:row>1</xdr:row>
      <xdr:rowOff>167640</xdr:rowOff>
    </xdr:from>
    <xdr:to>
      <xdr:col>10</xdr:col>
      <xdr:colOff>594360</xdr:colOff>
      <xdr:row>2</xdr:row>
      <xdr:rowOff>106680</xdr:rowOff>
    </xdr:to>
    <xdr:sp macro="" textlink="act16335hpl">
      <xdr:nvSpPr>
        <xdr:cNvPr id="2054" name="Text 30"/>
        <xdr:cNvSpPr txBox="1">
          <a:spLocks noChangeArrowheads="1" noTextEdit="1"/>
        </xdr:cNvSpPr>
      </xdr:nvSpPr>
      <xdr:spPr bwMode="auto">
        <a:xfrm flipV="1">
          <a:off x="9281160" y="365760"/>
          <a:ext cx="50292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10AF238-1D19-45DC-987A-964B364EAB1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670560</xdr:colOff>
      <xdr:row>3</xdr:row>
      <xdr:rowOff>0</xdr:rowOff>
    </xdr:from>
    <xdr:to>
      <xdr:col>8</xdr:col>
      <xdr:colOff>403860</xdr:colOff>
      <xdr:row>3</xdr:row>
      <xdr:rowOff>182880</xdr:rowOff>
    </xdr:to>
    <xdr:sp macro="" textlink="_sch26084">
      <xdr:nvSpPr>
        <xdr:cNvPr id="2055" name="Text 30"/>
        <xdr:cNvSpPr txBox="1">
          <a:spLocks noChangeArrowheads="1" noTextEdit="1"/>
        </xdr:cNvSpPr>
      </xdr:nvSpPr>
      <xdr:spPr bwMode="auto">
        <a:xfrm flipV="1">
          <a:off x="7391400" y="594360"/>
          <a:ext cx="55626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5E30E7F-14EB-4BCB-94C1-39FCAB908C5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815340</xdr:colOff>
      <xdr:row>7</xdr:row>
      <xdr:rowOff>190500</xdr:rowOff>
    </xdr:from>
    <xdr:to>
      <xdr:col>10</xdr:col>
      <xdr:colOff>670560</xdr:colOff>
      <xdr:row>13</xdr:row>
      <xdr:rowOff>106680</xdr:rowOff>
    </xdr:to>
    <xdr:sp macro="" textlink="">
      <xdr:nvSpPr>
        <xdr:cNvPr id="2056" name="Line 8"/>
        <xdr:cNvSpPr>
          <a:spLocks noChangeShapeType="1"/>
        </xdr:cNvSpPr>
      </xdr:nvSpPr>
      <xdr:spPr bwMode="auto">
        <a:xfrm flipH="1" flipV="1">
          <a:off x="7536180" y="1577340"/>
          <a:ext cx="2324100" cy="112014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7</xdr:col>
      <xdr:colOff>449580</xdr:colOff>
      <xdr:row>14</xdr:row>
      <xdr:rowOff>144780</xdr:rowOff>
    </xdr:from>
    <xdr:to>
      <xdr:col>8</xdr:col>
      <xdr:colOff>114300</xdr:colOff>
      <xdr:row>15</xdr:row>
      <xdr:rowOff>129540</xdr:rowOff>
    </xdr:to>
    <xdr:sp macro="" textlink="sch26160hpl">
      <xdr:nvSpPr>
        <xdr:cNvPr id="2057" name="Text 30"/>
        <xdr:cNvSpPr txBox="1">
          <a:spLocks noChangeArrowheads="1" noTextEdit="1"/>
        </xdr:cNvSpPr>
      </xdr:nvSpPr>
      <xdr:spPr bwMode="auto">
        <a:xfrm flipV="1">
          <a:off x="7170420" y="2933700"/>
          <a:ext cx="48768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1978CBE-9F48-4363-BF2E-49BDCA48FAD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769620</xdr:colOff>
      <xdr:row>25</xdr:row>
      <xdr:rowOff>144780</xdr:rowOff>
    </xdr:from>
    <xdr:to>
      <xdr:col>3</xdr:col>
      <xdr:colOff>358140</xdr:colOff>
      <xdr:row>27</xdr:row>
      <xdr:rowOff>152400</xdr:rowOff>
    </xdr:to>
    <xdr:sp macro="" textlink="">
      <xdr:nvSpPr>
        <xdr:cNvPr id="2058" name="Line 10"/>
        <xdr:cNvSpPr>
          <a:spLocks noChangeShapeType="1"/>
        </xdr:cNvSpPr>
      </xdr:nvSpPr>
      <xdr:spPr bwMode="auto">
        <a:xfrm flipH="1" flipV="1">
          <a:off x="2552700" y="5113020"/>
          <a:ext cx="1234440" cy="4038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548640</xdr:colOff>
      <xdr:row>26</xdr:row>
      <xdr:rowOff>121920</xdr:rowOff>
    </xdr:from>
    <xdr:to>
      <xdr:col>4</xdr:col>
      <xdr:colOff>160020</xdr:colOff>
      <xdr:row>27</xdr:row>
      <xdr:rowOff>76200</xdr:rowOff>
    </xdr:to>
    <xdr:sp macro="" textlink="sch16244hpl">
      <xdr:nvSpPr>
        <xdr:cNvPr id="2059" name="Text 30"/>
        <xdr:cNvSpPr txBox="1">
          <a:spLocks noChangeArrowheads="1" noTextEdit="1"/>
        </xdr:cNvSpPr>
      </xdr:nvSpPr>
      <xdr:spPr bwMode="auto">
        <a:xfrm flipV="1">
          <a:off x="3977640" y="5288280"/>
          <a:ext cx="43434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8F2117F-BA12-4964-A1EE-50696AD9379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548640</xdr:colOff>
      <xdr:row>28</xdr:row>
      <xdr:rowOff>106680</xdr:rowOff>
    </xdr:from>
    <xdr:to>
      <xdr:col>4</xdr:col>
      <xdr:colOff>160020</xdr:colOff>
      <xdr:row>29</xdr:row>
      <xdr:rowOff>68580</xdr:rowOff>
    </xdr:to>
    <xdr:sp macro="" textlink="act16244hpl">
      <xdr:nvSpPr>
        <xdr:cNvPr id="2060" name="Text 30"/>
        <xdr:cNvSpPr txBox="1">
          <a:spLocks noChangeArrowheads="1" noTextEdit="1"/>
        </xdr:cNvSpPr>
      </xdr:nvSpPr>
      <xdr:spPr bwMode="auto">
        <a:xfrm flipV="1">
          <a:off x="3977640" y="5669280"/>
          <a:ext cx="43434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09A753B-12ED-492E-9620-F1DAFE26F71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510540</xdr:colOff>
      <xdr:row>23</xdr:row>
      <xdr:rowOff>114300</xdr:rowOff>
    </xdr:from>
    <xdr:to>
      <xdr:col>0</xdr:col>
      <xdr:colOff>800100</xdr:colOff>
      <xdr:row>24</xdr:row>
      <xdr:rowOff>83820</xdr:rowOff>
    </xdr:to>
    <xdr:sp macro="" textlink="actTGPADhpl">
      <xdr:nvSpPr>
        <xdr:cNvPr id="2061" name="TGPAGUAS"/>
        <xdr:cNvSpPr txBox="1">
          <a:spLocks noChangeArrowheads="1" noTextEdit="1"/>
        </xdr:cNvSpPr>
      </xdr:nvSpPr>
      <xdr:spPr bwMode="auto">
        <a:xfrm>
          <a:off x="510540" y="4686300"/>
          <a:ext cx="2895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0572DB39-D9CB-4CD3-BE87-251797EDC0C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213360</xdr:colOff>
      <xdr:row>1</xdr:row>
      <xdr:rowOff>160020</xdr:rowOff>
    </xdr:from>
    <xdr:to>
      <xdr:col>7</xdr:col>
      <xdr:colOff>769620</xdr:colOff>
      <xdr:row>2</xdr:row>
      <xdr:rowOff>106680</xdr:rowOff>
    </xdr:to>
    <xdr:sp macro="" textlink="actMBhpl">
      <xdr:nvSpPr>
        <xdr:cNvPr id="2062" name="Text 121"/>
        <xdr:cNvSpPr txBox="1">
          <a:spLocks noChangeArrowheads="1" noTextEdit="1"/>
        </xdr:cNvSpPr>
      </xdr:nvSpPr>
      <xdr:spPr bwMode="auto">
        <a:xfrm>
          <a:off x="6934200" y="358140"/>
          <a:ext cx="55626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81CF87A-6A68-4D1C-8662-C26D47C907E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213360</xdr:colOff>
      <xdr:row>12</xdr:row>
      <xdr:rowOff>190500</xdr:rowOff>
    </xdr:from>
    <xdr:to>
      <xdr:col>11</xdr:col>
      <xdr:colOff>670560</xdr:colOff>
      <xdr:row>13</xdr:row>
      <xdr:rowOff>114300</xdr:rowOff>
    </xdr:to>
    <xdr:sp macro="" textlink="act8141ahpl">
      <xdr:nvSpPr>
        <xdr:cNvPr id="2063" name="Text 119"/>
        <xdr:cNvSpPr txBox="1">
          <a:spLocks noChangeArrowheads="1" noTextEdit="1"/>
        </xdr:cNvSpPr>
      </xdr:nvSpPr>
      <xdr:spPr bwMode="auto">
        <a:xfrm>
          <a:off x="10226040" y="258318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1DE51E2-3DD4-45AB-BD63-D6BD6B0DE45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685800</xdr:colOff>
      <xdr:row>15</xdr:row>
      <xdr:rowOff>30480</xdr:rowOff>
    </xdr:from>
    <xdr:to>
      <xdr:col>11</xdr:col>
      <xdr:colOff>320040</xdr:colOff>
      <xdr:row>15</xdr:row>
      <xdr:rowOff>190500</xdr:rowOff>
    </xdr:to>
    <xdr:sp macro="" textlink="act814hpl">
      <xdr:nvSpPr>
        <xdr:cNvPr id="2064" name="Text 118"/>
        <xdr:cNvSpPr txBox="1">
          <a:spLocks noChangeArrowheads="1" noTextEdit="1"/>
        </xdr:cNvSpPr>
      </xdr:nvSpPr>
      <xdr:spPr bwMode="auto">
        <a:xfrm>
          <a:off x="9875520" y="3017520"/>
          <a:ext cx="4572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16107F2-70FB-434D-8F37-B952B8F5CB6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784860</xdr:colOff>
      <xdr:row>15</xdr:row>
      <xdr:rowOff>152400</xdr:rowOff>
    </xdr:from>
    <xdr:to>
      <xdr:col>10</xdr:col>
      <xdr:colOff>419100</xdr:colOff>
      <xdr:row>16</xdr:row>
      <xdr:rowOff>76200</xdr:rowOff>
    </xdr:to>
    <xdr:sp macro="" textlink="act813hpl">
      <xdr:nvSpPr>
        <xdr:cNvPr id="2065" name="Text 117"/>
        <xdr:cNvSpPr txBox="1">
          <a:spLocks noChangeArrowheads="1" noTextEdit="1"/>
        </xdr:cNvSpPr>
      </xdr:nvSpPr>
      <xdr:spPr bwMode="auto">
        <a:xfrm>
          <a:off x="9151620" y="313944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0D13FF6-8303-4EF1-9300-48728118AED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373380</xdr:colOff>
      <xdr:row>17</xdr:row>
      <xdr:rowOff>190500</xdr:rowOff>
    </xdr:from>
    <xdr:to>
      <xdr:col>10</xdr:col>
      <xdr:colOff>7620</xdr:colOff>
      <xdr:row>18</xdr:row>
      <xdr:rowOff>121920</xdr:rowOff>
    </xdr:to>
    <xdr:sp macro="" textlink="act812hpl">
      <xdr:nvSpPr>
        <xdr:cNvPr id="2066" name="Text 116"/>
        <xdr:cNvSpPr txBox="1">
          <a:spLocks noChangeArrowheads="1" noTextEdit="1"/>
        </xdr:cNvSpPr>
      </xdr:nvSpPr>
      <xdr:spPr bwMode="auto">
        <a:xfrm>
          <a:off x="8740140" y="3573780"/>
          <a:ext cx="4572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C4780B0-1E29-476E-AA8F-593DC72F7B6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0</xdr:colOff>
      <xdr:row>20</xdr:row>
      <xdr:rowOff>190500</xdr:rowOff>
    </xdr:from>
    <xdr:to>
      <xdr:col>9</xdr:col>
      <xdr:colOff>335280</xdr:colOff>
      <xdr:row>21</xdr:row>
      <xdr:rowOff>160020</xdr:rowOff>
    </xdr:to>
    <xdr:sp macro="" textlink="act809hpl">
      <xdr:nvSpPr>
        <xdr:cNvPr id="2067" name="Text 115"/>
        <xdr:cNvSpPr txBox="1">
          <a:spLocks noChangeArrowheads="1" noTextEdit="1"/>
        </xdr:cNvSpPr>
      </xdr:nvSpPr>
      <xdr:spPr bwMode="auto">
        <a:xfrm>
          <a:off x="8366760" y="4168140"/>
          <a:ext cx="3352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C7D6151E-758B-4F60-B4B7-7BC8CDCDC08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815340</xdr:colOff>
      <xdr:row>24</xdr:row>
      <xdr:rowOff>7620</xdr:rowOff>
    </xdr:from>
    <xdr:to>
      <xdr:col>7</xdr:col>
      <xdr:colOff>449580</xdr:colOff>
      <xdr:row>24</xdr:row>
      <xdr:rowOff>144780</xdr:rowOff>
    </xdr:to>
    <xdr:sp macro="" textlink="act806hpl">
      <xdr:nvSpPr>
        <xdr:cNvPr id="2068" name="Text 114"/>
        <xdr:cNvSpPr txBox="1">
          <a:spLocks noChangeArrowheads="1" noTextEdit="1"/>
        </xdr:cNvSpPr>
      </xdr:nvSpPr>
      <xdr:spPr bwMode="auto">
        <a:xfrm>
          <a:off x="6713220" y="4777740"/>
          <a:ext cx="45720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8BE123D-F8CF-41D3-8ABB-DA78327FE62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198120</xdr:colOff>
      <xdr:row>25</xdr:row>
      <xdr:rowOff>182880</xdr:rowOff>
    </xdr:from>
    <xdr:to>
      <xdr:col>6</xdr:col>
      <xdr:colOff>655320</xdr:colOff>
      <xdr:row>26</xdr:row>
      <xdr:rowOff>106680</xdr:rowOff>
    </xdr:to>
    <xdr:sp macro="" textlink="act804hpl">
      <xdr:nvSpPr>
        <xdr:cNvPr id="2069" name="Text 113"/>
        <xdr:cNvSpPr txBox="1">
          <a:spLocks noChangeArrowheads="1" noTextEdit="1"/>
        </xdr:cNvSpPr>
      </xdr:nvSpPr>
      <xdr:spPr bwMode="auto">
        <a:xfrm>
          <a:off x="6096000" y="515112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48F111C-19A2-46DB-97F3-C352C049888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121920</xdr:colOff>
      <xdr:row>27</xdr:row>
      <xdr:rowOff>7620</xdr:rowOff>
    </xdr:from>
    <xdr:to>
      <xdr:col>5</xdr:col>
      <xdr:colOff>579120</xdr:colOff>
      <xdr:row>27</xdr:row>
      <xdr:rowOff>137160</xdr:rowOff>
    </xdr:to>
    <xdr:sp macro="" textlink="act802hpl">
      <xdr:nvSpPr>
        <xdr:cNvPr id="2070" name="Text 112"/>
        <xdr:cNvSpPr txBox="1">
          <a:spLocks noChangeArrowheads="1" noTextEdit="1"/>
        </xdr:cNvSpPr>
      </xdr:nvSpPr>
      <xdr:spPr bwMode="auto">
        <a:xfrm>
          <a:off x="5196840" y="5372100"/>
          <a:ext cx="45720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16D32D0-962D-489F-A8EA-EF5D9B68A94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510540</xdr:colOff>
      <xdr:row>21</xdr:row>
      <xdr:rowOff>190500</xdr:rowOff>
    </xdr:from>
    <xdr:to>
      <xdr:col>0</xdr:col>
      <xdr:colOff>800100</xdr:colOff>
      <xdr:row>22</xdr:row>
      <xdr:rowOff>160020</xdr:rowOff>
    </xdr:to>
    <xdr:sp macro="" textlink="schTGPADhpl">
      <xdr:nvSpPr>
        <xdr:cNvPr id="2071" name="TGPAGUAS"/>
        <xdr:cNvSpPr txBox="1">
          <a:spLocks noChangeArrowheads="1" noTextEdit="1"/>
        </xdr:cNvSpPr>
      </xdr:nvSpPr>
      <xdr:spPr bwMode="auto">
        <a:xfrm>
          <a:off x="510540" y="4366260"/>
          <a:ext cx="2895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A94E2C38-02C3-4212-8FA0-7CA6D1EA8CC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167640</xdr:colOff>
      <xdr:row>7</xdr:row>
      <xdr:rowOff>30480</xdr:rowOff>
    </xdr:from>
    <xdr:to>
      <xdr:col>12</xdr:col>
      <xdr:colOff>624840</xdr:colOff>
      <xdr:row>7</xdr:row>
      <xdr:rowOff>175260</xdr:rowOff>
    </xdr:to>
    <xdr:sp macro="" textlink="sch820hpl">
      <xdr:nvSpPr>
        <xdr:cNvPr id="2072" name="Text 107"/>
        <xdr:cNvSpPr txBox="1">
          <a:spLocks noChangeArrowheads="1" noTextEdit="1"/>
        </xdr:cNvSpPr>
      </xdr:nvSpPr>
      <xdr:spPr bwMode="auto">
        <a:xfrm>
          <a:off x="11003280" y="141732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3CEDBBC-E6D7-48A8-B3A0-C5E43788760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259080</xdr:colOff>
      <xdr:row>0</xdr:row>
      <xdr:rowOff>38100</xdr:rowOff>
    </xdr:from>
    <xdr:to>
      <xdr:col>7</xdr:col>
      <xdr:colOff>754380</xdr:colOff>
      <xdr:row>1</xdr:row>
      <xdr:rowOff>0</xdr:rowOff>
    </xdr:to>
    <xdr:sp macro="" textlink="schMBhpl">
      <xdr:nvSpPr>
        <xdr:cNvPr id="2073" name="Text 97"/>
        <xdr:cNvSpPr txBox="1">
          <a:spLocks noChangeArrowheads="1" noTextEdit="1"/>
        </xdr:cNvSpPr>
      </xdr:nvSpPr>
      <xdr:spPr bwMode="auto">
        <a:xfrm>
          <a:off x="6979920" y="38100"/>
          <a:ext cx="4953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9ACB92E-7178-4B37-93CD-3FBCEB26614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784860</xdr:colOff>
      <xdr:row>14</xdr:row>
      <xdr:rowOff>0</xdr:rowOff>
    </xdr:from>
    <xdr:to>
      <xdr:col>10</xdr:col>
      <xdr:colOff>419100</xdr:colOff>
      <xdr:row>14</xdr:row>
      <xdr:rowOff>121920</xdr:rowOff>
    </xdr:to>
    <xdr:sp macro="" textlink="sch813hpl">
      <xdr:nvSpPr>
        <xdr:cNvPr id="2074" name="Text 73"/>
        <xdr:cNvSpPr txBox="1">
          <a:spLocks noChangeArrowheads="1" noTextEdit="1"/>
        </xdr:cNvSpPr>
      </xdr:nvSpPr>
      <xdr:spPr bwMode="auto">
        <a:xfrm>
          <a:off x="9151620" y="278892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D0DBD09-7ECA-49B1-8300-880A3CB1750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213360</xdr:colOff>
      <xdr:row>11</xdr:row>
      <xdr:rowOff>45720</xdr:rowOff>
    </xdr:from>
    <xdr:to>
      <xdr:col>11</xdr:col>
      <xdr:colOff>670560</xdr:colOff>
      <xdr:row>12</xdr:row>
      <xdr:rowOff>0</xdr:rowOff>
    </xdr:to>
    <xdr:sp macro="" textlink="sch8141ahpl">
      <xdr:nvSpPr>
        <xdr:cNvPr id="2075" name="Text 79"/>
        <xdr:cNvSpPr txBox="1">
          <a:spLocks noChangeArrowheads="1" noTextEdit="1"/>
        </xdr:cNvSpPr>
      </xdr:nvSpPr>
      <xdr:spPr bwMode="auto">
        <a:xfrm>
          <a:off x="10226040" y="224028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5B53DC3-3D6E-47D7-A4D2-7868D7D7757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685800</xdr:colOff>
      <xdr:row>13</xdr:row>
      <xdr:rowOff>106680</xdr:rowOff>
    </xdr:from>
    <xdr:to>
      <xdr:col>11</xdr:col>
      <xdr:colOff>320040</xdr:colOff>
      <xdr:row>14</xdr:row>
      <xdr:rowOff>68580</xdr:rowOff>
    </xdr:to>
    <xdr:sp macro="" textlink="sch814hpl">
      <xdr:nvSpPr>
        <xdr:cNvPr id="2076" name="Text 75"/>
        <xdr:cNvSpPr txBox="1">
          <a:spLocks noChangeArrowheads="1" noTextEdit="1"/>
        </xdr:cNvSpPr>
      </xdr:nvSpPr>
      <xdr:spPr bwMode="auto">
        <a:xfrm>
          <a:off x="9875520" y="2697480"/>
          <a:ext cx="4572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4AABAE4-1B8E-4AB0-AB02-2CC51AA5F34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769620</xdr:colOff>
      <xdr:row>5</xdr:row>
      <xdr:rowOff>7620</xdr:rowOff>
    </xdr:from>
    <xdr:to>
      <xdr:col>12</xdr:col>
      <xdr:colOff>701040</xdr:colOff>
      <xdr:row>36</xdr:row>
      <xdr:rowOff>7620</xdr:rowOff>
    </xdr:to>
    <xdr:grpSp>
      <xdr:nvGrpSpPr>
        <xdr:cNvPr id="2077" name="Group 29"/>
        <xdr:cNvGrpSpPr>
          <a:grpSpLocks/>
        </xdr:cNvGrpSpPr>
      </xdr:nvGrpSpPr>
      <xdr:grpSpPr bwMode="auto">
        <a:xfrm>
          <a:off x="2552700" y="998220"/>
          <a:ext cx="8983980" cy="6202680"/>
          <a:chOff x="-161" y="-3463"/>
          <a:chExt cx="19650" cy="655"/>
        </a:xfrm>
      </xdr:grpSpPr>
      <xdr:grpSp>
        <xdr:nvGrpSpPr>
          <xdr:cNvPr id="2078" name="Group 30"/>
          <xdr:cNvGrpSpPr>
            <a:grpSpLocks/>
          </xdr:cNvGrpSpPr>
        </xdr:nvGrpSpPr>
        <xdr:grpSpPr bwMode="auto">
          <a:xfrm>
            <a:off x="-161" y="-3463"/>
            <a:ext cx="19650" cy="655"/>
            <a:chOff x="2780000" y="104"/>
            <a:chExt cx="15720000" cy="655"/>
          </a:xfrm>
        </xdr:grpSpPr>
        <xdr:sp macro="" textlink="">
          <xdr:nvSpPr>
            <xdr:cNvPr id="2079" name="Drawing 8"/>
            <xdr:cNvSpPr>
              <a:spLocks/>
            </xdr:cNvSpPr>
          </xdr:nvSpPr>
          <xdr:spPr bwMode="auto">
            <a:xfrm>
              <a:off x="5500000" y="104"/>
              <a:ext cx="13000000" cy="381"/>
            </a:xfrm>
            <a:custGeom>
              <a:avLst/>
              <a:gdLst>
                <a:gd name="T0" fmla="*/ 15880 w 16384"/>
                <a:gd name="T1" fmla="*/ 1356 h 16384"/>
                <a:gd name="T2" fmla="*/ 14537 w 16384"/>
                <a:gd name="T3" fmla="*/ 1525 h 16384"/>
                <a:gd name="T4" fmla="*/ 13463 w 16384"/>
                <a:gd name="T5" fmla="*/ 1695 h 16384"/>
                <a:gd name="T6" fmla="*/ 12691 w 16384"/>
                <a:gd name="T7" fmla="*/ 1356 h 16384"/>
                <a:gd name="T8" fmla="*/ 13228 w 16384"/>
                <a:gd name="T9" fmla="*/ 452 h 16384"/>
                <a:gd name="T10" fmla="*/ 12557 w 16384"/>
                <a:gd name="T11" fmla="*/ 791 h 16384"/>
                <a:gd name="T12" fmla="*/ 12825 w 16384"/>
                <a:gd name="T13" fmla="*/ 2260 h 16384"/>
                <a:gd name="T14" fmla="*/ 11382 w 16384"/>
                <a:gd name="T15" fmla="*/ 2994 h 16384"/>
                <a:gd name="T16" fmla="*/ 10710 w 16384"/>
                <a:gd name="T17" fmla="*/ 3446 h 16384"/>
                <a:gd name="T18" fmla="*/ 9669 w 16384"/>
                <a:gd name="T19" fmla="*/ 4237 h 16384"/>
                <a:gd name="T20" fmla="*/ 9065 w 16384"/>
                <a:gd name="T21" fmla="*/ 4859 h 16384"/>
                <a:gd name="T22" fmla="*/ 9602 w 16384"/>
                <a:gd name="T23" fmla="*/ 4124 h 16384"/>
                <a:gd name="T24" fmla="*/ 10039 w 16384"/>
                <a:gd name="T25" fmla="*/ 3333 h 16384"/>
                <a:gd name="T26" fmla="*/ 9501 w 16384"/>
                <a:gd name="T27" fmla="*/ 3390 h 16384"/>
                <a:gd name="T28" fmla="*/ 9233 w 16384"/>
                <a:gd name="T29" fmla="*/ 2090 h 16384"/>
                <a:gd name="T30" fmla="*/ 8696 w 16384"/>
                <a:gd name="T31" fmla="*/ 2316 h 16384"/>
                <a:gd name="T32" fmla="*/ 8058 w 16384"/>
                <a:gd name="T33" fmla="*/ 2147 h 16384"/>
                <a:gd name="T34" fmla="*/ 7890 w 16384"/>
                <a:gd name="T35" fmla="*/ 2260 h 16384"/>
                <a:gd name="T36" fmla="*/ 7688 w 16384"/>
                <a:gd name="T37" fmla="*/ 2486 h 16384"/>
                <a:gd name="T38" fmla="*/ 8192 w 16384"/>
                <a:gd name="T39" fmla="*/ 3277 h 16384"/>
                <a:gd name="T40" fmla="*/ 8494 w 16384"/>
                <a:gd name="T41" fmla="*/ 4124 h 16384"/>
                <a:gd name="T42" fmla="*/ 8696 w 16384"/>
                <a:gd name="T43" fmla="*/ 4802 h 16384"/>
                <a:gd name="T44" fmla="*/ 8561 w 16384"/>
                <a:gd name="T45" fmla="*/ 5254 h 16384"/>
                <a:gd name="T46" fmla="*/ 8192 w 16384"/>
                <a:gd name="T47" fmla="*/ 5706 h 16384"/>
                <a:gd name="T48" fmla="*/ 7823 w 16384"/>
                <a:gd name="T49" fmla="*/ 6554 h 16384"/>
                <a:gd name="T50" fmla="*/ 7252 w 16384"/>
                <a:gd name="T51" fmla="*/ 7853 h 16384"/>
                <a:gd name="T52" fmla="*/ 6312 w 16384"/>
                <a:gd name="T53" fmla="*/ 9491 h 16384"/>
                <a:gd name="T54" fmla="*/ 5708 w 16384"/>
                <a:gd name="T55" fmla="*/ 10113 h 16384"/>
                <a:gd name="T56" fmla="*/ 5070 w 16384"/>
                <a:gd name="T57" fmla="*/ 10339 h 16384"/>
                <a:gd name="T58" fmla="*/ 4499 w 16384"/>
                <a:gd name="T59" fmla="*/ 10678 h 16384"/>
                <a:gd name="T60" fmla="*/ 4432 w 16384"/>
                <a:gd name="T61" fmla="*/ 11073 h 16384"/>
                <a:gd name="T62" fmla="*/ 4264 w 16384"/>
                <a:gd name="T63" fmla="*/ 11356 h 16384"/>
                <a:gd name="T64" fmla="*/ 3492 w 16384"/>
                <a:gd name="T65" fmla="*/ 12090 h 16384"/>
                <a:gd name="T66" fmla="*/ 2887 w 16384"/>
                <a:gd name="T67" fmla="*/ 13051 h 16384"/>
                <a:gd name="T68" fmla="*/ 2787 w 16384"/>
                <a:gd name="T69" fmla="*/ 12881 h 16384"/>
                <a:gd name="T70" fmla="*/ 3626 w 16384"/>
                <a:gd name="T71" fmla="*/ 11921 h 16384"/>
                <a:gd name="T72" fmla="*/ 3895 w 16384"/>
                <a:gd name="T73" fmla="*/ 11186 h 16384"/>
                <a:gd name="T74" fmla="*/ 3357 w 16384"/>
                <a:gd name="T75" fmla="*/ 11073 h 16384"/>
                <a:gd name="T76" fmla="*/ 3190 w 16384"/>
                <a:gd name="T77" fmla="*/ 10508 h 16384"/>
                <a:gd name="T78" fmla="*/ 3122 w 16384"/>
                <a:gd name="T79" fmla="*/ 11638 h 16384"/>
                <a:gd name="T80" fmla="*/ 2652 w 16384"/>
                <a:gd name="T81" fmla="*/ 10904 h 16384"/>
                <a:gd name="T82" fmla="*/ 2182 w 16384"/>
                <a:gd name="T83" fmla="*/ 10395 h 16384"/>
                <a:gd name="T84" fmla="*/ 2417 w 16384"/>
                <a:gd name="T85" fmla="*/ 11525 h 16384"/>
                <a:gd name="T86" fmla="*/ 2014 w 16384"/>
                <a:gd name="T87" fmla="*/ 11525 h 16384"/>
                <a:gd name="T88" fmla="*/ 1679 w 16384"/>
                <a:gd name="T89" fmla="*/ 10621 h 16384"/>
                <a:gd name="T90" fmla="*/ 1377 w 16384"/>
                <a:gd name="T91" fmla="*/ 11412 h 16384"/>
                <a:gd name="T92" fmla="*/ 2182 w 16384"/>
                <a:gd name="T93" fmla="*/ 12316 h 16384"/>
                <a:gd name="T94" fmla="*/ 1813 w 16384"/>
                <a:gd name="T95" fmla="*/ 13616 h 16384"/>
                <a:gd name="T96" fmla="*/ 1209 w 16384"/>
                <a:gd name="T97" fmla="*/ 13164 h 16384"/>
                <a:gd name="T98" fmla="*/ 839 w 16384"/>
                <a:gd name="T99" fmla="*/ 13051 h 16384"/>
                <a:gd name="T100" fmla="*/ 436 w 16384"/>
                <a:gd name="T101" fmla="*/ 12429 h 16384"/>
                <a:gd name="T102" fmla="*/ 436 w 16384"/>
                <a:gd name="T103" fmla="*/ 12994 h 16384"/>
                <a:gd name="T104" fmla="*/ 772 w 16384"/>
                <a:gd name="T105" fmla="*/ 14011 h 16384"/>
                <a:gd name="T106" fmla="*/ 940 w 16384"/>
                <a:gd name="T107" fmla="*/ 15424 h 16384"/>
                <a:gd name="T108" fmla="*/ 638 w 16384"/>
                <a:gd name="T109" fmla="*/ 16384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6384" h="16384">
                  <a:moveTo>
                    <a:pt x="16384" y="1638"/>
                  </a:moveTo>
                  <a:lnTo>
                    <a:pt x="16283" y="1695"/>
                  </a:lnTo>
                  <a:lnTo>
                    <a:pt x="16183" y="1695"/>
                  </a:lnTo>
                  <a:lnTo>
                    <a:pt x="16082" y="1638"/>
                  </a:lnTo>
                  <a:lnTo>
                    <a:pt x="15981" y="1525"/>
                  </a:lnTo>
                  <a:lnTo>
                    <a:pt x="15880" y="1356"/>
                  </a:lnTo>
                  <a:lnTo>
                    <a:pt x="15780" y="1356"/>
                  </a:lnTo>
                  <a:lnTo>
                    <a:pt x="15679" y="1299"/>
                  </a:lnTo>
                  <a:lnTo>
                    <a:pt x="15041" y="1299"/>
                  </a:lnTo>
                  <a:lnTo>
                    <a:pt x="14739" y="1469"/>
                  </a:lnTo>
                  <a:lnTo>
                    <a:pt x="14638" y="1469"/>
                  </a:lnTo>
                  <a:lnTo>
                    <a:pt x="14537" y="1525"/>
                  </a:lnTo>
                  <a:lnTo>
                    <a:pt x="14336" y="1525"/>
                  </a:lnTo>
                  <a:lnTo>
                    <a:pt x="14235" y="1582"/>
                  </a:lnTo>
                  <a:lnTo>
                    <a:pt x="13799" y="1582"/>
                  </a:lnTo>
                  <a:lnTo>
                    <a:pt x="13698" y="1638"/>
                  </a:lnTo>
                  <a:lnTo>
                    <a:pt x="13564" y="1695"/>
                  </a:lnTo>
                  <a:lnTo>
                    <a:pt x="13463" y="1695"/>
                  </a:lnTo>
                  <a:lnTo>
                    <a:pt x="13329" y="1751"/>
                  </a:lnTo>
                  <a:lnTo>
                    <a:pt x="12926" y="1977"/>
                  </a:lnTo>
                  <a:lnTo>
                    <a:pt x="12892" y="1808"/>
                  </a:lnTo>
                  <a:lnTo>
                    <a:pt x="12825" y="1638"/>
                  </a:lnTo>
                  <a:lnTo>
                    <a:pt x="12724" y="1525"/>
                  </a:lnTo>
                  <a:lnTo>
                    <a:pt x="12691" y="1356"/>
                  </a:lnTo>
                  <a:lnTo>
                    <a:pt x="12792" y="1243"/>
                  </a:lnTo>
                  <a:lnTo>
                    <a:pt x="12892" y="1186"/>
                  </a:lnTo>
                  <a:lnTo>
                    <a:pt x="13094" y="960"/>
                  </a:lnTo>
                  <a:lnTo>
                    <a:pt x="13127" y="791"/>
                  </a:lnTo>
                  <a:lnTo>
                    <a:pt x="13194" y="621"/>
                  </a:lnTo>
                  <a:lnTo>
                    <a:pt x="13228" y="452"/>
                  </a:lnTo>
                  <a:lnTo>
                    <a:pt x="13194" y="282"/>
                  </a:lnTo>
                  <a:lnTo>
                    <a:pt x="13127" y="113"/>
                  </a:lnTo>
                  <a:lnTo>
                    <a:pt x="13027" y="0"/>
                  </a:lnTo>
                  <a:lnTo>
                    <a:pt x="12926" y="0"/>
                  </a:lnTo>
                  <a:lnTo>
                    <a:pt x="12657" y="678"/>
                  </a:lnTo>
                  <a:lnTo>
                    <a:pt x="12557" y="791"/>
                  </a:lnTo>
                  <a:lnTo>
                    <a:pt x="12489" y="960"/>
                  </a:lnTo>
                  <a:lnTo>
                    <a:pt x="12489" y="1299"/>
                  </a:lnTo>
                  <a:lnTo>
                    <a:pt x="12590" y="1412"/>
                  </a:lnTo>
                  <a:lnTo>
                    <a:pt x="12792" y="1921"/>
                  </a:lnTo>
                  <a:lnTo>
                    <a:pt x="12825" y="2090"/>
                  </a:lnTo>
                  <a:lnTo>
                    <a:pt x="12825" y="2260"/>
                  </a:lnTo>
                  <a:lnTo>
                    <a:pt x="12624" y="2373"/>
                  </a:lnTo>
                  <a:lnTo>
                    <a:pt x="12523" y="2316"/>
                  </a:lnTo>
                  <a:lnTo>
                    <a:pt x="12221" y="2316"/>
                  </a:lnTo>
                  <a:lnTo>
                    <a:pt x="11818" y="2542"/>
                  </a:lnTo>
                  <a:lnTo>
                    <a:pt x="11516" y="2881"/>
                  </a:lnTo>
                  <a:lnTo>
                    <a:pt x="11382" y="2994"/>
                  </a:lnTo>
                  <a:lnTo>
                    <a:pt x="11281" y="3051"/>
                  </a:lnTo>
                  <a:lnTo>
                    <a:pt x="11180" y="3164"/>
                  </a:lnTo>
                  <a:lnTo>
                    <a:pt x="11046" y="3220"/>
                  </a:lnTo>
                  <a:lnTo>
                    <a:pt x="10945" y="3333"/>
                  </a:lnTo>
                  <a:lnTo>
                    <a:pt x="10844" y="3390"/>
                  </a:lnTo>
                  <a:lnTo>
                    <a:pt x="10710" y="3446"/>
                  </a:lnTo>
                  <a:lnTo>
                    <a:pt x="10609" y="3559"/>
                  </a:lnTo>
                  <a:lnTo>
                    <a:pt x="10475" y="3672"/>
                  </a:lnTo>
                  <a:lnTo>
                    <a:pt x="9971" y="3955"/>
                  </a:lnTo>
                  <a:lnTo>
                    <a:pt x="9871" y="4068"/>
                  </a:lnTo>
                  <a:lnTo>
                    <a:pt x="9770" y="4124"/>
                  </a:lnTo>
                  <a:lnTo>
                    <a:pt x="9669" y="4237"/>
                  </a:lnTo>
                  <a:lnTo>
                    <a:pt x="9468" y="4576"/>
                  </a:lnTo>
                  <a:lnTo>
                    <a:pt x="9401" y="4746"/>
                  </a:lnTo>
                  <a:lnTo>
                    <a:pt x="9300" y="4859"/>
                  </a:lnTo>
                  <a:lnTo>
                    <a:pt x="9199" y="5028"/>
                  </a:lnTo>
                  <a:lnTo>
                    <a:pt x="9098" y="5028"/>
                  </a:lnTo>
                  <a:lnTo>
                    <a:pt x="9065" y="4859"/>
                  </a:lnTo>
                  <a:lnTo>
                    <a:pt x="9132" y="4689"/>
                  </a:lnTo>
                  <a:lnTo>
                    <a:pt x="9233" y="4576"/>
                  </a:lnTo>
                  <a:lnTo>
                    <a:pt x="9334" y="4520"/>
                  </a:lnTo>
                  <a:lnTo>
                    <a:pt x="9401" y="4350"/>
                  </a:lnTo>
                  <a:lnTo>
                    <a:pt x="9501" y="4294"/>
                  </a:lnTo>
                  <a:lnTo>
                    <a:pt x="9602" y="4124"/>
                  </a:lnTo>
                  <a:lnTo>
                    <a:pt x="9703" y="4068"/>
                  </a:lnTo>
                  <a:lnTo>
                    <a:pt x="9804" y="3955"/>
                  </a:lnTo>
                  <a:lnTo>
                    <a:pt x="9804" y="3785"/>
                  </a:lnTo>
                  <a:lnTo>
                    <a:pt x="9770" y="3616"/>
                  </a:lnTo>
                  <a:lnTo>
                    <a:pt x="9837" y="3446"/>
                  </a:lnTo>
                  <a:lnTo>
                    <a:pt x="10039" y="3333"/>
                  </a:lnTo>
                  <a:lnTo>
                    <a:pt x="10005" y="3164"/>
                  </a:lnTo>
                  <a:lnTo>
                    <a:pt x="9904" y="3220"/>
                  </a:lnTo>
                  <a:lnTo>
                    <a:pt x="9804" y="3220"/>
                  </a:lnTo>
                  <a:lnTo>
                    <a:pt x="9703" y="3333"/>
                  </a:lnTo>
                  <a:lnTo>
                    <a:pt x="9602" y="3333"/>
                  </a:lnTo>
                  <a:lnTo>
                    <a:pt x="9501" y="3390"/>
                  </a:lnTo>
                  <a:lnTo>
                    <a:pt x="9199" y="3390"/>
                  </a:lnTo>
                  <a:lnTo>
                    <a:pt x="9300" y="2881"/>
                  </a:lnTo>
                  <a:lnTo>
                    <a:pt x="9300" y="2712"/>
                  </a:lnTo>
                  <a:lnTo>
                    <a:pt x="9367" y="2373"/>
                  </a:lnTo>
                  <a:lnTo>
                    <a:pt x="9334" y="2203"/>
                  </a:lnTo>
                  <a:lnTo>
                    <a:pt x="9233" y="2090"/>
                  </a:lnTo>
                  <a:lnTo>
                    <a:pt x="9199" y="1921"/>
                  </a:lnTo>
                  <a:lnTo>
                    <a:pt x="9132" y="1751"/>
                  </a:lnTo>
                  <a:lnTo>
                    <a:pt x="9031" y="1751"/>
                  </a:lnTo>
                  <a:lnTo>
                    <a:pt x="8931" y="1808"/>
                  </a:lnTo>
                  <a:lnTo>
                    <a:pt x="8830" y="1977"/>
                  </a:lnTo>
                  <a:lnTo>
                    <a:pt x="8696" y="2316"/>
                  </a:lnTo>
                  <a:lnTo>
                    <a:pt x="8628" y="2655"/>
                  </a:lnTo>
                  <a:lnTo>
                    <a:pt x="8528" y="2655"/>
                  </a:lnTo>
                  <a:lnTo>
                    <a:pt x="8326" y="2542"/>
                  </a:lnTo>
                  <a:lnTo>
                    <a:pt x="8226" y="2429"/>
                  </a:lnTo>
                  <a:lnTo>
                    <a:pt x="8158" y="2260"/>
                  </a:lnTo>
                  <a:lnTo>
                    <a:pt x="8058" y="2147"/>
                  </a:lnTo>
                  <a:lnTo>
                    <a:pt x="7957" y="1977"/>
                  </a:lnTo>
                  <a:lnTo>
                    <a:pt x="7856" y="1864"/>
                  </a:lnTo>
                  <a:lnTo>
                    <a:pt x="7756" y="1864"/>
                  </a:lnTo>
                  <a:lnTo>
                    <a:pt x="7856" y="1921"/>
                  </a:lnTo>
                  <a:lnTo>
                    <a:pt x="7856" y="2090"/>
                  </a:lnTo>
                  <a:lnTo>
                    <a:pt x="7890" y="2260"/>
                  </a:lnTo>
                  <a:lnTo>
                    <a:pt x="7789" y="2316"/>
                  </a:lnTo>
                  <a:lnTo>
                    <a:pt x="7688" y="2316"/>
                  </a:lnTo>
                  <a:lnTo>
                    <a:pt x="7386" y="2147"/>
                  </a:lnTo>
                  <a:lnTo>
                    <a:pt x="7286" y="2203"/>
                  </a:lnTo>
                  <a:lnTo>
                    <a:pt x="7588" y="2373"/>
                  </a:lnTo>
                  <a:lnTo>
                    <a:pt x="7688" y="2486"/>
                  </a:lnTo>
                  <a:lnTo>
                    <a:pt x="7789" y="2486"/>
                  </a:lnTo>
                  <a:lnTo>
                    <a:pt x="7890" y="2542"/>
                  </a:lnTo>
                  <a:lnTo>
                    <a:pt x="7991" y="2655"/>
                  </a:lnTo>
                  <a:lnTo>
                    <a:pt x="8024" y="2825"/>
                  </a:lnTo>
                  <a:lnTo>
                    <a:pt x="8125" y="2938"/>
                  </a:lnTo>
                  <a:lnTo>
                    <a:pt x="8192" y="3277"/>
                  </a:lnTo>
                  <a:lnTo>
                    <a:pt x="8091" y="3390"/>
                  </a:lnTo>
                  <a:lnTo>
                    <a:pt x="8158" y="3559"/>
                  </a:lnTo>
                  <a:lnTo>
                    <a:pt x="8259" y="3672"/>
                  </a:lnTo>
                  <a:lnTo>
                    <a:pt x="8326" y="3842"/>
                  </a:lnTo>
                  <a:lnTo>
                    <a:pt x="8427" y="3955"/>
                  </a:lnTo>
                  <a:lnTo>
                    <a:pt x="8494" y="4124"/>
                  </a:lnTo>
                  <a:lnTo>
                    <a:pt x="8293" y="4237"/>
                  </a:lnTo>
                  <a:lnTo>
                    <a:pt x="8393" y="4350"/>
                  </a:lnTo>
                  <a:lnTo>
                    <a:pt x="8494" y="4407"/>
                  </a:lnTo>
                  <a:lnTo>
                    <a:pt x="8528" y="4576"/>
                  </a:lnTo>
                  <a:lnTo>
                    <a:pt x="8595" y="4746"/>
                  </a:lnTo>
                  <a:lnTo>
                    <a:pt x="8696" y="4802"/>
                  </a:lnTo>
                  <a:lnTo>
                    <a:pt x="8796" y="4802"/>
                  </a:lnTo>
                  <a:lnTo>
                    <a:pt x="8998" y="4915"/>
                  </a:lnTo>
                  <a:lnTo>
                    <a:pt x="8897" y="4972"/>
                  </a:lnTo>
                  <a:lnTo>
                    <a:pt x="8696" y="4972"/>
                  </a:lnTo>
                  <a:lnTo>
                    <a:pt x="8662" y="5141"/>
                  </a:lnTo>
                  <a:lnTo>
                    <a:pt x="8561" y="5254"/>
                  </a:lnTo>
                  <a:lnTo>
                    <a:pt x="8528" y="5424"/>
                  </a:lnTo>
                  <a:lnTo>
                    <a:pt x="8427" y="5537"/>
                  </a:lnTo>
                  <a:lnTo>
                    <a:pt x="8326" y="5480"/>
                  </a:lnTo>
                  <a:lnTo>
                    <a:pt x="8326" y="5311"/>
                  </a:lnTo>
                  <a:lnTo>
                    <a:pt x="8393" y="5480"/>
                  </a:lnTo>
                  <a:lnTo>
                    <a:pt x="8192" y="5706"/>
                  </a:lnTo>
                  <a:lnTo>
                    <a:pt x="8226" y="5876"/>
                  </a:lnTo>
                  <a:lnTo>
                    <a:pt x="8125" y="5989"/>
                  </a:lnTo>
                  <a:lnTo>
                    <a:pt x="7991" y="6158"/>
                  </a:lnTo>
                  <a:lnTo>
                    <a:pt x="7923" y="6328"/>
                  </a:lnTo>
                  <a:lnTo>
                    <a:pt x="7923" y="6497"/>
                  </a:lnTo>
                  <a:lnTo>
                    <a:pt x="7823" y="6554"/>
                  </a:lnTo>
                  <a:lnTo>
                    <a:pt x="7688" y="6893"/>
                  </a:lnTo>
                  <a:lnTo>
                    <a:pt x="7588" y="7062"/>
                  </a:lnTo>
                  <a:lnTo>
                    <a:pt x="7521" y="7232"/>
                  </a:lnTo>
                  <a:lnTo>
                    <a:pt x="7453" y="7571"/>
                  </a:lnTo>
                  <a:lnTo>
                    <a:pt x="7353" y="7740"/>
                  </a:lnTo>
                  <a:lnTo>
                    <a:pt x="7252" y="7853"/>
                  </a:lnTo>
                  <a:lnTo>
                    <a:pt x="7252" y="8023"/>
                  </a:lnTo>
                  <a:lnTo>
                    <a:pt x="7218" y="8192"/>
                  </a:lnTo>
                  <a:lnTo>
                    <a:pt x="7118" y="8361"/>
                  </a:lnTo>
                  <a:lnTo>
                    <a:pt x="6916" y="8870"/>
                  </a:lnTo>
                  <a:lnTo>
                    <a:pt x="6815" y="8926"/>
                  </a:lnTo>
                  <a:lnTo>
                    <a:pt x="6312" y="9491"/>
                  </a:lnTo>
                  <a:lnTo>
                    <a:pt x="6178" y="9548"/>
                  </a:lnTo>
                  <a:lnTo>
                    <a:pt x="6077" y="9661"/>
                  </a:lnTo>
                  <a:lnTo>
                    <a:pt x="6010" y="9830"/>
                  </a:lnTo>
                  <a:lnTo>
                    <a:pt x="5909" y="9943"/>
                  </a:lnTo>
                  <a:lnTo>
                    <a:pt x="5808" y="10000"/>
                  </a:lnTo>
                  <a:lnTo>
                    <a:pt x="5708" y="10113"/>
                  </a:lnTo>
                  <a:lnTo>
                    <a:pt x="5573" y="10226"/>
                  </a:lnTo>
                  <a:lnTo>
                    <a:pt x="5473" y="10282"/>
                  </a:lnTo>
                  <a:lnTo>
                    <a:pt x="5372" y="10169"/>
                  </a:lnTo>
                  <a:lnTo>
                    <a:pt x="5271" y="10169"/>
                  </a:lnTo>
                  <a:lnTo>
                    <a:pt x="5170" y="10282"/>
                  </a:lnTo>
                  <a:lnTo>
                    <a:pt x="5070" y="10339"/>
                  </a:lnTo>
                  <a:lnTo>
                    <a:pt x="4969" y="10339"/>
                  </a:lnTo>
                  <a:lnTo>
                    <a:pt x="4868" y="10282"/>
                  </a:lnTo>
                  <a:lnTo>
                    <a:pt x="4767" y="10339"/>
                  </a:lnTo>
                  <a:lnTo>
                    <a:pt x="4700" y="10508"/>
                  </a:lnTo>
                  <a:lnTo>
                    <a:pt x="4600" y="10565"/>
                  </a:lnTo>
                  <a:lnTo>
                    <a:pt x="4499" y="10678"/>
                  </a:lnTo>
                  <a:lnTo>
                    <a:pt x="4398" y="10734"/>
                  </a:lnTo>
                  <a:lnTo>
                    <a:pt x="4365" y="10904"/>
                  </a:lnTo>
                  <a:lnTo>
                    <a:pt x="4264" y="11073"/>
                  </a:lnTo>
                  <a:lnTo>
                    <a:pt x="4264" y="11243"/>
                  </a:lnTo>
                  <a:lnTo>
                    <a:pt x="4365" y="11243"/>
                  </a:lnTo>
                  <a:lnTo>
                    <a:pt x="4432" y="11073"/>
                  </a:lnTo>
                  <a:lnTo>
                    <a:pt x="4633" y="10847"/>
                  </a:lnTo>
                  <a:lnTo>
                    <a:pt x="5137" y="10565"/>
                  </a:lnTo>
                  <a:lnTo>
                    <a:pt x="5070" y="10734"/>
                  </a:lnTo>
                  <a:lnTo>
                    <a:pt x="4767" y="10904"/>
                  </a:lnTo>
                  <a:lnTo>
                    <a:pt x="4365" y="11356"/>
                  </a:lnTo>
                  <a:lnTo>
                    <a:pt x="4264" y="11356"/>
                  </a:lnTo>
                  <a:lnTo>
                    <a:pt x="4163" y="11412"/>
                  </a:lnTo>
                  <a:lnTo>
                    <a:pt x="3928" y="11525"/>
                  </a:lnTo>
                  <a:lnTo>
                    <a:pt x="3928" y="11695"/>
                  </a:lnTo>
                  <a:lnTo>
                    <a:pt x="3727" y="11808"/>
                  </a:lnTo>
                  <a:lnTo>
                    <a:pt x="3592" y="11921"/>
                  </a:lnTo>
                  <a:lnTo>
                    <a:pt x="3492" y="12090"/>
                  </a:lnTo>
                  <a:lnTo>
                    <a:pt x="3458" y="12260"/>
                  </a:lnTo>
                  <a:lnTo>
                    <a:pt x="3257" y="12486"/>
                  </a:lnTo>
                  <a:lnTo>
                    <a:pt x="3190" y="12655"/>
                  </a:lnTo>
                  <a:lnTo>
                    <a:pt x="3089" y="12825"/>
                  </a:lnTo>
                  <a:lnTo>
                    <a:pt x="2988" y="12881"/>
                  </a:lnTo>
                  <a:lnTo>
                    <a:pt x="2887" y="13051"/>
                  </a:lnTo>
                  <a:lnTo>
                    <a:pt x="2787" y="13164"/>
                  </a:lnTo>
                  <a:lnTo>
                    <a:pt x="2686" y="13220"/>
                  </a:lnTo>
                  <a:lnTo>
                    <a:pt x="2585" y="13333"/>
                  </a:lnTo>
                  <a:lnTo>
                    <a:pt x="2585" y="13164"/>
                  </a:lnTo>
                  <a:lnTo>
                    <a:pt x="2719" y="13051"/>
                  </a:lnTo>
                  <a:lnTo>
                    <a:pt x="2787" y="12881"/>
                  </a:lnTo>
                  <a:lnTo>
                    <a:pt x="2988" y="12655"/>
                  </a:lnTo>
                  <a:lnTo>
                    <a:pt x="3022" y="12486"/>
                  </a:lnTo>
                  <a:lnTo>
                    <a:pt x="3122" y="12429"/>
                  </a:lnTo>
                  <a:lnTo>
                    <a:pt x="3324" y="12203"/>
                  </a:lnTo>
                  <a:lnTo>
                    <a:pt x="3425" y="12034"/>
                  </a:lnTo>
                  <a:lnTo>
                    <a:pt x="3626" y="11921"/>
                  </a:lnTo>
                  <a:lnTo>
                    <a:pt x="3827" y="11695"/>
                  </a:lnTo>
                  <a:lnTo>
                    <a:pt x="3928" y="11638"/>
                  </a:lnTo>
                  <a:lnTo>
                    <a:pt x="4130" y="11412"/>
                  </a:lnTo>
                  <a:lnTo>
                    <a:pt x="4096" y="11243"/>
                  </a:lnTo>
                  <a:lnTo>
                    <a:pt x="3995" y="11130"/>
                  </a:lnTo>
                  <a:lnTo>
                    <a:pt x="3895" y="11186"/>
                  </a:lnTo>
                  <a:lnTo>
                    <a:pt x="3592" y="11525"/>
                  </a:lnTo>
                  <a:lnTo>
                    <a:pt x="3492" y="11582"/>
                  </a:lnTo>
                  <a:lnTo>
                    <a:pt x="3391" y="11582"/>
                  </a:lnTo>
                  <a:lnTo>
                    <a:pt x="3391" y="11412"/>
                  </a:lnTo>
                  <a:lnTo>
                    <a:pt x="3357" y="11243"/>
                  </a:lnTo>
                  <a:lnTo>
                    <a:pt x="3357" y="11073"/>
                  </a:lnTo>
                  <a:lnTo>
                    <a:pt x="3290" y="10734"/>
                  </a:lnTo>
                  <a:lnTo>
                    <a:pt x="3324" y="10565"/>
                  </a:lnTo>
                  <a:lnTo>
                    <a:pt x="3391" y="10395"/>
                  </a:lnTo>
                  <a:lnTo>
                    <a:pt x="3391" y="10226"/>
                  </a:lnTo>
                  <a:lnTo>
                    <a:pt x="3290" y="10395"/>
                  </a:lnTo>
                  <a:lnTo>
                    <a:pt x="3190" y="10508"/>
                  </a:lnTo>
                  <a:lnTo>
                    <a:pt x="3190" y="10678"/>
                  </a:lnTo>
                  <a:lnTo>
                    <a:pt x="3122" y="11017"/>
                  </a:lnTo>
                  <a:lnTo>
                    <a:pt x="3122" y="11186"/>
                  </a:lnTo>
                  <a:lnTo>
                    <a:pt x="3055" y="11356"/>
                  </a:lnTo>
                  <a:lnTo>
                    <a:pt x="3022" y="11525"/>
                  </a:lnTo>
                  <a:lnTo>
                    <a:pt x="3122" y="11638"/>
                  </a:lnTo>
                  <a:lnTo>
                    <a:pt x="3022" y="11695"/>
                  </a:lnTo>
                  <a:lnTo>
                    <a:pt x="2954" y="11525"/>
                  </a:lnTo>
                  <a:lnTo>
                    <a:pt x="2854" y="11356"/>
                  </a:lnTo>
                  <a:lnTo>
                    <a:pt x="2820" y="11186"/>
                  </a:lnTo>
                  <a:lnTo>
                    <a:pt x="2719" y="11073"/>
                  </a:lnTo>
                  <a:lnTo>
                    <a:pt x="2652" y="10904"/>
                  </a:lnTo>
                  <a:lnTo>
                    <a:pt x="2619" y="10734"/>
                  </a:lnTo>
                  <a:lnTo>
                    <a:pt x="2518" y="10621"/>
                  </a:lnTo>
                  <a:lnTo>
                    <a:pt x="2417" y="10565"/>
                  </a:lnTo>
                  <a:lnTo>
                    <a:pt x="2350" y="10395"/>
                  </a:lnTo>
                  <a:lnTo>
                    <a:pt x="2249" y="10226"/>
                  </a:lnTo>
                  <a:lnTo>
                    <a:pt x="2182" y="10395"/>
                  </a:lnTo>
                  <a:lnTo>
                    <a:pt x="2182" y="10734"/>
                  </a:lnTo>
                  <a:lnTo>
                    <a:pt x="2249" y="10904"/>
                  </a:lnTo>
                  <a:lnTo>
                    <a:pt x="2350" y="11017"/>
                  </a:lnTo>
                  <a:lnTo>
                    <a:pt x="2417" y="11186"/>
                  </a:lnTo>
                  <a:lnTo>
                    <a:pt x="2451" y="11356"/>
                  </a:lnTo>
                  <a:lnTo>
                    <a:pt x="2417" y="11525"/>
                  </a:lnTo>
                  <a:lnTo>
                    <a:pt x="2317" y="11582"/>
                  </a:lnTo>
                  <a:lnTo>
                    <a:pt x="2115" y="11808"/>
                  </a:lnTo>
                  <a:lnTo>
                    <a:pt x="2182" y="11638"/>
                  </a:lnTo>
                  <a:lnTo>
                    <a:pt x="2149" y="11469"/>
                  </a:lnTo>
                  <a:lnTo>
                    <a:pt x="2048" y="11356"/>
                  </a:lnTo>
                  <a:lnTo>
                    <a:pt x="2014" y="11525"/>
                  </a:lnTo>
                  <a:lnTo>
                    <a:pt x="2014" y="12034"/>
                  </a:lnTo>
                  <a:lnTo>
                    <a:pt x="1981" y="11864"/>
                  </a:lnTo>
                  <a:lnTo>
                    <a:pt x="1947" y="11638"/>
                  </a:lnTo>
                  <a:lnTo>
                    <a:pt x="1914" y="11469"/>
                  </a:lnTo>
                  <a:lnTo>
                    <a:pt x="1779" y="11130"/>
                  </a:lnTo>
                  <a:lnTo>
                    <a:pt x="1679" y="10621"/>
                  </a:lnTo>
                  <a:lnTo>
                    <a:pt x="1679" y="10452"/>
                  </a:lnTo>
                  <a:lnTo>
                    <a:pt x="1645" y="10621"/>
                  </a:lnTo>
                  <a:lnTo>
                    <a:pt x="1645" y="10791"/>
                  </a:lnTo>
                  <a:lnTo>
                    <a:pt x="1544" y="10904"/>
                  </a:lnTo>
                  <a:lnTo>
                    <a:pt x="1410" y="11243"/>
                  </a:lnTo>
                  <a:lnTo>
                    <a:pt x="1377" y="11412"/>
                  </a:lnTo>
                  <a:lnTo>
                    <a:pt x="1377" y="11751"/>
                  </a:lnTo>
                  <a:lnTo>
                    <a:pt x="1477" y="11921"/>
                  </a:lnTo>
                  <a:lnTo>
                    <a:pt x="1544" y="12090"/>
                  </a:lnTo>
                  <a:lnTo>
                    <a:pt x="1645" y="12147"/>
                  </a:lnTo>
                  <a:lnTo>
                    <a:pt x="2149" y="12147"/>
                  </a:lnTo>
                  <a:lnTo>
                    <a:pt x="2182" y="12316"/>
                  </a:lnTo>
                  <a:lnTo>
                    <a:pt x="1914" y="12994"/>
                  </a:lnTo>
                  <a:lnTo>
                    <a:pt x="1880" y="13164"/>
                  </a:lnTo>
                  <a:lnTo>
                    <a:pt x="2082" y="13277"/>
                  </a:lnTo>
                  <a:lnTo>
                    <a:pt x="2014" y="13446"/>
                  </a:lnTo>
                  <a:lnTo>
                    <a:pt x="1914" y="13503"/>
                  </a:lnTo>
                  <a:lnTo>
                    <a:pt x="1813" y="13616"/>
                  </a:lnTo>
                  <a:lnTo>
                    <a:pt x="1746" y="13785"/>
                  </a:lnTo>
                  <a:lnTo>
                    <a:pt x="1544" y="14011"/>
                  </a:lnTo>
                  <a:lnTo>
                    <a:pt x="1444" y="13955"/>
                  </a:lnTo>
                  <a:lnTo>
                    <a:pt x="1343" y="13842"/>
                  </a:lnTo>
                  <a:lnTo>
                    <a:pt x="1209" y="13503"/>
                  </a:lnTo>
                  <a:lnTo>
                    <a:pt x="1209" y="13164"/>
                  </a:lnTo>
                  <a:lnTo>
                    <a:pt x="1007" y="13164"/>
                  </a:lnTo>
                  <a:lnTo>
                    <a:pt x="906" y="13051"/>
                  </a:lnTo>
                  <a:lnTo>
                    <a:pt x="839" y="12712"/>
                  </a:lnTo>
                  <a:lnTo>
                    <a:pt x="940" y="12712"/>
                  </a:lnTo>
                  <a:lnTo>
                    <a:pt x="940" y="12881"/>
                  </a:lnTo>
                  <a:lnTo>
                    <a:pt x="839" y="13051"/>
                  </a:lnTo>
                  <a:lnTo>
                    <a:pt x="739" y="12994"/>
                  </a:lnTo>
                  <a:lnTo>
                    <a:pt x="638" y="13051"/>
                  </a:lnTo>
                  <a:lnTo>
                    <a:pt x="101" y="12147"/>
                  </a:lnTo>
                  <a:lnTo>
                    <a:pt x="235" y="12260"/>
                  </a:lnTo>
                  <a:lnTo>
                    <a:pt x="336" y="12316"/>
                  </a:lnTo>
                  <a:lnTo>
                    <a:pt x="436" y="12429"/>
                  </a:lnTo>
                  <a:lnTo>
                    <a:pt x="537" y="12599"/>
                  </a:lnTo>
                  <a:lnTo>
                    <a:pt x="638" y="12712"/>
                  </a:lnTo>
                  <a:lnTo>
                    <a:pt x="537" y="12768"/>
                  </a:lnTo>
                  <a:lnTo>
                    <a:pt x="403" y="12768"/>
                  </a:lnTo>
                  <a:lnTo>
                    <a:pt x="336" y="12938"/>
                  </a:lnTo>
                  <a:lnTo>
                    <a:pt x="436" y="12994"/>
                  </a:lnTo>
                  <a:lnTo>
                    <a:pt x="537" y="13107"/>
                  </a:lnTo>
                  <a:lnTo>
                    <a:pt x="571" y="13277"/>
                  </a:lnTo>
                  <a:lnTo>
                    <a:pt x="638" y="13446"/>
                  </a:lnTo>
                  <a:lnTo>
                    <a:pt x="705" y="13672"/>
                  </a:lnTo>
                  <a:lnTo>
                    <a:pt x="772" y="13842"/>
                  </a:lnTo>
                  <a:lnTo>
                    <a:pt x="772" y="14011"/>
                  </a:lnTo>
                  <a:lnTo>
                    <a:pt x="705" y="14181"/>
                  </a:lnTo>
                  <a:lnTo>
                    <a:pt x="604" y="14181"/>
                  </a:lnTo>
                  <a:lnTo>
                    <a:pt x="739" y="14520"/>
                  </a:lnTo>
                  <a:lnTo>
                    <a:pt x="772" y="14689"/>
                  </a:lnTo>
                  <a:lnTo>
                    <a:pt x="739" y="14859"/>
                  </a:lnTo>
                  <a:lnTo>
                    <a:pt x="940" y="15424"/>
                  </a:lnTo>
                  <a:lnTo>
                    <a:pt x="974" y="15989"/>
                  </a:lnTo>
                  <a:lnTo>
                    <a:pt x="1041" y="16158"/>
                  </a:lnTo>
                  <a:lnTo>
                    <a:pt x="1142" y="16271"/>
                  </a:lnTo>
                  <a:lnTo>
                    <a:pt x="1007" y="16328"/>
                  </a:lnTo>
                  <a:lnTo>
                    <a:pt x="739" y="16328"/>
                  </a:lnTo>
                  <a:lnTo>
                    <a:pt x="638" y="16384"/>
                  </a:lnTo>
                  <a:lnTo>
                    <a:pt x="604" y="16215"/>
                  </a:lnTo>
                  <a:lnTo>
                    <a:pt x="403" y="16102"/>
                  </a:lnTo>
                  <a:lnTo>
                    <a:pt x="302" y="15989"/>
                  </a:lnTo>
                  <a:lnTo>
                    <a:pt x="67" y="15989"/>
                  </a:lnTo>
                  <a:lnTo>
                    <a:pt x="0" y="16158"/>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2080" name="Drawing 9"/>
            <xdr:cNvSpPr>
              <a:spLocks/>
            </xdr:cNvSpPr>
          </xdr:nvSpPr>
          <xdr:spPr bwMode="auto">
            <a:xfrm>
              <a:off x="2780000" y="455"/>
              <a:ext cx="2800000" cy="304"/>
            </a:xfrm>
            <a:custGeom>
              <a:avLst/>
              <a:gdLst>
                <a:gd name="T0" fmla="*/ 16384 w 16384"/>
                <a:gd name="T1" fmla="*/ 989 h 16384"/>
                <a:gd name="T2" fmla="*/ 15760 w 16384"/>
                <a:gd name="T3" fmla="*/ 636 h 16384"/>
                <a:gd name="T4" fmla="*/ 14824 w 16384"/>
                <a:gd name="T5" fmla="*/ 141 h 16384"/>
                <a:gd name="T6" fmla="*/ 11859 w 16384"/>
                <a:gd name="T7" fmla="*/ 71 h 16384"/>
                <a:gd name="T8" fmla="*/ 12171 w 16384"/>
                <a:gd name="T9" fmla="*/ 706 h 16384"/>
                <a:gd name="T10" fmla="*/ 9986 w 16384"/>
                <a:gd name="T11" fmla="*/ 1201 h 16384"/>
                <a:gd name="T12" fmla="*/ 10923 w 16384"/>
                <a:gd name="T13" fmla="*/ 1342 h 16384"/>
                <a:gd name="T14" fmla="*/ 12795 w 16384"/>
                <a:gd name="T15" fmla="*/ 1342 h 16384"/>
                <a:gd name="T16" fmla="*/ 11859 w 16384"/>
                <a:gd name="T17" fmla="*/ 1907 h 16384"/>
                <a:gd name="T18" fmla="*/ 13731 w 16384"/>
                <a:gd name="T19" fmla="*/ 1695 h 16384"/>
                <a:gd name="T20" fmla="*/ 14356 w 16384"/>
                <a:gd name="T21" fmla="*/ 2048 h 16384"/>
                <a:gd name="T22" fmla="*/ 13731 w 16384"/>
                <a:gd name="T23" fmla="*/ 2613 h 16384"/>
                <a:gd name="T24" fmla="*/ 12639 w 16384"/>
                <a:gd name="T25" fmla="*/ 2754 h 16384"/>
                <a:gd name="T26" fmla="*/ 11547 w 16384"/>
                <a:gd name="T27" fmla="*/ 3178 h 16384"/>
                <a:gd name="T28" fmla="*/ 9518 w 16384"/>
                <a:gd name="T29" fmla="*/ 3037 h 16384"/>
                <a:gd name="T30" fmla="*/ 8114 w 16384"/>
                <a:gd name="T31" fmla="*/ 3249 h 16384"/>
                <a:gd name="T32" fmla="*/ 7490 w 16384"/>
                <a:gd name="T33" fmla="*/ 2825 h 16384"/>
                <a:gd name="T34" fmla="*/ 7334 w 16384"/>
                <a:gd name="T35" fmla="*/ 3672 h 16384"/>
                <a:gd name="T36" fmla="*/ 8894 w 16384"/>
                <a:gd name="T37" fmla="*/ 4732 h 16384"/>
                <a:gd name="T38" fmla="*/ 10299 w 16384"/>
                <a:gd name="T39" fmla="*/ 4873 h 16384"/>
                <a:gd name="T40" fmla="*/ 9206 w 16384"/>
                <a:gd name="T41" fmla="*/ 5932 h 16384"/>
                <a:gd name="T42" fmla="*/ 8738 w 16384"/>
                <a:gd name="T43" fmla="*/ 6780 h 16384"/>
                <a:gd name="T44" fmla="*/ 7802 w 16384"/>
                <a:gd name="T45" fmla="*/ 7698 h 16384"/>
                <a:gd name="T46" fmla="*/ 6710 w 16384"/>
                <a:gd name="T47" fmla="*/ 8969 h 16384"/>
                <a:gd name="T48" fmla="*/ 5773 w 16384"/>
                <a:gd name="T49" fmla="*/ 8686 h 16384"/>
                <a:gd name="T50" fmla="*/ 5617 w 16384"/>
                <a:gd name="T51" fmla="*/ 7627 h 16384"/>
                <a:gd name="T52" fmla="*/ 4369 w 16384"/>
                <a:gd name="T53" fmla="*/ 7345 h 16384"/>
                <a:gd name="T54" fmla="*/ 5149 w 16384"/>
                <a:gd name="T55" fmla="*/ 8121 h 16384"/>
                <a:gd name="T56" fmla="*/ 4525 w 16384"/>
                <a:gd name="T57" fmla="*/ 8616 h 16384"/>
                <a:gd name="T58" fmla="*/ 2965 w 16384"/>
                <a:gd name="T59" fmla="*/ 8474 h 16384"/>
                <a:gd name="T60" fmla="*/ 1872 w 16384"/>
                <a:gd name="T61" fmla="*/ 8121 h 16384"/>
                <a:gd name="T62" fmla="*/ 936 w 16384"/>
                <a:gd name="T63" fmla="*/ 7627 h 16384"/>
                <a:gd name="T64" fmla="*/ 468 w 16384"/>
                <a:gd name="T65" fmla="*/ 7839 h 16384"/>
                <a:gd name="T66" fmla="*/ 1404 w 16384"/>
                <a:gd name="T67" fmla="*/ 8686 h 16384"/>
                <a:gd name="T68" fmla="*/ 2497 w 16384"/>
                <a:gd name="T69" fmla="*/ 9393 h 16384"/>
                <a:gd name="T70" fmla="*/ 4837 w 16384"/>
                <a:gd name="T71" fmla="*/ 10028 h 16384"/>
                <a:gd name="T72" fmla="*/ 5461 w 16384"/>
                <a:gd name="T73" fmla="*/ 9604 h 16384"/>
                <a:gd name="T74" fmla="*/ 7178 w 16384"/>
                <a:gd name="T75" fmla="*/ 9746 h 16384"/>
                <a:gd name="T76" fmla="*/ 6398 w 16384"/>
                <a:gd name="T77" fmla="*/ 10381 h 16384"/>
                <a:gd name="T78" fmla="*/ 6710 w 16384"/>
                <a:gd name="T79" fmla="*/ 11158 h 16384"/>
                <a:gd name="T80" fmla="*/ 5929 w 16384"/>
                <a:gd name="T81" fmla="*/ 11299 h 16384"/>
                <a:gd name="T82" fmla="*/ 6242 w 16384"/>
                <a:gd name="T83" fmla="*/ 12147 h 16384"/>
                <a:gd name="T84" fmla="*/ 4837 w 16384"/>
                <a:gd name="T85" fmla="*/ 12217 h 16384"/>
                <a:gd name="T86" fmla="*/ 4993 w 16384"/>
                <a:gd name="T87" fmla="*/ 12359 h 16384"/>
                <a:gd name="T88" fmla="*/ 5305 w 16384"/>
                <a:gd name="T89" fmla="*/ 13065 h 16384"/>
                <a:gd name="T90" fmla="*/ 5305 w 16384"/>
                <a:gd name="T91" fmla="*/ 14124 h 16384"/>
                <a:gd name="T92" fmla="*/ 5929 w 16384"/>
                <a:gd name="T93" fmla="*/ 14901 h 16384"/>
                <a:gd name="T94" fmla="*/ 6398 w 16384"/>
                <a:gd name="T95" fmla="*/ 15748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5760" y="1271"/>
                  </a:moveTo>
                  <a:lnTo>
                    <a:pt x="16228" y="1201"/>
                  </a:lnTo>
                  <a:lnTo>
                    <a:pt x="16384" y="989"/>
                  </a:lnTo>
                  <a:lnTo>
                    <a:pt x="15760" y="1271"/>
                  </a:lnTo>
                  <a:lnTo>
                    <a:pt x="16072" y="847"/>
                  </a:lnTo>
                  <a:lnTo>
                    <a:pt x="15760" y="636"/>
                  </a:lnTo>
                  <a:lnTo>
                    <a:pt x="15292" y="565"/>
                  </a:lnTo>
                  <a:lnTo>
                    <a:pt x="14824" y="353"/>
                  </a:lnTo>
                  <a:lnTo>
                    <a:pt x="14824" y="141"/>
                  </a:lnTo>
                  <a:lnTo>
                    <a:pt x="13887" y="0"/>
                  </a:lnTo>
                  <a:lnTo>
                    <a:pt x="12327" y="0"/>
                  </a:lnTo>
                  <a:lnTo>
                    <a:pt x="11859" y="71"/>
                  </a:lnTo>
                  <a:lnTo>
                    <a:pt x="12015" y="282"/>
                  </a:lnTo>
                  <a:lnTo>
                    <a:pt x="11859" y="494"/>
                  </a:lnTo>
                  <a:lnTo>
                    <a:pt x="12171" y="706"/>
                  </a:lnTo>
                  <a:lnTo>
                    <a:pt x="11703" y="918"/>
                  </a:lnTo>
                  <a:lnTo>
                    <a:pt x="11235" y="989"/>
                  </a:lnTo>
                  <a:lnTo>
                    <a:pt x="9986" y="1201"/>
                  </a:lnTo>
                  <a:lnTo>
                    <a:pt x="9050" y="1201"/>
                  </a:lnTo>
                  <a:lnTo>
                    <a:pt x="9518" y="1342"/>
                  </a:lnTo>
                  <a:lnTo>
                    <a:pt x="10923" y="1342"/>
                  </a:lnTo>
                  <a:lnTo>
                    <a:pt x="11391" y="1201"/>
                  </a:lnTo>
                  <a:lnTo>
                    <a:pt x="12327" y="1201"/>
                  </a:lnTo>
                  <a:lnTo>
                    <a:pt x="12795" y="1342"/>
                  </a:lnTo>
                  <a:lnTo>
                    <a:pt x="12795" y="1766"/>
                  </a:lnTo>
                  <a:lnTo>
                    <a:pt x="12327" y="1907"/>
                  </a:lnTo>
                  <a:lnTo>
                    <a:pt x="11859" y="1907"/>
                  </a:lnTo>
                  <a:lnTo>
                    <a:pt x="12327" y="1836"/>
                  </a:lnTo>
                  <a:lnTo>
                    <a:pt x="12795" y="1695"/>
                  </a:lnTo>
                  <a:lnTo>
                    <a:pt x="13731" y="1695"/>
                  </a:lnTo>
                  <a:lnTo>
                    <a:pt x="14199" y="1624"/>
                  </a:lnTo>
                  <a:lnTo>
                    <a:pt x="14356" y="1836"/>
                  </a:lnTo>
                  <a:lnTo>
                    <a:pt x="14356" y="2048"/>
                  </a:lnTo>
                  <a:lnTo>
                    <a:pt x="13887" y="2189"/>
                  </a:lnTo>
                  <a:lnTo>
                    <a:pt x="13575" y="2401"/>
                  </a:lnTo>
                  <a:lnTo>
                    <a:pt x="13731" y="2613"/>
                  </a:lnTo>
                  <a:lnTo>
                    <a:pt x="13263" y="2472"/>
                  </a:lnTo>
                  <a:lnTo>
                    <a:pt x="13263" y="2684"/>
                  </a:lnTo>
                  <a:lnTo>
                    <a:pt x="12639" y="2754"/>
                  </a:lnTo>
                  <a:lnTo>
                    <a:pt x="12483" y="2966"/>
                  </a:lnTo>
                  <a:lnTo>
                    <a:pt x="12015" y="3107"/>
                  </a:lnTo>
                  <a:lnTo>
                    <a:pt x="11547" y="3178"/>
                  </a:lnTo>
                  <a:lnTo>
                    <a:pt x="11079" y="3178"/>
                  </a:lnTo>
                  <a:lnTo>
                    <a:pt x="10611" y="3037"/>
                  </a:lnTo>
                  <a:lnTo>
                    <a:pt x="9518" y="3037"/>
                  </a:lnTo>
                  <a:lnTo>
                    <a:pt x="9050" y="3178"/>
                  </a:lnTo>
                  <a:lnTo>
                    <a:pt x="8582" y="3178"/>
                  </a:lnTo>
                  <a:lnTo>
                    <a:pt x="8114" y="3249"/>
                  </a:lnTo>
                  <a:lnTo>
                    <a:pt x="8114" y="3037"/>
                  </a:lnTo>
                  <a:lnTo>
                    <a:pt x="7958" y="2825"/>
                  </a:lnTo>
                  <a:lnTo>
                    <a:pt x="7490" y="2825"/>
                  </a:lnTo>
                  <a:lnTo>
                    <a:pt x="7178" y="3037"/>
                  </a:lnTo>
                  <a:lnTo>
                    <a:pt x="7178" y="3460"/>
                  </a:lnTo>
                  <a:lnTo>
                    <a:pt x="7334" y="3672"/>
                  </a:lnTo>
                  <a:lnTo>
                    <a:pt x="8270" y="4096"/>
                  </a:lnTo>
                  <a:lnTo>
                    <a:pt x="8582" y="4308"/>
                  </a:lnTo>
                  <a:lnTo>
                    <a:pt x="8894" y="4732"/>
                  </a:lnTo>
                  <a:lnTo>
                    <a:pt x="9362" y="4802"/>
                  </a:lnTo>
                  <a:lnTo>
                    <a:pt x="9830" y="4802"/>
                  </a:lnTo>
                  <a:lnTo>
                    <a:pt x="10299" y="4873"/>
                  </a:lnTo>
                  <a:lnTo>
                    <a:pt x="9986" y="5297"/>
                  </a:lnTo>
                  <a:lnTo>
                    <a:pt x="9362" y="5720"/>
                  </a:lnTo>
                  <a:lnTo>
                    <a:pt x="9206" y="5932"/>
                  </a:lnTo>
                  <a:lnTo>
                    <a:pt x="8894" y="6144"/>
                  </a:lnTo>
                  <a:lnTo>
                    <a:pt x="8738" y="6356"/>
                  </a:lnTo>
                  <a:lnTo>
                    <a:pt x="8738" y="6780"/>
                  </a:lnTo>
                  <a:lnTo>
                    <a:pt x="8114" y="7203"/>
                  </a:lnTo>
                  <a:lnTo>
                    <a:pt x="7958" y="7486"/>
                  </a:lnTo>
                  <a:lnTo>
                    <a:pt x="7802" y="7698"/>
                  </a:lnTo>
                  <a:lnTo>
                    <a:pt x="7802" y="8121"/>
                  </a:lnTo>
                  <a:lnTo>
                    <a:pt x="6866" y="8757"/>
                  </a:lnTo>
                  <a:lnTo>
                    <a:pt x="6710" y="8969"/>
                  </a:lnTo>
                  <a:lnTo>
                    <a:pt x="6242" y="8969"/>
                  </a:lnTo>
                  <a:lnTo>
                    <a:pt x="5773" y="8898"/>
                  </a:lnTo>
                  <a:lnTo>
                    <a:pt x="5773" y="8686"/>
                  </a:lnTo>
                  <a:lnTo>
                    <a:pt x="5929" y="8474"/>
                  </a:lnTo>
                  <a:lnTo>
                    <a:pt x="5929" y="7839"/>
                  </a:lnTo>
                  <a:lnTo>
                    <a:pt x="5617" y="7627"/>
                  </a:lnTo>
                  <a:lnTo>
                    <a:pt x="5149" y="7698"/>
                  </a:lnTo>
                  <a:lnTo>
                    <a:pt x="4681" y="7556"/>
                  </a:lnTo>
                  <a:lnTo>
                    <a:pt x="4369" y="7345"/>
                  </a:lnTo>
                  <a:lnTo>
                    <a:pt x="4993" y="7768"/>
                  </a:lnTo>
                  <a:lnTo>
                    <a:pt x="4681" y="7980"/>
                  </a:lnTo>
                  <a:lnTo>
                    <a:pt x="5149" y="8121"/>
                  </a:lnTo>
                  <a:lnTo>
                    <a:pt x="5305" y="8333"/>
                  </a:lnTo>
                  <a:lnTo>
                    <a:pt x="4837" y="8404"/>
                  </a:lnTo>
                  <a:lnTo>
                    <a:pt x="4525" y="8616"/>
                  </a:lnTo>
                  <a:lnTo>
                    <a:pt x="4057" y="8686"/>
                  </a:lnTo>
                  <a:lnTo>
                    <a:pt x="3121" y="8686"/>
                  </a:lnTo>
                  <a:lnTo>
                    <a:pt x="2965" y="8474"/>
                  </a:lnTo>
                  <a:lnTo>
                    <a:pt x="2497" y="8333"/>
                  </a:lnTo>
                  <a:lnTo>
                    <a:pt x="2028" y="8333"/>
                  </a:lnTo>
                  <a:lnTo>
                    <a:pt x="1872" y="8121"/>
                  </a:lnTo>
                  <a:lnTo>
                    <a:pt x="1404" y="8051"/>
                  </a:lnTo>
                  <a:lnTo>
                    <a:pt x="1248" y="7839"/>
                  </a:lnTo>
                  <a:lnTo>
                    <a:pt x="936" y="7627"/>
                  </a:lnTo>
                  <a:lnTo>
                    <a:pt x="0" y="7486"/>
                  </a:lnTo>
                  <a:lnTo>
                    <a:pt x="0" y="7698"/>
                  </a:lnTo>
                  <a:lnTo>
                    <a:pt x="468" y="7839"/>
                  </a:lnTo>
                  <a:lnTo>
                    <a:pt x="780" y="8051"/>
                  </a:lnTo>
                  <a:lnTo>
                    <a:pt x="780" y="8263"/>
                  </a:lnTo>
                  <a:lnTo>
                    <a:pt x="1404" y="8686"/>
                  </a:lnTo>
                  <a:lnTo>
                    <a:pt x="1872" y="8898"/>
                  </a:lnTo>
                  <a:lnTo>
                    <a:pt x="2028" y="9110"/>
                  </a:lnTo>
                  <a:lnTo>
                    <a:pt x="2497" y="9393"/>
                  </a:lnTo>
                  <a:lnTo>
                    <a:pt x="3433" y="9534"/>
                  </a:lnTo>
                  <a:lnTo>
                    <a:pt x="4369" y="9816"/>
                  </a:lnTo>
                  <a:lnTo>
                    <a:pt x="4837" y="10028"/>
                  </a:lnTo>
                  <a:lnTo>
                    <a:pt x="5305" y="10028"/>
                  </a:lnTo>
                  <a:lnTo>
                    <a:pt x="5461" y="9816"/>
                  </a:lnTo>
                  <a:lnTo>
                    <a:pt x="5461" y="9604"/>
                  </a:lnTo>
                  <a:lnTo>
                    <a:pt x="5929" y="9534"/>
                  </a:lnTo>
                  <a:lnTo>
                    <a:pt x="6866" y="9534"/>
                  </a:lnTo>
                  <a:lnTo>
                    <a:pt x="7178" y="9746"/>
                  </a:lnTo>
                  <a:lnTo>
                    <a:pt x="7178" y="9958"/>
                  </a:lnTo>
                  <a:lnTo>
                    <a:pt x="6710" y="10169"/>
                  </a:lnTo>
                  <a:lnTo>
                    <a:pt x="6398" y="10381"/>
                  </a:lnTo>
                  <a:lnTo>
                    <a:pt x="6085" y="10805"/>
                  </a:lnTo>
                  <a:lnTo>
                    <a:pt x="6242" y="11017"/>
                  </a:lnTo>
                  <a:lnTo>
                    <a:pt x="6710" y="11158"/>
                  </a:lnTo>
                  <a:lnTo>
                    <a:pt x="6242" y="11158"/>
                  </a:lnTo>
                  <a:lnTo>
                    <a:pt x="5617" y="11087"/>
                  </a:lnTo>
                  <a:lnTo>
                    <a:pt x="5929" y="11299"/>
                  </a:lnTo>
                  <a:lnTo>
                    <a:pt x="6242" y="11723"/>
                  </a:lnTo>
                  <a:lnTo>
                    <a:pt x="6085" y="11935"/>
                  </a:lnTo>
                  <a:lnTo>
                    <a:pt x="6242" y="12147"/>
                  </a:lnTo>
                  <a:lnTo>
                    <a:pt x="5773" y="12288"/>
                  </a:lnTo>
                  <a:lnTo>
                    <a:pt x="5305" y="12288"/>
                  </a:lnTo>
                  <a:lnTo>
                    <a:pt x="4837" y="12217"/>
                  </a:lnTo>
                  <a:lnTo>
                    <a:pt x="4369" y="12076"/>
                  </a:lnTo>
                  <a:lnTo>
                    <a:pt x="4993" y="12147"/>
                  </a:lnTo>
                  <a:lnTo>
                    <a:pt x="4993" y="12359"/>
                  </a:lnTo>
                  <a:lnTo>
                    <a:pt x="4837" y="12570"/>
                  </a:lnTo>
                  <a:lnTo>
                    <a:pt x="5461" y="12853"/>
                  </a:lnTo>
                  <a:lnTo>
                    <a:pt x="5305" y="13065"/>
                  </a:lnTo>
                  <a:lnTo>
                    <a:pt x="4681" y="13489"/>
                  </a:lnTo>
                  <a:lnTo>
                    <a:pt x="4681" y="13700"/>
                  </a:lnTo>
                  <a:lnTo>
                    <a:pt x="5305" y="14124"/>
                  </a:lnTo>
                  <a:lnTo>
                    <a:pt x="5773" y="14265"/>
                  </a:lnTo>
                  <a:lnTo>
                    <a:pt x="5929" y="14477"/>
                  </a:lnTo>
                  <a:lnTo>
                    <a:pt x="5929" y="14901"/>
                  </a:lnTo>
                  <a:lnTo>
                    <a:pt x="6085" y="15113"/>
                  </a:lnTo>
                  <a:lnTo>
                    <a:pt x="6085" y="15325"/>
                  </a:lnTo>
                  <a:lnTo>
                    <a:pt x="6398" y="15748"/>
                  </a:lnTo>
                  <a:lnTo>
                    <a:pt x="6398" y="16172"/>
                  </a:lnTo>
                  <a:lnTo>
                    <a:pt x="6710"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2081" name="Drawing 10"/>
          <xdr:cNvSpPr>
            <a:spLocks/>
          </xdr:cNvSpPr>
        </xdr:nvSpPr>
        <xdr:spPr bwMode="auto">
          <a:xfrm>
            <a:off x="1389" y="-3159"/>
            <a:ext cx="4250" cy="348"/>
          </a:xfrm>
          <a:custGeom>
            <a:avLst/>
            <a:gdLst>
              <a:gd name="T0" fmla="*/ 1745 w 16384"/>
              <a:gd name="T1" fmla="*/ 15816 h 16384"/>
              <a:gd name="T2" fmla="*/ 1454 w 16384"/>
              <a:gd name="T3" fmla="*/ 15390 h 16384"/>
              <a:gd name="T4" fmla="*/ 1163 w 16384"/>
              <a:gd name="T5" fmla="*/ 14727 h 16384"/>
              <a:gd name="T6" fmla="*/ 776 w 16384"/>
              <a:gd name="T7" fmla="*/ 13969 h 16384"/>
              <a:gd name="T8" fmla="*/ 679 w 16384"/>
              <a:gd name="T9" fmla="*/ 12927 h 16384"/>
              <a:gd name="T10" fmla="*/ 485 w 16384"/>
              <a:gd name="T11" fmla="*/ 12406 h 16384"/>
              <a:gd name="T12" fmla="*/ 485 w 16384"/>
              <a:gd name="T13" fmla="*/ 11365 h 16384"/>
              <a:gd name="T14" fmla="*/ 873 w 16384"/>
              <a:gd name="T15" fmla="*/ 10796 h 16384"/>
              <a:gd name="T16" fmla="*/ 1260 w 16384"/>
              <a:gd name="T17" fmla="*/ 9944 h 16384"/>
              <a:gd name="T18" fmla="*/ 1842 w 16384"/>
              <a:gd name="T19" fmla="*/ 9044 h 16384"/>
              <a:gd name="T20" fmla="*/ 2327 w 16384"/>
              <a:gd name="T21" fmla="*/ 8334 h 16384"/>
              <a:gd name="T22" fmla="*/ 3102 w 16384"/>
              <a:gd name="T23" fmla="*/ 7766 h 16384"/>
              <a:gd name="T24" fmla="*/ 3684 w 16384"/>
              <a:gd name="T25" fmla="*/ 7056 h 16384"/>
              <a:gd name="T26" fmla="*/ 4072 w 16384"/>
              <a:gd name="T27" fmla="*/ 6582 h 16384"/>
              <a:gd name="T28" fmla="*/ 5138 w 16384"/>
              <a:gd name="T29" fmla="*/ 5824 h 16384"/>
              <a:gd name="T30" fmla="*/ 5817 w 16384"/>
              <a:gd name="T31" fmla="*/ 5446 h 16384"/>
              <a:gd name="T32" fmla="*/ 6883 w 16384"/>
              <a:gd name="T33" fmla="*/ 4972 h 16384"/>
              <a:gd name="T34" fmla="*/ 6980 w 16384"/>
              <a:gd name="T35" fmla="*/ 4498 h 16384"/>
              <a:gd name="T36" fmla="*/ 7465 w 16384"/>
              <a:gd name="T37" fmla="*/ 4120 h 16384"/>
              <a:gd name="T38" fmla="*/ 8144 w 16384"/>
              <a:gd name="T39" fmla="*/ 3551 h 16384"/>
              <a:gd name="T40" fmla="*/ 9889 w 16384"/>
              <a:gd name="T41" fmla="*/ 2983 h 16384"/>
              <a:gd name="T42" fmla="*/ 10858 w 16384"/>
              <a:gd name="T43" fmla="*/ 2557 h 16384"/>
              <a:gd name="T44" fmla="*/ 11634 w 16384"/>
              <a:gd name="T45" fmla="*/ 2226 h 16384"/>
              <a:gd name="T46" fmla="*/ 13960 w 16384"/>
              <a:gd name="T47" fmla="*/ 1515 h 16384"/>
              <a:gd name="T48" fmla="*/ 15124 w 16384"/>
              <a:gd name="T49" fmla="*/ 1231 h 16384"/>
              <a:gd name="T50" fmla="*/ 16287 w 16384"/>
              <a:gd name="T51" fmla="*/ 852 h 16384"/>
              <a:gd name="T52" fmla="*/ 15996 w 16384"/>
              <a:gd name="T53" fmla="*/ 474 h 16384"/>
              <a:gd name="T54" fmla="*/ 16287 w 16384"/>
              <a:gd name="T55" fmla="*/ 142 h 16384"/>
              <a:gd name="T56" fmla="*/ 15705 w 16384"/>
              <a:gd name="T57" fmla="*/ 237 h 16384"/>
              <a:gd name="T58" fmla="*/ 15802 w 16384"/>
              <a:gd name="T59" fmla="*/ 663 h 16384"/>
              <a:gd name="T60" fmla="*/ 13185 w 16384"/>
              <a:gd name="T61" fmla="*/ 1042 h 16384"/>
              <a:gd name="T62" fmla="*/ 12409 w 16384"/>
              <a:gd name="T63" fmla="*/ 1421 h 16384"/>
              <a:gd name="T64" fmla="*/ 11828 w 16384"/>
              <a:gd name="T65" fmla="*/ 1705 h 16384"/>
              <a:gd name="T66" fmla="*/ 10955 w 16384"/>
              <a:gd name="T67" fmla="*/ 1941 h 16384"/>
              <a:gd name="T68" fmla="*/ 9986 w 16384"/>
              <a:gd name="T69" fmla="*/ 2178 h 16384"/>
              <a:gd name="T70" fmla="*/ 9986 w 16384"/>
              <a:gd name="T71" fmla="*/ 2510 h 16384"/>
              <a:gd name="T72" fmla="*/ 9598 w 16384"/>
              <a:gd name="T73" fmla="*/ 2889 h 16384"/>
              <a:gd name="T74" fmla="*/ 8919 w 16384"/>
              <a:gd name="T75" fmla="*/ 3362 h 16384"/>
              <a:gd name="T76" fmla="*/ 7756 w 16384"/>
              <a:gd name="T77" fmla="*/ 3741 h 16384"/>
              <a:gd name="T78" fmla="*/ 6592 w 16384"/>
              <a:gd name="T79" fmla="*/ 4641 h 16384"/>
              <a:gd name="T80" fmla="*/ 5526 w 16384"/>
              <a:gd name="T81" fmla="*/ 5114 h 16384"/>
              <a:gd name="T82" fmla="*/ 5041 w 16384"/>
              <a:gd name="T83" fmla="*/ 5588 h 16384"/>
              <a:gd name="T84" fmla="*/ 3975 w 16384"/>
              <a:gd name="T85" fmla="*/ 6203 h 16384"/>
              <a:gd name="T86" fmla="*/ 3587 w 16384"/>
              <a:gd name="T87" fmla="*/ 6771 h 16384"/>
              <a:gd name="T88" fmla="*/ 2908 w 16384"/>
              <a:gd name="T89" fmla="*/ 7008 h 16384"/>
              <a:gd name="T90" fmla="*/ 2424 w 16384"/>
              <a:gd name="T91" fmla="*/ 7245 h 16384"/>
              <a:gd name="T92" fmla="*/ 1842 w 16384"/>
              <a:gd name="T93" fmla="*/ 7624 h 16384"/>
              <a:gd name="T94" fmla="*/ 1745 w 16384"/>
              <a:gd name="T95" fmla="*/ 8192 h 16384"/>
              <a:gd name="T96" fmla="*/ 1066 w 16384"/>
              <a:gd name="T97" fmla="*/ 8902 h 16384"/>
              <a:gd name="T98" fmla="*/ 873 w 16384"/>
              <a:gd name="T99" fmla="*/ 9328 h 16384"/>
              <a:gd name="T100" fmla="*/ 582 w 16384"/>
              <a:gd name="T101" fmla="*/ 10086 h 16384"/>
              <a:gd name="T102" fmla="*/ 388 w 16384"/>
              <a:gd name="T103" fmla="*/ 10796 h 16384"/>
              <a:gd name="T104" fmla="*/ 97 w 16384"/>
              <a:gd name="T105" fmla="*/ 11507 h 16384"/>
              <a:gd name="T106" fmla="*/ 194 w 16384"/>
              <a:gd name="T107" fmla="*/ 12075 h 16384"/>
              <a:gd name="T108" fmla="*/ 97 w 16384"/>
              <a:gd name="T109" fmla="*/ 12927 h 16384"/>
              <a:gd name="T110" fmla="*/ 485 w 16384"/>
              <a:gd name="T111" fmla="*/ 13495 h 16384"/>
              <a:gd name="T112" fmla="*/ 485 w 16384"/>
              <a:gd name="T113" fmla="*/ 14206 h 16384"/>
              <a:gd name="T114" fmla="*/ 485 w 16384"/>
              <a:gd name="T115" fmla="*/ 14774 h 16384"/>
              <a:gd name="T116" fmla="*/ 873 w 16384"/>
              <a:gd name="T117" fmla="*/ 15248 h 16384"/>
              <a:gd name="T118" fmla="*/ 776 w 16384"/>
              <a:gd name="T119" fmla="*/ 15816 h 16384"/>
              <a:gd name="T120" fmla="*/ 1260 w 16384"/>
              <a:gd name="T121" fmla="*/ 1619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6384" h="16384">
                <a:moveTo>
                  <a:pt x="1939" y="16384"/>
                </a:moveTo>
                <a:lnTo>
                  <a:pt x="2036" y="16242"/>
                </a:lnTo>
                <a:lnTo>
                  <a:pt x="1745" y="15816"/>
                </a:lnTo>
                <a:lnTo>
                  <a:pt x="1551" y="15674"/>
                </a:lnTo>
                <a:lnTo>
                  <a:pt x="1454" y="15532"/>
                </a:lnTo>
                <a:lnTo>
                  <a:pt x="1454" y="15390"/>
                </a:lnTo>
                <a:lnTo>
                  <a:pt x="1357" y="15248"/>
                </a:lnTo>
                <a:lnTo>
                  <a:pt x="1163" y="14869"/>
                </a:lnTo>
                <a:lnTo>
                  <a:pt x="1163" y="14727"/>
                </a:lnTo>
                <a:lnTo>
                  <a:pt x="873" y="14300"/>
                </a:lnTo>
                <a:lnTo>
                  <a:pt x="873" y="14111"/>
                </a:lnTo>
                <a:lnTo>
                  <a:pt x="776" y="13969"/>
                </a:lnTo>
                <a:lnTo>
                  <a:pt x="776" y="13685"/>
                </a:lnTo>
                <a:lnTo>
                  <a:pt x="679" y="13543"/>
                </a:lnTo>
                <a:lnTo>
                  <a:pt x="679" y="12927"/>
                </a:lnTo>
                <a:lnTo>
                  <a:pt x="582" y="12785"/>
                </a:lnTo>
                <a:lnTo>
                  <a:pt x="485" y="12596"/>
                </a:lnTo>
                <a:lnTo>
                  <a:pt x="485" y="12406"/>
                </a:lnTo>
                <a:lnTo>
                  <a:pt x="388" y="12217"/>
                </a:lnTo>
                <a:lnTo>
                  <a:pt x="388" y="11507"/>
                </a:lnTo>
                <a:lnTo>
                  <a:pt x="485" y="11365"/>
                </a:lnTo>
                <a:lnTo>
                  <a:pt x="485" y="11223"/>
                </a:lnTo>
                <a:lnTo>
                  <a:pt x="679" y="11081"/>
                </a:lnTo>
                <a:lnTo>
                  <a:pt x="873" y="10796"/>
                </a:lnTo>
                <a:lnTo>
                  <a:pt x="873" y="10654"/>
                </a:lnTo>
                <a:lnTo>
                  <a:pt x="1260" y="10086"/>
                </a:lnTo>
                <a:lnTo>
                  <a:pt x="1260" y="9944"/>
                </a:lnTo>
                <a:lnTo>
                  <a:pt x="1454" y="9755"/>
                </a:lnTo>
                <a:lnTo>
                  <a:pt x="1454" y="9613"/>
                </a:lnTo>
                <a:lnTo>
                  <a:pt x="1842" y="9044"/>
                </a:lnTo>
                <a:lnTo>
                  <a:pt x="1842" y="8902"/>
                </a:lnTo>
                <a:lnTo>
                  <a:pt x="2133" y="8476"/>
                </a:lnTo>
                <a:lnTo>
                  <a:pt x="2327" y="8334"/>
                </a:lnTo>
                <a:lnTo>
                  <a:pt x="2424" y="8192"/>
                </a:lnTo>
                <a:lnTo>
                  <a:pt x="2811" y="7908"/>
                </a:lnTo>
                <a:lnTo>
                  <a:pt x="3102" y="7766"/>
                </a:lnTo>
                <a:lnTo>
                  <a:pt x="3393" y="7340"/>
                </a:lnTo>
                <a:lnTo>
                  <a:pt x="3587" y="7198"/>
                </a:lnTo>
                <a:lnTo>
                  <a:pt x="3684" y="7056"/>
                </a:lnTo>
                <a:lnTo>
                  <a:pt x="3878" y="6913"/>
                </a:lnTo>
                <a:lnTo>
                  <a:pt x="3975" y="6771"/>
                </a:lnTo>
                <a:lnTo>
                  <a:pt x="4072" y="6582"/>
                </a:lnTo>
                <a:lnTo>
                  <a:pt x="4266" y="6440"/>
                </a:lnTo>
                <a:lnTo>
                  <a:pt x="4944" y="6108"/>
                </a:lnTo>
                <a:lnTo>
                  <a:pt x="5138" y="5824"/>
                </a:lnTo>
                <a:lnTo>
                  <a:pt x="5332" y="5682"/>
                </a:lnTo>
                <a:lnTo>
                  <a:pt x="5623" y="5588"/>
                </a:lnTo>
                <a:lnTo>
                  <a:pt x="5817" y="5446"/>
                </a:lnTo>
                <a:lnTo>
                  <a:pt x="6108" y="5398"/>
                </a:lnTo>
                <a:lnTo>
                  <a:pt x="6302" y="5256"/>
                </a:lnTo>
                <a:lnTo>
                  <a:pt x="6883" y="4972"/>
                </a:lnTo>
                <a:lnTo>
                  <a:pt x="7077" y="4830"/>
                </a:lnTo>
                <a:lnTo>
                  <a:pt x="6883" y="4688"/>
                </a:lnTo>
                <a:lnTo>
                  <a:pt x="6980" y="4498"/>
                </a:lnTo>
                <a:lnTo>
                  <a:pt x="7077" y="4356"/>
                </a:lnTo>
                <a:lnTo>
                  <a:pt x="7368" y="4262"/>
                </a:lnTo>
                <a:lnTo>
                  <a:pt x="7465" y="4120"/>
                </a:lnTo>
                <a:lnTo>
                  <a:pt x="7659" y="3978"/>
                </a:lnTo>
                <a:lnTo>
                  <a:pt x="7756" y="3836"/>
                </a:lnTo>
                <a:lnTo>
                  <a:pt x="8144" y="3551"/>
                </a:lnTo>
                <a:lnTo>
                  <a:pt x="9307" y="3173"/>
                </a:lnTo>
                <a:lnTo>
                  <a:pt x="9598" y="3125"/>
                </a:lnTo>
                <a:lnTo>
                  <a:pt x="9889" y="2983"/>
                </a:lnTo>
                <a:lnTo>
                  <a:pt x="10179" y="2889"/>
                </a:lnTo>
                <a:lnTo>
                  <a:pt x="10567" y="2604"/>
                </a:lnTo>
                <a:lnTo>
                  <a:pt x="10858" y="2557"/>
                </a:lnTo>
                <a:lnTo>
                  <a:pt x="11052" y="2415"/>
                </a:lnTo>
                <a:lnTo>
                  <a:pt x="11343" y="2368"/>
                </a:lnTo>
                <a:lnTo>
                  <a:pt x="11634" y="2226"/>
                </a:lnTo>
                <a:lnTo>
                  <a:pt x="12797" y="1847"/>
                </a:lnTo>
                <a:lnTo>
                  <a:pt x="13088" y="1799"/>
                </a:lnTo>
                <a:lnTo>
                  <a:pt x="13960" y="1515"/>
                </a:lnTo>
                <a:lnTo>
                  <a:pt x="14251" y="1468"/>
                </a:lnTo>
                <a:lnTo>
                  <a:pt x="14833" y="1279"/>
                </a:lnTo>
                <a:lnTo>
                  <a:pt x="15124" y="1231"/>
                </a:lnTo>
                <a:lnTo>
                  <a:pt x="15415" y="1089"/>
                </a:lnTo>
                <a:lnTo>
                  <a:pt x="15996" y="994"/>
                </a:lnTo>
                <a:lnTo>
                  <a:pt x="16287" y="852"/>
                </a:lnTo>
                <a:lnTo>
                  <a:pt x="16384" y="710"/>
                </a:lnTo>
                <a:lnTo>
                  <a:pt x="16287" y="521"/>
                </a:lnTo>
                <a:lnTo>
                  <a:pt x="15996" y="474"/>
                </a:lnTo>
                <a:lnTo>
                  <a:pt x="16093" y="331"/>
                </a:lnTo>
                <a:lnTo>
                  <a:pt x="16384" y="284"/>
                </a:lnTo>
                <a:lnTo>
                  <a:pt x="16287" y="142"/>
                </a:lnTo>
                <a:lnTo>
                  <a:pt x="16093" y="0"/>
                </a:lnTo>
                <a:lnTo>
                  <a:pt x="15802" y="95"/>
                </a:lnTo>
                <a:lnTo>
                  <a:pt x="15705" y="237"/>
                </a:lnTo>
                <a:lnTo>
                  <a:pt x="15705" y="379"/>
                </a:lnTo>
                <a:lnTo>
                  <a:pt x="15802" y="521"/>
                </a:lnTo>
                <a:lnTo>
                  <a:pt x="15802" y="663"/>
                </a:lnTo>
                <a:lnTo>
                  <a:pt x="15511" y="710"/>
                </a:lnTo>
                <a:lnTo>
                  <a:pt x="15221" y="710"/>
                </a:lnTo>
                <a:lnTo>
                  <a:pt x="13185" y="1042"/>
                </a:lnTo>
                <a:lnTo>
                  <a:pt x="12894" y="1136"/>
                </a:lnTo>
                <a:lnTo>
                  <a:pt x="12603" y="1279"/>
                </a:lnTo>
                <a:lnTo>
                  <a:pt x="12409" y="1421"/>
                </a:lnTo>
                <a:lnTo>
                  <a:pt x="12409" y="1563"/>
                </a:lnTo>
                <a:lnTo>
                  <a:pt x="12118" y="1657"/>
                </a:lnTo>
                <a:lnTo>
                  <a:pt x="11828" y="1705"/>
                </a:lnTo>
                <a:lnTo>
                  <a:pt x="11537" y="1705"/>
                </a:lnTo>
                <a:lnTo>
                  <a:pt x="11246" y="1799"/>
                </a:lnTo>
                <a:lnTo>
                  <a:pt x="10955" y="1941"/>
                </a:lnTo>
                <a:lnTo>
                  <a:pt x="10664" y="2036"/>
                </a:lnTo>
                <a:lnTo>
                  <a:pt x="10373" y="2084"/>
                </a:lnTo>
                <a:lnTo>
                  <a:pt x="9986" y="2178"/>
                </a:lnTo>
                <a:lnTo>
                  <a:pt x="9695" y="2226"/>
                </a:lnTo>
                <a:lnTo>
                  <a:pt x="9792" y="2368"/>
                </a:lnTo>
                <a:lnTo>
                  <a:pt x="9986" y="2510"/>
                </a:lnTo>
                <a:lnTo>
                  <a:pt x="9986" y="2652"/>
                </a:lnTo>
                <a:lnTo>
                  <a:pt x="9889" y="2794"/>
                </a:lnTo>
                <a:lnTo>
                  <a:pt x="9598" y="2889"/>
                </a:lnTo>
                <a:lnTo>
                  <a:pt x="9016" y="2936"/>
                </a:lnTo>
                <a:lnTo>
                  <a:pt x="8919" y="3078"/>
                </a:lnTo>
                <a:lnTo>
                  <a:pt x="8919" y="3362"/>
                </a:lnTo>
                <a:lnTo>
                  <a:pt x="8628" y="3504"/>
                </a:lnTo>
                <a:lnTo>
                  <a:pt x="8047" y="3599"/>
                </a:lnTo>
                <a:lnTo>
                  <a:pt x="7756" y="3741"/>
                </a:lnTo>
                <a:lnTo>
                  <a:pt x="7174" y="3930"/>
                </a:lnTo>
                <a:lnTo>
                  <a:pt x="6592" y="4214"/>
                </a:lnTo>
                <a:lnTo>
                  <a:pt x="6592" y="4641"/>
                </a:lnTo>
                <a:lnTo>
                  <a:pt x="6011" y="4830"/>
                </a:lnTo>
                <a:lnTo>
                  <a:pt x="5720" y="4972"/>
                </a:lnTo>
                <a:lnTo>
                  <a:pt x="5526" y="5114"/>
                </a:lnTo>
                <a:lnTo>
                  <a:pt x="5429" y="5256"/>
                </a:lnTo>
                <a:lnTo>
                  <a:pt x="5235" y="5398"/>
                </a:lnTo>
                <a:lnTo>
                  <a:pt x="5041" y="5588"/>
                </a:lnTo>
                <a:lnTo>
                  <a:pt x="4653" y="5872"/>
                </a:lnTo>
                <a:lnTo>
                  <a:pt x="4072" y="6061"/>
                </a:lnTo>
                <a:lnTo>
                  <a:pt x="3975" y="6203"/>
                </a:lnTo>
                <a:lnTo>
                  <a:pt x="3684" y="6345"/>
                </a:lnTo>
                <a:lnTo>
                  <a:pt x="3587" y="6487"/>
                </a:lnTo>
                <a:lnTo>
                  <a:pt x="3587" y="6771"/>
                </a:lnTo>
                <a:lnTo>
                  <a:pt x="3393" y="7056"/>
                </a:lnTo>
                <a:lnTo>
                  <a:pt x="3102" y="7150"/>
                </a:lnTo>
                <a:lnTo>
                  <a:pt x="2908" y="7008"/>
                </a:lnTo>
                <a:lnTo>
                  <a:pt x="2618" y="6961"/>
                </a:lnTo>
                <a:lnTo>
                  <a:pt x="2424" y="7103"/>
                </a:lnTo>
                <a:lnTo>
                  <a:pt x="2424" y="7245"/>
                </a:lnTo>
                <a:lnTo>
                  <a:pt x="2327" y="7387"/>
                </a:lnTo>
                <a:lnTo>
                  <a:pt x="2133" y="7529"/>
                </a:lnTo>
                <a:lnTo>
                  <a:pt x="1842" y="7624"/>
                </a:lnTo>
                <a:lnTo>
                  <a:pt x="1939" y="7766"/>
                </a:lnTo>
                <a:lnTo>
                  <a:pt x="1939" y="7908"/>
                </a:lnTo>
                <a:lnTo>
                  <a:pt x="1745" y="8192"/>
                </a:lnTo>
                <a:lnTo>
                  <a:pt x="1551" y="8334"/>
                </a:lnTo>
                <a:lnTo>
                  <a:pt x="1260" y="8760"/>
                </a:lnTo>
                <a:lnTo>
                  <a:pt x="1066" y="8902"/>
                </a:lnTo>
                <a:lnTo>
                  <a:pt x="969" y="9044"/>
                </a:lnTo>
                <a:lnTo>
                  <a:pt x="969" y="9186"/>
                </a:lnTo>
                <a:lnTo>
                  <a:pt x="873" y="9328"/>
                </a:lnTo>
                <a:lnTo>
                  <a:pt x="679" y="9471"/>
                </a:lnTo>
                <a:lnTo>
                  <a:pt x="679" y="9897"/>
                </a:lnTo>
                <a:lnTo>
                  <a:pt x="582" y="10086"/>
                </a:lnTo>
                <a:lnTo>
                  <a:pt x="582" y="10370"/>
                </a:lnTo>
                <a:lnTo>
                  <a:pt x="388" y="10654"/>
                </a:lnTo>
                <a:lnTo>
                  <a:pt x="388" y="10796"/>
                </a:lnTo>
                <a:lnTo>
                  <a:pt x="291" y="10938"/>
                </a:lnTo>
                <a:lnTo>
                  <a:pt x="291" y="11223"/>
                </a:lnTo>
                <a:lnTo>
                  <a:pt x="97" y="11507"/>
                </a:lnTo>
                <a:lnTo>
                  <a:pt x="97" y="11649"/>
                </a:lnTo>
                <a:lnTo>
                  <a:pt x="0" y="11791"/>
                </a:lnTo>
                <a:lnTo>
                  <a:pt x="194" y="12075"/>
                </a:lnTo>
                <a:lnTo>
                  <a:pt x="194" y="12643"/>
                </a:lnTo>
                <a:lnTo>
                  <a:pt x="97" y="12785"/>
                </a:lnTo>
                <a:lnTo>
                  <a:pt x="97" y="12927"/>
                </a:lnTo>
                <a:lnTo>
                  <a:pt x="291" y="13069"/>
                </a:lnTo>
                <a:lnTo>
                  <a:pt x="485" y="13353"/>
                </a:lnTo>
                <a:lnTo>
                  <a:pt x="485" y="13495"/>
                </a:lnTo>
                <a:lnTo>
                  <a:pt x="291" y="13780"/>
                </a:lnTo>
                <a:lnTo>
                  <a:pt x="291" y="13922"/>
                </a:lnTo>
                <a:lnTo>
                  <a:pt x="485" y="14206"/>
                </a:lnTo>
                <a:lnTo>
                  <a:pt x="388" y="14348"/>
                </a:lnTo>
                <a:lnTo>
                  <a:pt x="485" y="14490"/>
                </a:lnTo>
                <a:lnTo>
                  <a:pt x="485" y="14774"/>
                </a:lnTo>
                <a:lnTo>
                  <a:pt x="582" y="14916"/>
                </a:lnTo>
                <a:lnTo>
                  <a:pt x="776" y="15058"/>
                </a:lnTo>
                <a:lnTo>
                  <a:pt x="873" y="15248"/>
                </a:lnTo>
                <a:lnTo>
                  <a:pt x="873" y="15532"/>
                </a:lnTo>
                <a:lnTo>
                  <a:pt x="776" y="15674"/>
                </a:lnTo>
                <a:lnTo>
                  <a:pt x="776" y="15816"/>
                </a:lnTo>
                <a:lnTo>
                  <a:pt x="679" y="15958"/>
                </a:lnTo>
                <a:lnTo>
                  <a:pt x="969" y="16100"/>
                </a:lnTo>
                <a:lnTo>
                  <a:pt x="1260" y="16195"/>
                </a:lnTo>
                <a:lnTo>
                  <a:pt x="1939"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editAs="absolute">
    <xdr:from>
      <xdr:col>1</xdr:col>
      <xdr:colOff>579120</xdr:colOff>
      <xdr:row>23</xdr:row>
      <xdr:rowOff>68580</xdr:rowOff>
    </xdr:from>
    <xdr:to>
      <xdr:col>2</xdr:col>
      <xdr:colOff>518160</xdr:colOff>
      <xdr:row>25</xdr:row>
      <xdr:rowOff>144780</xdr:rowOff>
    </xdr:to>
    <xdr:sp macro="" textlink="">
      <xdr:nvSpPr>
        <xdr:cNvPr id="2082" name="line802"/>
        <xdr:cNvSpPr>
          <a:spLocks/>
        </xdr:cNvSpPr>
      </xdr:nvSpPr>
      <xdr:spPr bwMode="auto">
        <a:xfrm>
          <a:off x="2362200" y="4640580"/>
          <a:ext cx="762000" cy="472440"/>
        </a:xfrm>
        <a:custGeom>
          <a:avLst/>
          <a:gdLst>
            <a:gd name="T0" fmla="*/ 0 w 16384"/>
            <a:gd name="T1" fmla="*/ 16063 h 16384"/>
            <a:gd name="T2" fmla="*/ 978 w 16384"/>
            <a:gd name="T3" fmla="*/ 14135 h 16384"/>
            <a:gd name="T4" fmla="*/ 2445 w 16384"/>
            <a:gd name="T5" fmla="*/ 13493 h 16384"/>
            <a:gd name="T6" fmla="*/ 2934 w 16384"/>
            <a:gd name="T7" fmla="*/ 14778 h 16384"/>
            <a:gd name="T8" fmla="*/ 3179 w 16384"/>
            <a:gd name="T9" fmla="*/ 16384 h 16384"/>
            <a:gd name="T10" fmla="*/ 2690 w 16384"/>
            <a:gd name="T11" fmla="*/ 14778 h 16384"/>
            <a:gd name="T12" fmla="*/ 1467 w 16384"/>
            <a:gd name="T13" fmla="*/ 13814 h 16384"/>
            <a:gd name="T14" fmla="*/ 3913 w 16384"/>
            <a:gd name="T15" fmla="*/ 10601 h 16384"/>
            <a:gd name="T16" fmla="*/ 7581 w 16384"/>
            <a:gd name="T17" fmla="*/ 8031 h 16384"/>
            <a:gd name="T18" fmla="*/ 10271 w 16384"/>
            <a:gd name="T19" fmla="*/ 10280 h 16384"/>
            <a:gd name="T20" fmla="*/ 10760 w 16384"/>
            <a:gd name="T21" fmla="*/ 8674 h 16384"/>
            <a:gd name="T22" fmla="*/ 10026 w 16384"/>
            <a:gd name="T23" fmla="*/ 10601 h 16384"/>
            <a:gd name="T24" fmla="*/ 12471 w 16384"/>
            <a:gd name="T25" fmla="*/ 11244 h 16384"/>
            <a:gd name="T26" fmla="*/ 7336 w 16384"/>
            <a:gd name="T27" fmla="*/ 7389 h 16384"/>
            <a:gd name="T28" fmla="*/ 16384 w 16384"/>
            <a:gd name="T29"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6063"/>
              </a:moveTo>
              <a:lnTo>
                <a:pt x="978" y="14135"/>
              </a:lnTo>
              <a:lnTo>
                <a:pt x="2445" y="13493"/>
              </a:lnTo>
              <a:lnTo>
                <a:pt x="2934" y="14778"/>
              </a:lnTo>
              <a:lnTo>
                <a:pt x="3179" y="16384"/>
              </a:lnTo>
              <a:lnTo>
                <a:pt x="2690" y="14778"/>
              </a:lnTo>
              <a:lnTo>
                <a:pt x="1467" y="13814"/>
              </a:lnTo>
              <a:lnTo>
                <a:pt x="3913" y="10601"/>
              </a:lnTo>
              <a:lnTo>
                <a:pt x="7581" y="8031"/>
              </a:lnTo>
              <a:lnTo>
                <a:pt x="10271" y="10280"/>
              </a:lnTo>
              <a:lnTo>
                <a:pt x="10760" y="8674"/>
              </a:lnTo>
              <a:lnTo>
                <a:pt x="10026" y="10601"/>
              </a:lnTo>
              <a:lnTo>
                <a:pt x="12471" y="11244"/>
              </a:lnTo>
              <a:lnTo>
                <a:pt x="7336" y="738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518160</xdr:colOff>
      <xdr:row>20</xdr:row>
      <xdr:rowOff>76200</xdr:rowOff>
    </xdr:from>
    <xdr:to>
      <xdr:col>3</xdr:col>
      <xdr:colOff>624840</xdr:colOff>
      <xdr:row>24</xdr:row>
      <xdr:rowOff>68580</xdr:rowOff>
    </xdr:to>
    <xdr:sp macro="" textlink="">
      <xdr:nvSpPr>
        <xdr:cNvPr id="2083" name="line804"/>
        <xdr:cNvSpPr>
          <a:spLocks/>
        </xdr:cNvSpPr>
      </xdr:nvSpPr>
      <xdr:spPr bwMode="auto">
        <a:xfrm>
          <a:off x="3124200" y="4053840"/>
          <a:ext cx="929640" cy="784860"/>
        </a:xfrm>
        <a:custGeom>
          <a:avLst/>
          <a:gdLst>
            <a:gd name="T0" fmla="*/ 0 w 16384"/>
            <a:gd name="T1" fmla="*/ 12239 h 16384"/>
            <a:gd name="T2" fmla="*/ 1399 w 16384"/>
            <a:gd name="T3" fmla="*/ 11449 h 16384"/>
            <a:gd name="T4" fmla="*/ 3596 w 16384"/>
            <a:gd name="T5" fmla="*/ 14607 h 16384"/>
            <a:gd name="T6" fmla="*/ 2398 w 16384"/>
            <a:gd name="T7" fmla="*/ 15594 h 16384"/>
            <a:gd name="T8" fmla="*/ 3397 w 16384"/>
            <a:gd name="T9" fmla="*/ 14805 h 16384"/>
            <a:gd name="T10" fmla="*/ 4596 w 16384"/>
            <a:gd name="T11" fmla="*/ 16384 h 16384"/>
            <a:gd name="T12" fmla="*/ 1199 w 16384"/>
            <a:gd name="T13" fmla="*/ 11252 h 16384"/>
            <a:gd name="T14" fmla="*/ 3596 w 16384"/>
            <a:gd name="T15" fmla="*/ 9870 h 16384"/>
            <a:gd name="T16" fmla="*/ 4396 w 16384"/>
            <a:gd name="T17" fmla="*/ 8685 h 16384"/>
            <a:gd name="T18" fmla="*/ 5994 w 16384"/>
            <a:gd name="T19" fmla="*/ 7896 h 16384"/>
            <a:gd name="T20" fmla="*/ 13986 w 16384"/>
            <a:gd name="T21" fmla="*/ 0 h 16384"/>
            <a:gd name="T22" fmla="*/ 16384 w 16384"/>
            <a:gd name="T23" fmla="*/ 4145 h 16384"/>
            <a:gd name="T24" fmla="*/ 15984 w 16384"/>
            <a:gd name="T25" fmla="*/ 5922 h 16384"/>
            <a:gd name="T26" fmla="*/ 16384 w 16384"/>
            <a:gd name="T27" fmla="*/ 4343 h 16384"/>
            <a:gd name="T28" fmla="*/ 13986 w 16384"/>
            <a:gd name="T29" fmla="*/ 19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2239"/>
              </a:moveTo>
              <a:lnTo>
                <a:pt x="1399" y="11449"/>
              </a:lnTo>
              <a:lnTo>
                <a:pt x="3596" y="14607"/>
              </a:lnTo>
              <a:lnTo>
                <a:pt x="2398" y="15594"/>
              </a:lnTo>
              <a:lnTo>
                <a:pt x="3397" y="14805"/>
              </a:lnTo>
              <a:lnTo>
                <a:pt x="4596" y="16384"/>
              </a:lnTo>
              <a:lnTo>
                <a:pt x="1199" y="11252"/>
              </a:lnTo>
              <a:lnTo>
                <a:pt x="3596" y="9870"/>
              </a:lnTo>
              <a:lnTo>
                <a:pt x="4396" y="8685"/>
              </a:lnTo>
              <a:lnTo>
                <a:pt x="5994" y="7896"/>
              </a:lnTo>
              <a:lnTo>
                <a:pt x="13986" y="0"/>
              </a:lnTo>
              <a:lnTo>
                <a:pt x="16384" y="4145"/>
              </a:lnTo>
              <a:lnTo>
                <a:pt x="15984" y="5922"/>
              </a:lnTo>
              <a:lnTo>
                <a:pt x="16384" y="4343"/>
              </a:lnTo>
              <a:lnTo>
                <a:pt x="13986" y="19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518160</xdr:colOff>
      <xdr:row>17</xdr:row>
      <xdr:rowOff>106680</xdr:rowOff>
    </xdr:from>
    <xdr:to>
      <xdr:col>4</xdr:col>
      <xdr:colOff>502920</xdr:colOff>
      <xdr:row>20</xdr:row>
      <xdr:rowOff>68580</xdr:rowOff>
    </xdr:to>
    <xdr:sp macro="" textlink="">
      <xdr:nvSpPr>
        <xdr:cNvPr id="2084" name="line806"/>
        <xdr:cNvSpPr>
          <a:spLocks/>
        </xdr:cNvSpPr>
      </xdr:nvSpPr>
      <xdr:spPr bwMode="auto">
        <a:xfrm>
          <a:off x="3947160" y="3489960"/>
          <a:ext cx="807720" cy="556260"/>
        </a:xfrm>
        <a:custGeom>
          <a:avLst/>
          <a:gdLst>
            <a:gd name="T0" fmla="*/ 0 w 16384"/>
            <a:gd name="T1" fmla="*/ 16384 h 16384"/>
            <a:gd name="T2" fmla="*/ 12923 w 16384"/>
            <a:gd name="T3" fmla="*/ 2185 h 16384"/>
            <a:gd name="T4" fmla="*/ 14307 w 16384"/>
            <a:gd name="T5" fmla="*/ 4096 h 16384"/>
            <a:gd name="T6" fmla="*/ 16384 w 16384"/>
            <a:gd name="T7" fmla="*/ 4369 h 16384"/>
            <a:gd name="T8" fmla="*/ 14076 w 16384"/>
            <a:gd name="T9" fmla="*/ 4096 h 16384"/>
            <a:gd name="T10" fmla="*/ 12923 w 16384"/>
            <a:gd name="T11" fmla="*/ 2185 h 16384"/>
            <a:gd name="T12" fmla="*/ 14076 w 16384"/>
            <a:gd name="T13" fmla="*/ 0 h 16384"/>
          </a:gdLst>
          <a:ahLst/>
          <a:cxnLst>
            <a:cxn ang="0">
              <a:pos x="T0" y="T1"/>
            </a:cxn>
            <a:cxn ang="0">
              <a:pos x="T2" y="T3"/>
            </a:cxn>
            <a:cxn ang="0">
              <a:pos x="T4" y="T5"/>
            </a:cxn>
            <a:cxn ang="0">
              <a:pos x="T6" y="T7"/>
            </a:cxn>
            <a:cxn ang="0">
              <a:pos x="T8" y="T9"/>
            </a:cxn>
            <a:cxn ang="0">
              <a:pos x="T10" y="T11"/>
            </a:cxn>
            <a:cxn ang="0">
              <a:pos x="T12" y="T13"/>
            </a:cxn>
          </a:cxnLst>
          <a:rect l="0" t="0" r="r" b="b"/>
          <a:pathLst>
            <a:path w="16384" h="16384">
              <a:moveTo>
                <a:pt x="0" y="16384"/>
              </a:moveTo>
              <a:lnTo>
                <a:pt x="12923" y="2185"/>
              </a:lnTo>
              <a:lnTo>
                <a:pt x="14307" y="4096"/>
              </a:lnTo>
              <a:lnTo>
                <a:pt x="16384" y="4369"/>
              </a:lnTo>
              <a:lnTo>
                <a:pt x="14076" y="4096"/>
              </a:lnTo>
              <a:lnTo>
                <a:pt x="12923" y="2185"/>
              </a:lnTo>
              <a:lnTo>
                <a:pt x="14076"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373380</xdr:colOff>
      <xdr:row>13</xdr:row>
      <xdr:rowOff>182880</xdr:rowOff>
    </xdr:from>
    <xdr:to>
      <xdr:col>6</xdr:col>
      <xdr:colOff>45720</xdr:colOff>
      <xdr:row>17</xdr:row>
      <xdr:rowOff>121920</xdr:rowOff>
    </xdr:to>
    <xdr:sp macro="" textlink="">
      <xdr:nvSpPr>
        <xdr:cNvPr id="2085" name="line809"/>
        <xdr:cNvSpPr>
          <a:spLocks/>
        </xdr:cNvSpPr>
      </xdr:nvSpPr>
      <xdr:spPr bwMode="auto">
        <a:xfrm>
          <a:off x="4625340" y="2773680"/>
          <a:ext cx="1318260" cy="731520"/>
        </a:xfrm>
        <a:custGeom>
          <a:avLst/>
          <a:gdLst>
            <a:gd name="T0" fmla="*/ 0 w 16384"/>
            <a:gd name="T1" fmla="*/ 16384 h 16384"/>
            <a:gd name="T2" fmla="*/ 3277 w 16384"/>
            <a:gd name="T3" fmla="*/ 13895 h 16384"/>
            <a:gd name="T4" fmla="*/ 3847 w 16384"/>
            <a:gd name="T5" fmla="*/ 15762 h 16384"/>
            <a:gd name="T6" fmla="*/ 3134 w 16384"/>
            <a:gd name="T7" fmla="*/ 14103 h 16384"/>
            <a:gd name="T8" fmla="*/ 2280 w 16384"/>
            <a:gd name="T9" fmla="*/ 11821 h 16384"/>
            <a:gd name="T10" fmla="*/ 3419 w 16384"/>
            <a:gd name="T11" fmla="*/ 14310 h 16384"/>
            <a:gd name="T12" fmla="*/ 5699 w 16384"/>
            <a:gd name="T13" fmla="*/ 9333 h 16384"/>
            <a:gd name="T14" fmla="*/ 8548 w 16384"/>
            <a:gd name="T15" fmla="*/ 9955 h 16384"/>
            <a:gd name="T16" fmla="*/ 14817 w 16384"/>
            <a:gd name="T17" fmla="*/ 2696 h 16384"/>
            <a:gd name="T18" fmla="*/ 15529 w 16384"/>
            <a:gd name="T19" fmla="*/ 2696 h 16384"/>
            <a:gd name="T20" fmla="*/ 15529 w 16384"/>
            <a:gd name="T21" fmla="*/ 4355 h 16384"/>
            <a:gd name="T22" fmla="*/ 16242 w 16384"/>
            <a:gd name="T23" fmla="*/ 4563 h 16384"/>
            <a:gd name="T24" fmla="*/ 15957 w 16384"/>
            <a:gd name="T25" fmla="*/ 6222 h 16384"/>
            <a:gd name="T26" fmla="*/ 15957 w 16384"/>
            <a:gd name="T27" fmla="*/ 4355 h 16384"/>
            <a:gd name="T28" fmla="*/ 15529 w 16384"/>
            <a:gd name="T29" fmla="*/ 4563 h 16384"/>
            <a:gd name="T30" fmla="*/ 15529 w 16384"/>
            <a:gd name="T31" fmla="*/ 2696 h 16384"/>
            <a:gd name="T32" fmla="*/ 14389 w 16384"/>
            <a:gd name="T33" fmla="*/ 2903 h 16384"/>
            <a:gd name="T34" fmla="*/ 15387 w 16384"/>
            <a:gd name="T35" fmla="*/ 1659 h 16384"/>
            <a:gd name="T36" fmla="*/ 14389 w 16384"/>
            <a:gd name="T37" fmla="*/ 0 h 16384"/>
            <a:gd name="T38" fmla="*/ 15102 w 16384"/>
            <a:gd name="T39" fmla="*/ 1452 h 16384"/>
            <a:gd name="T40" fmla="*/ 16384 w 16384"/>
            <a:gd name="T41" fmla="*/ 622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6384" h="16384">
              <a:moveTo>
                <a:pt x="0" y="16384"/>
              </a:moveTo>
              <a:lnTo>
                <a:pt x="3277" y="13895"/>
              </a:lnTo>
              <a:lnTo>
                <a:pt x="3847" y="15762"/>
              </a:lnTo>
              <a:lnTo>
                <a:pt x="3134" y="14103"/>
              </a:lnTo>
              <a:lnTo>
                <a:pt x="2280" y="11821"/>
              </a:lnTo>
              <a:lnTo>
                <a:pt x="3419" y="14310"/>
              </a:lnTo>
              <a:lnTo>
                <a:pt x="5699" y="9333"/>
              </a:lnTo>
              <a:lnTo>
                <a:pt x="8548" y="9955"/>
              </a:lnTo>
              <a:lnTo>
                <a:pt x="14817" y="2696"/>
              </a:lnTo>
              <a:lnTo>
                <a:pt x="15529" y="2696"/>
              </a:lnTo>
              <a:lnTo>
                <a:pt x="15529" y="4355"/>
              </a:lnTo>
              <a:lnTo>
                <a:pt x="16242" y="4563"/>
              </a:lnTo>
              <a:lnTo>
                <a:pt x="15957" y="6222"/>
              </a:lnTo>
              <a:lnTo>
                <a:pt x="15957" y="4355"/>
              </a:lnTo>
              <a:lnTo>
                <a:pt x="15529" y="4563"/>
              </a:lnTo>
              <a:lnTo>
                <a:pt x="15529" y="2696"/>
              </a:lnTo>
              <a:lnTo>
                <a:pt x="14389" y="2903"/>
              </a:lnTo>
              <a:lnTo>
                <a:pt x="15387" y="1659"/>
              </a:lnTo>
              <a:lnTo>
                <a:pt x="14389" y="0"/>
              </a:lnTo>
              <a:lnTo>
                <a:pt x="15102" y="1452"/>
              </a:lnTo>
              <a:lnTo>
                <a:pt x="16384" y="622"/>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777240</xdr:colOff>
      <xdr:row>10</xdr:row>
      <xdr:rowOff>30480</xdr:rowOff>
    </xdr:from>
    <xdr:to>
      <xdr:col>7</xdr:col>
      <xdr:colOff>274320</xdr:colOff>
      <xdr:row>14</xdr:row>
      <xdr:rowOff>0</xdr:rowOff>
    </xdr:to>
    <xdr:sp macro="" textlink="">
      <xdr:nvSpPr>
        <xdr:cNvPr id="2086" name="line812"/>
        <xdr:cNvSpPr>
          <a:spLocks/>
        </xdr:cNvSpPr>
      </xdr:nvSpPr>
      <xdr:spPr bwMode="auto">
        <a:xfrm>
          <a:off x="5852160" y="2026920"/>
          <a:ext cx="1143000" cy="762000"/>
        </a:xfrm>
        <a:custGeom>
          <a:avLst/>
          <a:gdLst>
            <a:gd name="T0" fmla="*/ 1638 w 16384"/>
            <a:gd name="T1" fmla="*/ 16384 h 16384"/>
            <a:gd name="T2" fmla="*/ 2130 w 16384"/>
            <a:gd name="T3" fmla="*/ 15373 h 16384"/>
            <a:gd name="T4" fmla="*/ 0 w 16384"/>
            <a:gd name="T5" fmla="*/ 11327 h 16384"/>
            <a:gd name="T6" fmla="*/ 2458 w 16384"/>
            <a:gd name="T7" fmla="*/ 15170 h 16384"/>
            <a:gd name="T8" fmla="*/ 6062 w 16384"/>
            <a:gd name="T9" fmla="*/ 10720 h 16384"/>
            <a:gd name="T10" fmla="*/ 7864 w 16384"/>
            <a:gd name="T11" fmla="*/ 14361 h 16384"/>
            <a:gd name="T12" fmla="*/ 6062 w 16384"/>
            <a:gd name="T13" fmla="*/ 10518 h 16384"/>
            <a:gd name="T14" fmla="*/ 16384 w 16384"/>
            <a:gd name="T15" fmla="*/ 0 h 1638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6384" h="16384">
              <a:moveTo>
                <a:pt x="1638" y="16384"/>
              </a:moveTo>
              <a:lnTo>
                <a:pt x="2130" y="15373"/>
              </a:lnTo>
              <a:lnTo>
                <a:pt x="0" y="11327"/>
              </a:lnTo>
              <a:lnTo>
                <a:pt x="2458" y="15170"/>
              </a:lnTo>
              <a:lnTo>
                <a:pt x="6062" y="10720"/>
              </a:lnTo>
              <a:lnTo>
                <a:pt x="7864" y="14361"/>
              </a:lnTo>
              <a:lnTo>
                <a:pt x="6062" y="1051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7</xdr:col>
      <xdr:colOff>312420</xdr:colOff>
      <xdr:row>9</xdr:row>
      <xdr:rowOff>30480</xdr:rowOff>
    </xdr:from>
    <xdr:to>
      <xdr:col>7</xdr:col>
      <xdr:colOff>609600</xdr:colOff>
      <xdr:row>10</xdr:row>
      <xdr:rowOff>30480</xdr:rowOff>
    </xdr:to>
    <xdr:sp macro="" textlink="">
      <xdr:nvSpPr>
        <xdr:cNvPr id="2087" name="line813"/>
        <xdr:cNvSpPr>
          <a:spLocks/>
        </xdr:cNvSpPr>
      </xdr:nvSpPr>
      <xdr:spPr bwMode="auto">
        <a:xfrm>
          <a:off x="7033260" y="1828800"/>
          <a:ext cx="297180" cy="198120"/>
        </a:xfrm>
        <a:custGeom>
          <a:avLst/>
          <a:gdLst>
            <a:gd name="T0" fmla="*/ 0 w 16384"/>
            <a:gd name="T1" fmla="*/ 16384 h 16384"/>
            <a:gd name="T2" fmla="*/ 8192 w 16384"/>
            <a:gd name="T3" fmla="*/ 10426 h 16384"/>
            <a:gd name="T4" fmla="*/ 11973 w 16384"/>
            <a:gd name="T5" fmla="*/ 2979 h 16384"/>
            <a:gd name="T6" fmla="*/ 16384 w 16384"/>
            <a:gd name="T7" fmla="*/ 0 h 16384"/>
          </a:gdLst>
          <a:ahLst/>
          <a:cxnLst>
            <a:cxn ang="0">
              <a:pos x="T0" y="T1"/>
            </a:cxn>
            <a:cxn ang="0">
              <a:pos x="T2" y="T3"/>
            </a:cxn>
            <a:cxn ang="0">
              <a:pos x="T4" y="T5"/>
            </a:cxn>
            <a:cxn ang="0">
              <a:pos x="T6" y="T7"/>
            </a:cxn>
          </a:cxnLst>
          <a:rect l="0" t="0" r="r" b="b"/>
          <a:pathLst>
            <a:path w="16384" h="16384">
              <a:moveTo>
                <a:pt x="0" y="16384"/>
              </a:moveTo>
              <a:lnTo>
                <a:pt x="8192" y="10426"/>
              </a:lnTo>
              <a:lnTo>
                <a:pt x="11973" y="297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640080</xdr:colOff>
      <xdr:row>8</xdr:row>
      <xdr:rowOff>38100</xdr:rowOff>
    </xdr:from>
    <xdr:to>
      <xdr:col>8</xdr:col>
      <xdr:colOff>91440</xdr:colOff>
      <xdr:row>9</xdr:row>
      <xdr:rowOff>7620</xdr:rowOff>
    </xdr:to>
    <xdr:sp macro="" textlink="">
      <xdr:nvSpPr>
        <xdr:cNvPr id="2088" name="line814"/>
        <xdr:cNvSpPr>
          <a:spLocks/>
        </xdr:cNvSpPr>
      </xdr:nvSpPr>
      <xdr:spPr bwMode="auto">
        <a:xfrm>
          <a:off x="7360920" y="1630680"/>
          <a:ext cx="274320" cy="175260"/>
        </a:xfrm>
        <a:custGeom>
          <a:avLst/>
          <a:gdLst>
            <a:gd name="T0" fmla="*/ 0 w 16384"/>
            <a:gd name="T1" fmla="*/ 16384 h 16384"/>
            <a:gd name="T2" fmla="*/ 16384 w 16384"/>
            <a:gd name="T3" fmla="*/ 0 h 16384"/>
          </a:gdLst>
          <a:ahLst/>
          <a:cxnLst>
            <a:cxn ang="0">
              <a:pos x="T0" y="T1"/>
            </a:cxn>
            <a:cxn ang="0">
              <a:pos x="T2" y="T3"/>
            </a:cxn>
          </a:cxnLst>
          <a:rect l="0" t="0" r="r" b="b"/>
          <a:pathLst>
            <a:path w="16384" h="16384">
              <a:moveTo>
                <a:pt x="0" y="16384"/>
              </a:move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624840</xdr:colOff>
      <xdr:row>7</xdr:row>
      <xdr:rowOff>76200</xdr:rowOff>
    </xdr:from>
    <xdr:to>
      <xdr:col>8</xdr:col>
      <xdr:colOff>312420</xdr:colOff>
      <xdr:row>8</xdr:row>
      <xdr:rowOff>38100</xdr:rowOff>
    </xdr:to>
    <xdr:sp macro="" textlink="">
      <xdr:nvSpPr>
        <xdr:cNvPr id="2089" name="line8141A"/>
        <xdr:cNvSpPr>
          <a:spLocks/>
        </xdr:cNvSpPr>
      </xdr:nvSpPr>
      <xdr:spPr bwMode="auto">
        <a:xfrm>
          <a:off x="7345680" y="1463040"/>
          <a:ext cx="510540" cy="167640"/>
        </a:xfrm>
        <a:custGeom>
          <a:avLst/>
          <a:gdLst>
            <a:gd name="T0" fmla="*/ 10054 w 16384"/>
            <a:gd name="T1" fmla="*/ 16384 h 16384"/>
            <a:gd name="T2" fmla="*/ 11171 w 16384"/>
            <a:gd name="T3" fmla="*/ 12529 h 16384"/>
            <a:gd name="T4" fmla="*/ 11171 w 16384"/>
            <a:gd name="T5" fmla="*/ 6746 h 16384"/>
            <a:gd name="T6" fmla="*/ 8564 w 16384"/>
            <a:gd name="T7" fmla="*/ 3855 h 16384"/>
            <a:gd name="T8" fmla="*/ 5958 w 16384"/>
            <a:gd name="T9" fmla="*/ 964 h 16384"/>
            <a:gd name="T10" fmla="*/ 5213 w 16384"/>
            <a:gd name="T11" fmla="*/ 3855 h 16384"/>
            <a:gd name="T12" fmla="*/ 3351 w 16384"/>
            <a:gd name="T13" fmla="*/ 0 h 16384"/>
            <a:gd name="T14" fmla="*/ 0 w 16384"/>
            <a:gd name="T15" fmla="*/ 964 h 16384"/>
            <a:gd name="T16" fmla="*/ 4096 w 16384"/>
            <a:gd name="T17" fmla="*/ 0 h 16384"/>
            <a:gd name="T18" fmla="*/ 5958 w 16384"/>
            <a:gd name="T19" fmla="*/ 3855 h 16384"/>
            <a:gd name="T20" fmla="*/ 8937 w 16384"/>
            <a:gd name="T21" fmla="*/ 3855 h 16384"/>
            <a:gd name="T22" fmla="*/ 11171 w 16384"/>
            <a:gd name="T23" fmla="*/ 4819 h 16384"/>
            <a:gd name="T24" fmla="*/ 11543 w 16384"/>
            <a:gd name="T25" fmla="*/ 8674 h 16384"/>
            <a:gd name="T26" fmla="*/ 13777 w 16384"/>
            <a:gd name="T27" fmla="*/ 7710 h 16384"/>
            <a:gd name="T28" fmla="*/ 15639 w 16384"/>
            <a:gd name="T29" fmla="*/ 3855 h 16384"/>
            <a:gd name="T30" fmla="*/ 16384 w 16384"/>
            <a:gd name="T31" fmla="*/ 2891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0054" y="16384"/>
              </a:moveTo>
              <a:lnTo>
                <a:pt x="11171" y="12529"/>
              </a:lnTo>
              <a:lnTo>
                <a:pt x="11171" y="6746"/>
              </a:lnTo>
              <a:lnTo>
                <a:pt x="8564" y="3855"/>
              </a:lnTo>
              <a:lnTo>
                <a:pt x="5958" y="964"/>
              </a:lnTo>
              <a:lnTo>
                <a:pt x="5213" y="3855"/>
              </a:lnTo>
              <a:lnTo>
                <a:pt x="3351" y="0"/>
              </a:lnTo>
              <a:lnTo>
                <a:pt x="0" y="964"/>
              </a:lnTo>
              <a:lnTo>
                <a:pt x="4096" y="0"/>
              </a:lnTo>
              <a:lnTo>
                <a:pt x="5958" y="3855"/>
              </a:lnTo>
              <a:lnTo>
                <a:pt x="8937" y="3855"/>
              </a:lnTo>
              <a:lnTo>
                <a:pt x="11171" y="4819"/>
              </a:lnTo>
              <a:lnTo>
                <a:pt x="11543" y="8674"/>
              </a:lnTo>
              <a:lnTo>
                <a:pt x="13777" y="7710"/>
              </a:lnTo>
              <a:lnTo>
                <a:pt x="15639" y="3855"/>
              </a:lnTo>
              <a:lnTo>
                <a:pt x="16384" y="2891"/>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8</xdr:col>
      <xdr:colOff>312420</xdr:colOff>
      <xdr:row>2</xdr:row>
      <xdr:rowOff>144780</xdr:rowOff>
    </xdr:from>
    <xdr:to>
      <xdr:col>10</xdr:col>
      <xdr:colOff>815340</xdr:colOff>
      <xdr:row>8</xdr:row>
      <xdr:rowOff>68580</xdr:rowOff>
    </xdr:to>
    <xdr:sp macro="" textlink="">
      <xdr:nvSpPr>
        <xdr:cNvPr id="2090" name="line820"/>
        <xdr:cNvSpPr>
          <a:spLocks/>
        </xdr:cNvSpPr>
      </xdr:nvSpPr>
      <xdr:spPr bwMode="auto">
        <a:xfrm>
          <a:off x="7856220" y="541020"/>
          <a:ext cx="2148840" cy="1120140"/>
        </a:xfrm>
        <a:custGeom>
          <a:avLst/>
          <a:gdLst>
            <a:gd name="T0" fmla="*/ 0 w 16384"/>
            <a:gd name="T1" fmla="*/ 14024 h 16384"/>
            <a:gd name="T2" fmla="*/ 87 w 16384"/>
            <a:gd name="T3" fmla="*/ 14162 h 16384"/>
            <a:gd name="T4" fmla="*/ 784 w 16384"/>
            <a:gd name="T5" fmla="*/ 13191 h 16384"/>
            <a:gd name="T6" fmla="*/ 697 w 16384"/>
            <a:gd name="T7" fmla="*/ 12635 h 16384"/>
            <a:gd name="T8" fmla="*/ 697 w 16384"/>
            <a:gd name="T9" fmla="*/ 13329 h 16384"/>
            <a:gd name="T10" fmla="*/ 871 w 16384"/>
            <a:gd name="T11" fmla="*/ 15134 h 16384"/>
            <a:gd name="T12" fmla="*/ 1830 w 16384"/>
            <a:gd name="T13" fmla="*/ 16384 h 16384"/>
            <a:gd name="T14" fmla="*/ 784 w 16384"/>
            <a:gd name="T15" fmla="*/ 14996 h 16384"/>
            <a:gd name="T16" fmla="*/ 610 w 16384"/>
            <a:gd name="T17" fmla="*/ 13329 h 16384"/>
            <a:gd name="T18" fmla="*/ 1917 w 16384"/>
            <a:gd name="T19" fmla="*/ 11108 h 16384"/>
            <a:gd name="T20" fmla="*/ 2004 w 16384"/>
            <a:gd name="T21" fmla="*/ 11108 h 16384"/>
            <a:gd name="T22" fmla="*/ 3399 w 16384"/>
            <a:gd name="T23" fmla="*/ 10691 h 16384"/>
            <a:gd name="T24" fmla="*/ 3486 w 16384"/>
            <a:gd name="T25" fmla="*/ 10691 h 16384"/>
            <a:gd name="T26" fmla="*/ 4445 w 16384"/>
            <a:gd name="T27" fmla="*/ 9164 h 16384"/>
            <a:gd name="T28" fmla="*/ 3922 w 16384"/>
            <a:gd name="T29" fmla="*/ 6942 h 16384"/>
            <a:gd name="T30" fmla="*/ 4532 w 16384"/>
            <a:gd name="T31" fmla="*/ 8886 h 16384"/>
            <a:gd name="T32" fmla="*/ 7146 w 16384"/>
            <a:gd name="T33" fmla="*/ 5970 h 16384"/>
            <a:gd name="T34" fmla="*/ 6798 w 16384"/>
            <a:gd name="T35" fmla="*/ 4721 h 16384"/>
            <a:gd name="T36" fmla="*/ 7321 w 16384"/>
            <a:gd name="T37" fmla="*/ 3610 h 16384"/>
            <a:gd name="T38" fmla="*/ 6798 w 16384"/>
            <a:gd name="T39" fmla="*/ 4860 h 16384"/>
            <a:gd name="T40" fmla="*/ 7233 w 16384"/>
            <a:gd name="T41" fmla="*/ 5970 h 16384"/>
            <a:gd name="T42" fmla="*/ 10371 w 16384"/>
            <a:gd name="T43" fmla="*/ 2638 h 16384"/>
            <a:gd name="T44" fmla="*/ 11068 w 16384"/>
            <a:gd name="T45" fmla="*/ 2360 h 16384"/>
            <a:gd name="T46" fmla="*/ 11591 w 16384"/>
            <a:gd name="T47" fmla="*/ 2638 h 16384"/>
            <a:gd name="T48" fmla="*/ 13072 w 16384"/>
            <a:gd name="T49" fmla="*/ 1388 h 16384"/>
            <a:gd name="T50" fmla="*/ 16384 w 16384"/>
            <a:gd name="T5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84" h="16384">
              <a:moveTo>
                <a:pt x="0" y="14024"/>
              </a:moveTo>
              <a:lnTo>
                <a:pt x="87" y="14162"/>
              </a:lnTo>
              <a:lnTo>
                <a:pt x="784" y="13191"/>
              </a:lnTo>
              <a:lnTo>
                <a:pt x="697" y="12635"/>
              </a:lnTo>
              <a:lnTo>
                <a:pt x="697" y="13329"/>
              </a:lnTo>
              <a:lnTo>
                <a:pt x="871" y="15134"/>
              </a:lnTo>
              <a:lnTo>
                <a:pt x="1830" y="16384"/>
              </a:lnTo>
              <a:lnTo>
                <a:pt x="784" y="14996"/>
              </a:lnTo>
              <a:lnTo>
                <a:pt x="610" y="13329"/>
              </a:lnTo>
              <a:lnTo>
                <a:pt x="1917" y="11108"/>
              </a:lnTo>
              <a:lnTo>
                <a:pt x="2004" y="11108"/>
              </a:lnTo>
              <a:lnTo>
                <a:pt x="3399" y="10691"/>
              </a:lnTo>
              <a:lnTo>
                <a:pt x="3486" y="10691"/>
              </a:lnTo>
              <a:lnTo>
                <a:pt x="4445" y="9164"/>
              </a:lnTo>
              <a:lnTo>
                <a:pt x="3922" y="6942"/>
              </a:lnTo>
              <a:lnTo>
                <a:pt x="4532" y="8886"/>
              </a:lnTo>
              <a:lnTo>
                <a:pt x="7146" y="5970"/>
              </a:lnTo>
              <a:lnTo>
                <a:pt x="6798" y="4721"/>
              </a:lnTo>
              <a:lnTo>
                <a:pt x="7321" y="3610"/>
              </a:lnTo>
              <a:lnTo>
                <a:pt x="6798" y="4860"/>
              </a:lnTo>
              <a:lnTo>
                <a:pt x="7233" y="5970"/>
              </a:lnTo>
              <a:lnTo>
                <a:pt x="10371" y="2638"/>
              </a:lnTo>
              <a:lnTo>
                <a:pt x="11068" y="2360"/>
              </a:lnTo>
              <a:lnTo>
                <a:pt x="11591" y="2638"/>
              </a:lnTo>
              <a:lnTo>
                <a:pt x="13072" y="138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784860</xdr:colOff>
      <xdr:row>0</xdr:row>
      <xdr:rowOff>15240</xdr:rowOff>
    </xdr:from>
    <xdr:to>
      <xdr:col>11</xdr:col>
      <xdr:colOff>160020</xdr:colOff>
      <xdr:row>5</xdr:row>
      <xdr:rowOff>15240</xdr:rowOff>
    </xdr:to>
    <xdr:sp macro="" textlink="">
      <xdr:nvSpPr>
        <xdr:cNvPr id="2091" name="Drawing 26"/>
        <xdr:cNvSpPr>
          <a:spLocks/>
        </xdr:cNvSpPr>
      </xdr:nvSpPr>
      <xdr:spPr bwMode="auto">
        <a:xfrm>
          <a:off x="9974580" y="15240"/>
          <a:ext cx="198120" cy="990600"/>
        </a:xfrm>
        <a:custGeom>
          <a:avLst/>
          <a:gdLst>
            <a:gd name="T0" fmla="*/ 0 w 16384"/>
            <a:gd name="T1" fmla="*/ 16384 h 16384"/>
            <a:gd name="T2" fmla="*/ 964 w 16384"/>
            <a:gd name="T3" fmla="*/ 16384 h 16384"/>
            <a:gd name="T4" fmla="*/ 4819 w 16384"/>
            <a:gd name="T5" fmla="*/ 15754 h 16384"/>
            <a:gd name="T6" fmla="*/ 0 w 16384"/>
            <a:gd name="T7" fmla="*/ 16384 h 16384"/>
            <a:gd name="T8" fmla="*/ 4819 w 16384"/>
            <a:gd name="T9" fmla="*/ 15439 h 16384"/>
            <a:gd name="T10" fmla="*/ 7710 w 16384"/>
            <a:gd name="T11" fmla="*/ 15124 h 16384"/>
            <a:gd name="T12" fmla="*/ 8674 w 16384"/>
            <a:gd name="T13" fmla="*/ 14651 h 16384"/>
            <a:gd name="T14" fmla="*/ 11565 w 16384"/>
            <a:gd name="T15" fmla="*/ 14336 h 16384"/>
            <a:gd name="T16" fmla="*/ 13493 w 16384"/>
            <a:gd name="T17" fmla="*/ 13863 h 16384"/>
            <a:gd name="T18" fmla="*/ 13493 w 16384"/>
            <a:gd name="T19" fmla="*/ 12918 h 16384"/>
            <a:gd name="T20" fmla="*/ 15420 w 16384"/>
            <a:gd name="T21" fmla="*/ 12446 h 16384"/>
            <a:gd name="T22" fmla="*/ 16384 w 16384"/>
            <a:gd name="T23" fmla="*/ 11973 h 16384"/>
            <a:gd name="T24" fmla="*/ 16384 w 16384"/>
            <a:gd name="T25" fmla="*/ 11028 h 16384"/>
            <a:gd name="T26" fmla="*/ 14456 w 16384"/>
            <a:gd name="T27" fmla="*/ 10398 h 16384"/>
            <a:gd name="T28" fmla="*/ 12529 w 16384"/>
            <a:gd name="T29" fmla="*/ 9925 h 16384"/>
            <a:gd name="T30" fmla="*/ 10601 w 16384"/>
            <a:gd name="T31" fmla="*/ 8980 h 16384"/>
            <a:gd name="T32" fmla="*/ 6746 w 16384"/>
            <a:gd name="T33" fmla="*/ 8034 h 16384"/>
            <a:gd name="T34" fmla="*/ 6746 w 16384"/>
            <a:gd name="T35" fmla="*/ 7089 h 16384"/>
            <a:gd name="T36" fmla="*/ 2891 w 16384"/>
            <a:gd name="T37" fmla="*/ 6144 h 16384"/>
            <a:gd name="T38" fmla="*/ 1928 w 16384"/>
            <a:gd name="T39" fmla="*/ 5671 h 16384"/>
            <a:gd name="T40" fmla="*/ 4819 w 16384"/>
            <a:gd name="T41" fmla="*/ 4254 h 16384"/>
            <a:gd name="T42" fmla="*/ 7710 w 16384"/>
            <a:gd name="T43" fmla="*/ 3938 h 16384"/>
            <a:gd name="T44" fmla="*/ 7710 w 16384"/>
            <a:gd name="T45" fmla="*/ 3466 h 16384"/>
            <a:gd name="T46" fmla="*/ 13493 w 16384"/>
            <a:gd name="T47" fmla="*/ 2048 h 16384"/>
            <a:gd name="T48" fmla="*/ 13493 w 16384"/>
            <a:gd name="T49" fmla="*/ 1890 h 16384"/>
            <a:gd name="T50" fmla="*/ 12529 w 16384"/>
            <a:gd name="T51" fmla="*/ 1418 h 16384"/>
            <a:gd name="T52" fmla="*/ 9638 w 16384"/>
            <a:gd name="T53" fmla="*/ 945 h 16384"/>
            <a:gd name="T54" fmla="*/ 9638 w 16384"/>
            <a:gd name="T55" fmla="*/ 0 h 16384"/>
            <a:gd name="T56" fmla="*/ 9638 w 16384"/>
            <a:gd name="T57" fmla="*/ 31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6384" h="16384">
              <a:moveTo>
                <a:pt x="0" y="16384"/>
              </a:moveTo>
              <a:lnTo>
                <a:pt x="964" y="16384"/>
              </a:lnTo>
              <a:lnTo>
                <a:pt x="4819" y="15754"/>
              </a:lnTo>
              <a:lnTo>
                <a:pt x="0" y="16384"/>
              </a:lnTo>
              <a:lnTo>
                <a:pt x="4819" y="15439"/>
              </a:lnTo>
              <a:lnTo>
                <a:pt x="7710" y="15124"/>
              </a:lnTo>
              <a:lnTo>
                <a:pt x="8674" y="14651"/>
              </a:lnTo>
              <a:lnTo>
                <a:pt x="11565" y="14336"/>
              </a:lnTo>
              <a:lnTo>
                <a:pt x="13493" y="13863"/>
              </a:lnTo>
              <a:lnTo>
                <a:pt x="13493" y="12918"/>
              </a:lnTo>
              <a:lnTo>
                <a:pt x="15420" y="12446"/>
              </a:lnTo>
              <a:lnTo>
                <a:pt x="16384" y="11973"/>
              </a:lnTo>
              <a:lnTo>
                <a:pt x="16384" y="11028"/>
              </a:lnTo>
              <a:lnTo>
                <a:pt x="14456" y="10398"/>
              </a:lnTo>
              <a:lnTo>
                <a:pt x="12529" y="9925"/>
              </a:lnTo>
              <a:lnTo>
                <a:pt x="10601" y="8980"/>
              </a:lnTo>
              <a:lnTo>
                <a:pt x="6746" y="8034"/>
              </a:lnTo>
              <a:lnTo>
                <a:pt x="6746" y="7089"/>
              </a:lnTo>
              <a:lnTo>
                <a:pt x="2891" y="6144"/>
              </a:lnTo>
              <a:lnTo>
                <a:pt x="1928" y="5671"/>
              </a:lnTo>
              <a:lnTo>
                <a:pt x="4819" y="4254"/>
              </a:lnTo>
              <a:lnTo>
                <a:pt x="7710" y="3938"/>
              </a:lnTo>
              <a:lnTo>
                <a:pt x="7710" y="3466"/>
              </a:lnTo>
              <a:lnTo>
                <a:pt x="13493" y="2048"/>
              </a:lnTo>
              <a:lnTo>
                <a:pt x="13493" y="1890"/>
              </a:lnTo>
              <a:lnTo>
                <a:pt x="12529" y="1418"/>
              </a:lnTo>
              <a:lnTo>
                <a:pt x="9638" y="945"/>
              </a:lnTo>
              <a:lnTo>
                <a:pt x="9638" y="0"/>
              </a:lnTo>
              <a:lnTo>
                <a:pt x="9638" y="315"/>
              </a:lnTo>
            </a:path>
          </a:pathLst>
        </a:custGeom>
        <a:solidFill>
          <a:srgbClr xmlns:mc="http://schemas.openxmlformats.org/markup-compatibility/2006" xmlns:a14="http://schemas.microsoft.com/office/drawing/2010/main" val="FFFFFF" mc:Ignorable="a14" a14:legacySpreadsheetColorIndex="65"/>
        </a:solidFill>
        <a:ln w="9525" cap="flat">
          <a:solidFill>
            <a:srgbClr xmlns:mc="http://schemas.openxmlformats.org/markup-compatibility/2006" xmlns:a14="http://schemas.microsoft.com/office/drawing/2010/main" val="000000" mc:Ignorable="a14" a14:legacySpreadsheetColorIndex="8"/>
          </a:solidFill>
          <a:prstDash val="solid"/>
          <a:round/>
          <a:headEnd/>
          <a:tailEnd/>
        </a:ln>
      </xdr:spPr>
    </xdr:sp>
    <xdr:clientData/>
  </xdr:twoCellAnchor>
  <xdr:twoCellAnchor>
    <xdr:from>
      <xdr:col>7</xdr:col>
      <xdr:colOff>731520</xdr:colOff>
      <xdr:row>10</xdr:row>
      <xdr:rowOff>152400</xdr:rowOff>
    </xdr:from>
    <xdr:to>
      <xdr:col>8</xdr:col>
      <xdr:colOff>624840</xdr:colOff>
      <xdr:row>14</xdr:row>
      <xdr:rowOff>38100</xdr:rowOff>
    </xdr:to>
    <xdr:sp macro="" textlink="">
      <xdr:nvSpPr>
        <xdr:cNvPr id="2092" name="Drawing 27"/>
        <xdr:cNvSpPr>
          <a:spLocks/>
        </xdr:cNvSpPr>
      </xdr:nvSpPr>
      <xdr:spPr bwMode="auto">
        <a:xfrm>
          <a:off x="7452360" y="2148840"/>
          <a:ext cx="716280" cy="678180"/>
        </a:xfrm>
        <a:custGeom>
          <a:avLst/>
          <a:gdLst>
            <a:gd name="T0" fmla="*/ 16124 w 16384"/>
            <a:gd name="T1" fmla="*/ 0 h 16384"/>
            <a:gd name="T2" fmla="*/ 16124 w 16384"/>
            <a:gd name="T3" fmla="*/ 228 h 16384"/>
            <a:gd name="T4" fmla="*/ 15344 w 16384"/>
            <a:gd name="T5" fmla="*/ 455 h 16384"/>
            <a:gd name="T6" fmla="*/ 16124 w 16384"/>
            <a:gd name="T7" fmla="*/ 0 h 16384"/>
            <a:gd name="T8" fmla="*/ 14564 w 16384"/>
            <a:gd name="T9" fmla="*/ 683 h 16384"/>
            <a:gd name="T10" fmla="*/ 13783 w 16384"/>
            <a:gd name="T11" fmla="*/ 1365 h 16384"/>
            <a:gd name="T12" fmla="*/ 13523 w 16384"/>
            <a:gd name="T13" fmla="*/ 2048 h 16384"/>
            <a:gd name="T14" fmla="*/ 12743 w 16384"/>
            <a:gd name="T15" fmla="*/ 2731 h 16384"/>
            <a:gd name="T16" fmla="*/ 11703 w 16384"/>
            <a:gd name="T17" fmla="*/ 4096 h 16384"/>
            <a:gd name="T18" fmla="*/ 10923 w 16384"/>
            <a:gd name="T19" fmla="*/ 4551 h 16384"/>
            <a:gd name="T20" fmla="*/ 10403 w 16384"/>
            <a:gd name="T21" fmla="*/ 5234 h 16384"/>
            <a:gd name="T22" fmla="*/ 8842 w 16384"/>
            <a:gd name="T23" fmla="*/ 6144 h 16384"/>
            <a:gd name="T24" fmla="*/ 8062 w 16384"/>
            <a:gd name="T25" fmla="*/ 6827 h 16384"/>
            <a:gd name="T26" fmla="*/ 7542 w 16384"/>
            <a:gd name="T27" fmla="*/ 7509 h 16384"/>
            <a:gd name="T28" fmla="*/ 6762 w 16384"/>
            <a:gd name="T29" fmla="*/ 7964 h 16384"/>
            <a:gd name="T30" fmla="*/ 5981 w 16384"/>
            <a:gd name="T31" fmla="*/ 8647 h 16384"/>
            <a:gd name="T32" fmla="*/ 5461 w 16384"/>
            <a:gd name="T33" fmla="*/ 9330 h 16384"/>
            <a:gd name="T34" fmla="*/ 3901 w 16384"/>
            <a:gd name="T35" fmla="*/ 10240 h 16384"/>
            <a:gd name="T36" fmla="*/ 3381 w 16384"/>
            <a:gd name="T37" fmla="*/ 10923 h 16384"/>
            <a:gd name="T38" fmla="*/ 3121 w 16384"/>
            <a:gd name="T39" fmla="*/ 11605 h 16384"/>
            <a:gd name="T40" fmla="*/ 2081 w 16384"/>
            <a:gd name="T41" fmla="*/ 12971 h 16384"/>
            <a:gd name="T42" fmla="*/ 1820 w 16384"/>
            <a:gd name="T43" fmla="*/ 13653 h 16384"/>
            <a:gd name="T44" fmla="*/ 1300 w 16384"/>
            <a:gd name="T45" fmla="*/ 14336 h 16384"/>
            <a:gd name="T46" fmla="*/ 1040 w 16384"/>
            <a:gd name="T47" fmla="*/ 15019 h 16384"/>
            <a:gd name="T48" fmla="*/ 260 w 16384"/>
            <a:gd name="T49" fmla="*/ 15701 h 16384"/>
            <a:gd name="T50" fmla="*/ 0 w 16384"/>
            <a:gd name="T51" fmla="*/ 16384 h 16384"/>
            <a:gd name="T52" fmla="*/ 780 w 16384"/>
            <a:gd name="T53" fmla="*/ 16384 h 16384"/>
            <a:gd name="T54" fmla="*/ 2341 w 16384"/>
            <a:gd name="T55" fmla="*/ 15474 h 16384"/>
            <a:gd name="T56" fmla="*/ 3121 w 16384"/>
            <a:gd name="T57" fmla="*/ 15246 h 16384"/>
            <a:gd name="T58" fmla="*/ 3641 w 16384"/>
            <a:gd name="T59" fmla="*/ 14564 h 16384"/>
            <a:gd name="T60" fmla="*/ 3901 w 16384"/>
            <a:gd name="T61" fmla="*/ 13881 h 16384"/>
            <a:gd name="T62" fmla="*/ 4681 w 16384"/>
            <a:gd name="T63" fmla="*/ 13198 h 16384"/>
            <a:gd name="T64" fmla="*/ 5201 w 16384"/>
            <a:gd name="T65" fmla="*/ 12516 h 16384"/>
            <a:gd name="T66" fmla="*/ 5981 w 16384"/>
            <a:gd name="T67" fmla="*/ 11833 h 16384"/>
            <a:gd name="T68" fmla="*/ 7022 w 16384"/>
            <a:gd name="T69" fmla="*/ 10468 h 16384"/>
            <a:gd name="T70" fmla="*/ 7802 w 16384"/>
            <a:gd name="T71" fmla="*/ 10012 h 16384"/>
            <a:gd name="T72" fmla="*/ 9362 w 16384"/>
            <a:gd name="T73" fmla="*/ 8647 h 16384"/>
            <a:gd name="T74" fmla="*/ 9622 w 16384"/>
            <a:gd name="T75" fmla="*/ 7964 h 16384"/>
            <a:gd name="T76" fmla="*/ 10142 w 16384"/>
            <a:gd name="T77" fmla="*/ 7282 h 16384"/>
            <a:gd name="T78" fmla="*/ 10923 w 16384"/>
            <a:gd name="T79" fmla="*/ 6827 h 16384"/>
            <a:gd name="T80" fmla="*/ 11703 w 16384"/>
            <a:gd name="T81" fmla="*/ 6599 h 16384"/>
            <a:gd name="T82" fmla="*/ 12483 w 16384"/>
            <a:gd name="T83" fmla="*/ 6144 h 16384"/>
            <a:gd name="T84" fmla="*/ 14043 w 16384"/>
            <a:gd name="T85" fmla="*/ 4096 h 16384"/>
            <a:gd name="T86" fmla="*/ 14824 w 16384"/>
            <a:gd name="T87" fmla="*/ 3868 h 16384"/>
            <a:gd name="T88" fmla="*/ 15604 w 16384"/>
            <a:gd name="T89" fmla="*/ 3413 h 16384"/>
            <a:gd name="T90" fmla="*/ 16384 w 16384"/>
            <a:gd name="T91" fmla="*/ 1365 h 16384"/>
            <a:gd name="T92" fmla="*/ 16124 w 16384"/>
            <a:gd name="T93" fmla="*/ 0 h 16384"/>
            <a:gd name="T94" fmla="*/ 16124 w 16384"/>
            <a:gd name="T95"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6124" y="0"/>
              </a:moveTo>
              <a:lnTo>
                <a:pt x="16124" y="228"/>
              </a:lnTo>
              <a:lnTo>
                <a:pt x="15344" y="455"/>
              </a:lnTo>
              <a:lnTo>
                <a:pt x="16124" y="0"/>
              </a:lnTo>
              <a:lnTo>
                <a:pt x="14564" y="683"/>
              </a:lnTo>
              <a:lnTo>
                <a:pt x="13783" y="1365"/>
              </a:lnTo>
              <a:lnTo>
                <a:pt x="13523" y="2048"/>
              </a:lnTo>
              <a:lnTo>
                <a:pt x="12743" y="2731"/>
              </a:lnTo>
              <a:lnTo>
                <a:pt x="11703" y="4096"/>
              </a:lnTo>
              <a:lnTo>
                <a:pt x="10923" y="4551"/>
              </a:lnTo>
              <a:lnTo>
                <a:pt x="10403" y="5234"/>
              </a:lnTo>
              <a:lnTo>
                <a:pt x="8842" y="6144"/>
              </a:lnTo>
              <a:lnTo>
                <a:pt x="8062" y="6827"/>
              </a:lnTo>
              <a:lnTo>
                <a:pt x="7542" y="7509"/>
              </a:lnTo>
              <a:lnTo>
                <a:pt x="6762" y="7964"/>
              </a:lnTo>
              <a:lnTo>
                <a:pt x="5981" y="8647"/>
              </a:lnTo>
              <a:lnTo>
                <a:pt x="5461" y="9330"/>
              </a:lnTo>
              <a:lnTo>
                <a:pt x="3901" y="10240"/>
              </a:lnTo>
              <a:lnTo>
                <a:pt x="3381" y="10923"/>
              </a:lnTo>
              <a:lnTo>
                <a:pt x="3121" y="11605"/>
              </a:lnTo>
              <a:lnTo>
                <a:pt x="2081" y="12971"/>
              </a:lnTo>
              <a:lnTo>
                <a:pt x="1820" y="13653"/>
              </a:lnTo>
              <a:lnTo>
                <a:pt x="1300" y="14336"/>
              </a:lnTo>
              <a:lnTo>
                <a:pt x="1040" y="15019"/>
              </a:lnTo>
              <a:lnTo>
                <a:pt x="260" y="15701"/>
              </a:lnTo>
              <a:lnTo>
                <a:pt x="0" y="16384"/>
              </a:lnTo>
              <a:lnTo>
                <a:pt x="780" y="16384"/>
              </a:lnTo>
              <a:lnTo>
                <a:pt x="2341" y="15474"/>
              </a:lnTo>
              <a:lnTo>
                <a:pt x="3121" y="15246"/>
              </a:lnTo>
              <a:lnTo>
                <a:pt x="3641" y="14564"/>
              </a:lnTo>
              <a:lnTo>
                <a:pt x="3901" y="13881"/>
              </a:lnTo>
              <a:lnTo>
                <a:pt x="4681" y="13198"/>
              </a:lnTo>
              <a:lnTo>
                <a:pt x="5201" y="12516"/>
              </a:lnTo>
              <a:lnTo>
                <a:pt x="5981" y="11833"/>
              </a:lnTo>
              <a:lnTo>
                <a:pt x="7022" y="10468"/>
              </a:lnTo>
              <a:lnTo>
                <a:pt x="7802" y="10012"/>
              </a:lnTo>
              <a:lnTo>
                <a:pt x="9362" y="8647"/>
              </a:lnTo>
              <a:lnTo>
                <a:pt x="9622" y="7964"/>
              </a:lnTo>
              <a:lnTo>
                <a:pt x="10142" y="7282"/>
              </a:lnTo>
              <a:lnTo>
                <a:pt x="10923" y="6827"/>
              </a:lnTo>
              <a:lnTo>
                <a:pt x="11703" y="6599"/>
              </a:lnTo>
              <a:lnTo>
                <a:pt x="12483" y="6144"/>
              </a:lnTo>
              <a:lnTo>
                <a:pt x="14043" y="4096"/>
              </a:lnTo>
              <a:lnTo>
                <a:pt x="14824" y="3868"/>
              </a:lnTo>
              <a:lnTo>
                <a:pt x="15604" y="3413"/>
              </a:lnTo>
              <a:lnTo>
                <a:pt x="16384" y="1365"/>
              </a:lnTo>
              <a:lnTo>
                <a:pt x="16124" y="0"/>
              </a:lnTo>
              <a:close/>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533400</xdr:colOff>
      <xdr:row>25</xdr:row>
      <xdr:rowOff>106680</xdr:rowOff>
    </xdr:from>
    <xdr:to>
      <xdr:col>1</xdr:col>
      <xdr:colOff>624840</xdr:colOff>
      <xdr:row>25</xdr:row>
      <xdr:rowOff>190500</xdr:rowOff>
    </xdr:to>
    <xdr:sp macro="" textlink="">
      <xdr:nvSpPr>
        <xdr:cNvPr id="2093" name="Rectangle 45"/>
        <xdr:cNvSpPr>
          <a:spLocks noChangeArrowheads="1"/>
        </xdr:cNvSpPr>
      </xdr:nvSpPr>
      <xdr:spPr bwMode="auto">
        <a:xfrm>
          <a:off x="2316480" y="507492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449580</xdr:colOff>
      <xdr:row>23</xdr:row>
      <xdr:rowOff>38100</xdr:rowOff>
    </xdr:from>
    <xdr:to>
      <xdr:col>2</xdr:col>
      <xdr:colOff>541020</xdr:colOff>
      <xdr:row>23</xdr:row>
      <xdr:rowOff>144780</xdr:rowOff>
    </xdr:to>
    <xdr:sp macro="" textlink="">
      <xdr:nvSpPr>
        <xdr:cNvPr id="2094" name="Rectangle 46"/>
        <xdr:cNvSpPr>
          <a:spLocks noChangeArrowheads="1"/>
        </xdr:cNvSpPr>
      </xdr:nvSpPr>
      <xdr:spPr bwMode="auto">
        <a:xfrm>
          <a:off x="3055620" y="4610100"/>
          <a:ext cx="91440" cy="10668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449580</xdr:colOff>
      <xdr:row>20</xdr:row>
      <xdr:rowOff>30480</xdr:rowOff>
    </xdr:from>
    <xdr:to>
      <xdr:col>3</xdr:col>
      <xdr:colOff>541020</xdr:colOff>
      <xdr:row>20</xdr:row>
      <xdr:rowOff>114300</xdr:rowOff>
    </xdr:to>
    <xdr:sp macro="" textlink="">
      <xdr:nvSpPr>
        <xdr:cNvPr id="2095" name="Rectangle 47"/>
        <xdr:cNvSpPr>
          <a:spLocks noChangeArrowheads="1"/>
        </xdr:cNvSpPr>
      </xdr:nvSpPr>
      <xdr:spPr bwMode="auto">
        <a:xfrm>
          <a:off x="3878580" y="400812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365760</xdr:colOff>
      <xdr:row>17</xdr:row>
      <xdr:rowOff>76200</xdr:rowOff>
    </xdr:from>
    <xdr:to>
      <xdr:col>4</xdr:col>
      <xdr:colOff>457200</xdr:colOff>
      <xdr:row>17</xdr:row>
      <xdr:rowOff>160020</xdr:rowOff>
    </xdr:to>
    <xdr:sp macro="" textlink="">
      <xdr:nvSpPr>
        <xdr:cNvPr id="2096" name="Rectangle 48"/>
        <xdr:cNvSpPr>
          <a:spLocks noChangeArrowheads="1"/>
        </xdr:cNvSpPr>
      </xdr:nvSpPr>
      <xdr:spPr bwMode="auto">
        <a:xfrm>
          <a:off x="4617720" y="345948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6</xdr:col>
      <xdr:colOff>91440</xdr:colOff>
      <xdr:row>14</xdr:row>
      <xdr:rowOff>38100</xdr:rowOff>
    </xdr:to>
    <xdr:sp macro="" textlink="">
      <xdr:nvSpPr>
        <xdr:cNvPr id="2097" name="Rectangle 49"/>
        <xdr:cNvSpPr>
          <a:spLocks noChangeArrowheads="1"/>
        </xdr:cNvSpPr>
      </xdr:nvSpPr>
      <xdr:spPr bwMode="auto">
        <a:xfrm>
          <a:off x="5897880" y="273558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167640</xdr:colOff>
      <xdr:row>7</xdr:row>
      <xdr:rowOff>83820</xdr:rowOff>
    </xdr:from>
    <xdr:to>
      <xdr:col>8</xdr:col>
      <xdr:colOff>259080</xdr:colOff>
      <xdr:row>7</xdr:row>
      <xdr:rowOff>175260</xdr:rowOff>
    </xdr:to>
    <xdr:sp macro="" textlink="">
      <xdr:nvSpPr>
        <xdr:cNvPr id="2098" name="Rectangle 50"/>
        <xdr:cNvSpPr>
          <a:spLocks noChangeArrowheads="1"/>
        </xdr:cNvSpPr>
      </xdr:nvSpPr>
      <xdr:spPr bwMode="auto">
        <a:xfrm>
          <a:off x="7711440" y="147066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198120</xdr:colOff>
      <xdr:row>9</xdr:row>
      <xdr:rowOff>152400</xdr:rowOff>
    </xdr:from>
    <xdr:to>
      <xdr:col>7</xdr:col>
      <xdr:colOff>289560</xdr:colOff>
      <xdr:row>10</xdr:row>
      <xdr:rowOff>38100</xdr:rowOff>
    </xdr:to>
    <xdr:sp macro="" textlink="">
      <xdr:nvSpPr>
        <xdr:cNvPr id="2099" name="Rectangle 51"/>
        <xdr:cNvSpPr>
          <a:spLocks noChangeArrowheads="1"/>
        </xdr:cNvSpPr>
      </xdr:nvSpPr>
      <xdr:spPr bwMode="auto">
        <a:xfrm>
          <a:off x="6918960" y="1950720"/>
          <a:ext cx="91440" cy="8382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769620</xdr:colOff>
      <xdr:row>2</xdr:row>
      <xdr:rowOff>68580</xdr:rowOff>
    </xdr:from>
    <xdr:to>
      <xdr:col>11</xdr:col>
      <xdr:colOff>38100</xdr:colOff>
      <xdr:row>2</xdr:row>
      <xdr:rowOff>144780</xdr:rowOff>
    </xdr:to>
    <xdr:sp macro="" textlink="">
      <xdr:nvSpPr>
        <xdr:cNvPr id="2100" name="Rectangle 52"/>
        <xdr:cNvSpPr>
          <a:spLocks noChangeArrowheads="1"/>
        </xdr:cNvSpPr>
      </xdr:nvSpPr>
      <xdr:spPr bwMode="auto">
        <a:xfrm>
          <a:off x="9959340" y="464820"/>
          <a:ext cx="91440" cy="762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533400</xdr:colOff>
      <xdr:row>23</xdr:row>
      <xdr:rowOff>114300</xdr:rowOff>
    </xdr:from>
    <xdr:to>
      <xdr:col>5</xdr:col>
      <xdr:colOff>106680</xdr:colOff>
      <xdr:row>26</xdr:row>
      <xdr:rowOff>76200</xdr:rowOff>
    </xdr:to>
    <xdr:sp macro="" textlink="">
      <xdr:nvSpPr>
        <xdr:cNvPr id="2101" name="Line 53"/>
        <xdr:cNvSpPr>
          <a:spLocks noChangeShapeType="1"/>
        </xdr:cNvSpPr>
      </xdr:nvSpPr>
      <xdr:spPr bwMode="auto">
        <a:xfrm flipH="1" flipV="1">
          <a:off x="3139440" y="4686300"/>
          <a:ext cx="2042160" cy="55626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3</xdr:col>
      <xdr:colOff>45919</xdr:colOff>
      <xdr:row>9</xdr:row>
      <xdr:rowOff>136933</xdr:rowOff>
    </xdr:from>
    <xdr:to>
      <xdr:col>3</xdr:col>
      <xdr:colOff>746560</xdr:colOff>
      <xdr:row>11</xdr:row>
      <xdr:rowOff>99288</xdr:rowOff>
    </xdr:to>
    <xdr:sp macro="" textlink="">
      <xdr:nvSpPr>
        <xdr:cNvPr id="2102" name="Text 50"/>
        <xdr:cNvSpPr txBox="1">
          <a:spLocks noChangeArrowheads="1"/>
        </xdr:cNvSpPr>
      </xdr:nvSpPr>
      <xdr:spPr bwMode="auto">
        <a:xfrm>
          <a:off x="3479999" y="1965733"/>
          <a:ext cx="700641" cy="36875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36576" tIns="36576" rIns="36576" bIns="36576" anchor="ctr" upright="1">
          <a:spAutoFit/>
        </a:bodyPr>
        <a:lstStyle/>
        <a:p>
          <a:pPr algn="ctr" rtl="0">
            <a:defRPr sz="1000"/>
          </a:pPr>
          <a:r>
            <a:rPr lang="en-US" sz="2000" b="1" i="1" u="none" strike="noStrike" baseline="0">
              <a:solidFill>
                <a:srgbClr val="000000"/>
              </a:solidFill>
              <a:latin typeface="Times New Roman"/>
              <a:cs typeface="Times New Roman"/>
            </a:rPr>
            <a:t>Texas</a:t>
          </a:r>
        </a:p>
      </xdr:txBody>
    </xdr:sp>
    <xdr:clientData/>
  </xdr:twoCellAnchor>
  <xdr:twoCellAnchor editAs="absolute">
    <xdr:from>
      <xdr:col>6</xdr:col>
      <xdr:colOff>213360</xdr:colOff>
      <xdr:row>24</xdr:row>
      <xdr:rowOff>68580</xdr:rowOff>
    </xdr:from>
    <xdr:to>
      <xdr:col>6</xdr:col>
      <xdr:colOff>670560</xdr:colOff>
      <xdr:row>24</xdr:row>
      <xdr:rowOff>190500</xdr:rowOff>
    </xdr:to>
    <xdr:sp macro="" textlink="sch804hpl">
      <xdr:nvSpPr>
        <xdr:cNvPr id="2103" name="Text 56"/>
        <xdr:cNvSpPr txBox="1">
          <a:spLocks noChangeArrowheads="1" noTextEdit="1"/>
        </xdr:cNvSpPr>
      </xdr:nvSpPr>
      <xdr:spPr bwMode="auto">
        <a:xfrm>
          <a:off x="6111240" y="483870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B00F394-E6DC-4111-9B2D-66CF853B308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106680</xdr:colOff>
      <xdr:row>25</xdr:row>
      <xdr:rowOff>106680</xdr:rowOff>
    </xdr:from>
    <xdr:to>
      <xdr:col>5</xdr:col>
      <xdr:colOff>563880</xdr:colOff>
      <xdr:row>26</xdr:row>
      <xdr:rowOff>30480</xdr:rowOff>
    </xdr:to>
    <xdr:sp macro="" textlink="sch802hpl">
      <xdr:nvSpPr>
        <xdr:cNvPr id="2104" name="Text 57"/>
        <xdr:cNvSpPr txBox="1">
          <a:spLocks noChangeArrowheads="1" noTextEdit="1"/>
        </xdr:cNvSpPr>
      </xdr:nvSpPr>
      <xdr:spPr bwMode="auto">
        <a:xfrm>
          <a:off x="5181600" y="507492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BD7BD17-E27D-491F-A326-2171A6975D1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533400</xdr:colOff>
      <xdr:row>20</xdr:row>
      <xdr:rowOff>114300</xdr:rowOff>
    </xdr:from>
    <xdr:to>
      <xdr:col>6</xdr:col>
      <xdr:colOff>198120</xdr:colOff>
      <xdr:row>24</xdr:row>
      <xdr:rowOff>190500</xdr:rowOff>
    </xdr:to>
    <xdr:sp macro="" textlink="">
      <xdr:nvSpPr>
        <xdr:cNvPr id="2105" name="Line 57"/>
        <xdr:cNvSpPr>
          <a:spLocks noChangeShapeType="1"/>
        </xdr:cNvSpPr>
      </xdr:nvSpPr>
      <xdr:spPr bwMode="auto">
        <a:xfrm flipH="1" flipV="1">
          <a:off x="3962400" y="4091940"/>
          <a:ext cx="2133600" cy="86868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365760</xdr:colOff>
      <xdr:row>16</xdr:row>
      <xdr:rowOff>45720</xdr:rowOff>
    </xdr:from>
    <xdr:to>
      <xdr:col>10</xdr:col>
      <xdr:colOff>0</xdr:colOff>
      <xdr:row>17</xdr:row>
      <xdr:rowOff>0</xdr:rowOff>
    </xdr:to>
    <xdr:sp macro="" textlink="sch812hpl">
      <xdr:nvSpPr>
        <xdr:cNvPr id="2106" name="Text 61"/>
        <xdr:cNvSpPr txBox="1">
          <a:spLocks noChangeArrowheads="1" noTextEdit="1"/>
        </xdr:cNvSpPr>
      </xdr:nvSpPr>
      <xdr:spPr bwMode="auto">
        <a:xfrm>
          <a:off x="8732520" y="323088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7E3678B2-9D5D-4AAA-9040-4CD124BAF37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784860</xdr:colOff>
      <xdr:row>22</xdr:row>
      <xdr:rowOff>106680</xdr:rowOff>
    </xdr:from>
    <xdr:to>
      <xdr:col>7</xdr:col>
      <xdr:colOff>419100</xdr:colOff>
      <xdr:row>23</xdr:row>
      <xdr:rowOff>30480</xdr:rowOff>
    </xdr:to>
    <xdr:sp macro="" textlink="sch806hpl">
      <xdr:nvSpPr>
        <xdr:cNvPr id="2107" name="Text 62"/>
        <xdr:cNvSpPr txBox="1">
          <a:spLocks noChangeArrowheads="1" noTextEdit="1"/>
        </xdr:cNvSpPr>
      </xdr:nvSpPr>
      <xdr:spPr bwMode="auto">
        <a:xfrm>
          <a:off x="6682740" y="4480560"/>
          <a:ext cx="45720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C9BB613-CB1B-4816-8143-5327FA85A9F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7620</xdr:colOff>
      <xdr:row>14</xdr:row>
      <xdr:rowOff>83820</xdr:rowOff>
    </xdr:from>
    <xdr:to>
      <xdr:col>8</xdr:col>
      <xdr:colOff>769620</xdr:colOff>
      <xdr:row>19</xdr:row>
      <xdr:rowOff>190500</xdr:rowOff>
    </xdr:to>
    <xdr:sp macro="" textlink="">
      <xdr:nvSpPr>
        <xdr:cNvPr id="2108" name="Line 60"/>
        <xdr:cNvSpPr>
          <a:spLocks noChangeShapeType="1"/>
        </xdr:cNvSpPr>
      </xdr:nvSpPr>
      <xdr:spPr bwMode="auto">
        <a:xfrm>
          <a:off x="5905500" y="2872740"/>
          <a:ext cx="2407920" cy="109728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723900</xdr:colOff>
      <xdr:row>19</xdr:row>
      <xdr:rowOff>45720</xdr:rowOff>
    </xdr:from>
    <xdr:to>
      <xdr:col>9</xdr:col>
      <xdr:colOff>358140</xdr:colOff>
      <xdr:row>19</xdr:row>
      <xdr:rowOff>190500</xdr:rowOff>
    </xdr:to>
    <xdr:sp macro="" textlink="sch809hpl">
      <xdr:nvSpPr>
        <xdr:cNvPr id="2109" name="Text 64"/>
        <xdr:cNvSpPr txBox="1">
          <a:spLocks noChangeArrowheads="1" noTextEdit="1"/>
        </xdr:cNvSpPr>
      </xdr:nvSpPr>
      <xdr:spPr bwMode="auto">
        <a:xfrm>
          <a:off x="8267700" y="382524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0FBCE4D-084B-468B-BB21-F3C33CB8ED5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259080</xdr:colOff>
      <xdr:row>10</xdr:row>
      <xdr:rowOff>114300</xdr:rowOff>
    </xdr:from>
    <xdr:to>
      <xdr:col>9</xdr:col>
      <xdr:colOff>403860</xdr:colOff>
      <xdr:row>17</xdr:row>
      <xdr:rowOff>7620</xdr:rowOff>
    </xdr:to>
    <xdr:sp macro="" textlink="">
      <xdr:nvSpPr>
        <xdr:cNvPr id="2110" name="Line 62"/>
        <xdr:cNvSpPr>
          <a:spLocks noChangeShapeType="1"/>
        </xdr:cNvSpPr>
      </xdr:nvSpPr>
      <xdr:spPr bwMode="auto">
        <a:xfrm flipH="1" flipV="1">
          <a:off x="6979920" y="2110740"/>
          <a:ext cx="1790700" cy="128016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10</xdr:col>
      <xdr:colOff>0</xdr:colOff>
      <xdr:row>14</xdr:row>
      <xdr:rowOff>144780</xdr:rowOff>
    </xdr:from>
    <xdr:to>
      <xdr:col>10</xdr:col>
      <xdr:colOff>236220</xdr:colOff>
      <xdr:row>15</xdr:row>
      <xdr:rowOff>99060</xdr:rowOff>
    </xdr:to>
    <xdr:sp macro="" textlink="">
      <xdr:nvSpPr>
        <xdr:cNvPr id="2111" name="813"/>
        <xdr:cNvSpPr txBox="1">
          <a:spLocks noChangeArrowheads="1"/>
        </xdr:cNvSpPr>
      </xdr:nvSpPr>
      <xdr:spPr bwMode="auto">
        <a:xfrm>
          <a:off x="9189720" y="2933700"/>
          <a:ext cx="23622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813</a:t>
          </a:r>
        </a:p>
      </xdr:txBody>
    </xdr:sp>
    <xdr:clientData/>
  </xdr:twoCellAnchor>
  <xdr:twoCellAnchor editAs="absolute">
    <xdr:from>
      <xdr:col>7</xdr:col>
      <xdr:colOff>609600</xdr:colOff>
      <xdr:row>9</xdr:row>
      <xdr:rowOff>76200</xdr:rowOff>
    </xdr:from>
    <xdr:to>
      <xdr:col>10</xdr:col>
      <xdr:colOff>7620</xdr:colOff>
      <xdr:row>14</xdr:row>
      <xdr:rowOff>190500</xdr:rowOff>
    </xdr:to>
    <xdr:sp macro="" textlink="">
      <xdr:nvSpPr>
        <xdr:cNvPr id="2112" name="Line 64"/>
        <xdr:cNvSpPr>
          <a:spLocks noChangeShapeType="1"/>
        </xdr:cNvSpPr>
      </xdr:nvSpPr>
      <xdr:spPr bwMode="auto">
        <a:xfrm flipH="1" flipV="1">
          <a:off x="7330440" y="1874520"/>
          <a:ext cx="1866900" cy="11049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11</xdr:col>
      <xdr:colOff>0</xdr:colOff>
      <xdr:row>14</xdr:row>
      <xdr:rowOff>53340</xdr:rowOff>
    </xdr:from>
    <xdr:to>
      <xdr:col>11</xdr:col>
      <xdr:colOff>236220</xdr:colOff>
      <xdr:row>15</xdr:row>
      <xdr:rowOff>7620</xdr:rowOff>
    </xdr:to>
    <xdr:sp macro="" textlink="">
      <xdr:nvSpPr>
        <xdr:cNvPr id="2113" name="814"/>
        <xdr:cNvSpPr txBox="1">
          <a:spLocks noChangeArrowheads="1"/>
        </xdr:cNvSpPr>
      </xdr:nvSpPr>
      <xdr:spPr bwMode="auto">
        <a:xfrm>
          <a:off x="10012680" y="2842260"/>
          <a:ext cx="23622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a:t>
          </a:r>
        </a:p>
      </xdr:txBody>
    </xdr:sp>
    <xdr:clientData/>
  </xdr:twoCellAnchor>
  <xdr:twoCellAnchor editAs="absolute">
    <xdr:from>
      <xdr:col>11</xdr:col>
      <xdr:colOff>175260</xdr:colOff>
      <xdr:row>11</xdr:row>
      <xdr:rowOff>190500</xdr:rowOff>
    </xdr:from>
    <xdr:to>
      <xdr:col>11</xdr:col>
      <xdr:colOff>571500</xdr:colOff>
      <xdr:row>12</xdr:row>
      <xdr:rowOff>152400</xdr:rowOff>
    </xdr:to>
    <xdr:sp macro="" textlink="">
      <xdr:nvSpPr>
        <xdr:cNvPr id="2114" name="8141A"/>
        <xdr:cNvSpPr txBox="1">
          <a:spLocks noChangeArrowheads="1"/>
        </xdr:cNvSpPr>
      </xdr:nvSpPr>
      <xdr:spPr bwMode="auto">
        <a:xfrm>
          <a:off x="10187940" y="2385060"/>
          <a:ext cx="3962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814-1A</a:t>
          </a:r>
        </a:p>
      </xdr:txBody>
    </xdr:sp>
    <xdr:clientData/>
  </xdr:twoCellAnchor>
  <xdr:twoCellAnchor editAs="absolute">
    <xdr:from>
      <xdr:col>8</xdr:col>
      <xdr:colOff>243840</xdr:colOff>
      <xdr:row>7</xdr:row>
      <xdr:rowOff>152400</xdr:rowOff>
    </xdr:from>
    <xdr:to>
      <xdr:col>11</xdr:col>
      <xdr:colOff>106680</xdr:colOff>
      <xdr:row>12</xdr:row>
      <xdr:rowOff>45720</xdr:rowOff>
    </xdr:to>
    <xdr:sp macro="" textlink="">
      <xdr:nvSpPr>
        <xdr:cNvPr id="2115" name="Line 67"/>
        <xdr:cNvSpPr>
          <a:spLocks noChangeShapeType="1"/>
        </xdr:cNvSpPr>
      </xdr:nvSpPr>
      <xdr:spPr bwMode="auto">
        <a:xfrm flipH="1" flipV="1">
          <a:off x="7787640" y="1539240"/>
          <a:ext cx="2331720" cy="89916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365760</xdr:colOff>
      <xdr:row>17</xdr:row>
      <xdr:rowOff>182880</xdr:rowOff>
    </xdr:from>
    <xdr:to>
      <xdr:col>7</xdr:col>
      <xdr:colOff>0</xdr:colOff>
      <xdr:row>23</xdr:row>
      <xdr:rowOff>38100</xdr:rowOff>
    </xdr:to>
    <xdr:sp macro="" textlink="">
      <xdr:nvSpPr>
        <xdr:cNvPr id="2116" name="Line 68"/>
        <xdr:cNvSpPr>
          <a:spLocks noChangeShapeType="1"/>
        </xdr:cNvSpPr>
      </xdr:nvSpPr>
      <xdr:spPr bwMode="auto">
        <a:xfrm flipH="1" flipV="1">
          <a:off x="4617720" y="3566160"/>
          <a:ext cx="2103120" cy="104394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5</xdr:col>
      <xdr:colOff>175260</xdr:colOff>
      <xdr:row>26</xdr:row>
      <xdr:rowOff>53340</xdr:rowOff>
    </xdr:from>
    <xdr:to>
      <xdr:col>5</xdr:col>
      <xdr:colOff>426720</xdr:colOff>
      <xdr:row>27</xdr:row>
      <xdr:rowOff>7620</xdr:rowOff>
    </xdr:to>
    <xdr:sp macro="" textlink="">
      <xdr:nvSpPr>
        <xdr:cNvPr id="2117" name="802"/>
        <xdr:cNvSpPr txBox="1">
          <a:spLocks noChangeArrowheads="1"/>
        </xdr:cNvSpPr>
      </xdr:nvSpPr>
      <xdr:spPr bwMode="auto">
        <a:xfrm>
          <a:off x="5250180" y="5219700"/>
          <a:ext cx="25146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802</a:t>
          </a:r>
        </a:p>
      </xdr:txBody>
    </xdr:sp>
    <xdr:clientData/>
  </xdr:twoCellAnchor>
  <xdr:twoCellAnchor editAs="absolute">
    <xdr:from>
      <xdr:col>6</xdr:col>
      <xdr:colOff>266700</xdr:colOff>
      <xdr:row>24</xdr:row>
      <xdr:rowOff>190500</xdr:rowOff>
    </xdr:from>
    <xdr:to>
      <xdr:col>6</xdr:col>
      <xdr:colOff>518160</xdr:colOff>
      <xdr:row>25</xdr:row>
      <xdr:rowOff>152400</xdr:rowOff>
    </xdr:to>
    <xdr:sp macro="" textlink="">
      <xdr:nvSpPr>
        <xdr:cNvPr id="2118" name="804"/>
        <xdr:cNvSpPr txBox="1">
          <a:spLocks noChangeArrowheads="1"/>
        </xdr:cNvSpPr>
      </xdr:nvSpPr>
      <xdr:spPr bwMode="auto">
        <a:xfrm>
          <a:off x="6164580" y="4960620"/>
          <a:ext cx="2514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804</a:t>
          </a:r>
        </a:p>
      </xdr:txBody>
    </xdr:sp>
    <xdr:clientData/>
  </xdr:twoCellAnchor>
  <xdr:twoCellAnchor editAs="absolute">
    <xdr:from>
      <xdr:col>7</xdr:col>
      <xdr:colOff>53340</xdr:colOff>
      <xdr:row>23</xdr:row>
      <xdr:rowOff>53340</xdr:rowOff>
    </xdr:from>
    <xdr:to>
      <xdr:col>7</xdr:col>
      <xdr:colOff>304800</xdr:colOff>
      <xdr:row>24</xdr:row>
      <xdr:rowOff>7620</xdr:rowOff>
    </xdr:to>
    <xdr:sp macro="" textlink="">
      <xdr:nvSpPr>
        <xdr:cNvPr id="2119" name="806"/>
        <xdr:cNvSpPr txBox="1">
          <a:spLocks noChangeArrowheads="1"/>
        </xdr:cNvSpPr>
      </xdr:nvSpPr>
      <xdr:spPr bwMode="auto">
        <a:xfrm>
          <a:off x="6774180" y="4625340"/>
          <a:ext cx="25146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806</a:t>
          </a:r>
        </a:p>
      </xdr:txBody>
    </xdr:sp>
    <xdr:clientData/>
  </xdr:twoCellAnchor>
  <xdr:twoCellAnchor editAs="absolute">
    <xdr:from>
      <xdr:col>9</xdr:col>
      <xdr:colOff>0</xdr:colOff>
      <xdr:row>19</xdr:row>
      <xdr:rowOff>190500</xdr:rowOff>
    </xdr:from>
    <xdr:to>
      <xdr:col>9</xdr:col>
      <xdr:colOff>251460</xdr:colOff>
      <xdr:row>20</xdr:row>
      <xdr:rowOff>152400</xdr:rowOff>
    </xdr:to>
    <xdr:sp macro="" textlink="">
      <xdr:nvSpPr>
        <xdr:cNvPr id="2120" name="809"/>
        <xdr:cNvSpPr txBox="1">
          <a:spLocks noChangeArrowheads="1"/>
        </xdr:cNvSpPr>
      </xdr:nvSpPr>
      <xdr:spPr bwMode="auto">
        <a:xfrm>
          <a:off x="8366760" y="3970020"/>
          <a:ext cx="2514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809</a:t>
          </a:r>
        </a:p>
      </xdr:txBody>
    </xdr:sp>
    <xdr:clientData/>
  </xdr:twoCellAnchor>
  <xdr:twoCellAnchor editAs="absolute">
    <xdr:from>
      <xdr:col>9</xdr:col>
      <xdr:colOff>449580</xdr:colOff>
      <xdr:row>17</xdr:row>
      <xdr:rowOff>0</xdr:rowOff>
    </xdr:from>
    <xdr:to>
      <xdr:col>9</xdr:col>
      <xdr:colOff>678180</xdr:colOff>
      <xdr:row>17</xdr:row>
      <xdr:rowOff>160020</xdr:rowOff>
    </xdr:to>
    <xdr:sp macro="" textlink="">
      <xdr:nvSpPr>
        <xdr:cNvPr id="2121" name="812"/>
        <xdr:cNvSpPr txBox="1">
          <a:spLocks noChangeArrowheads="1"/>
        </xdr:cNvSpPr>
      </xdr:nvSpPr>
      <xdr:spPr bwMode="auto">
        <a:xfrm>
          <a:off x="8816340" y="3383280"/>
          <a:ext cx="2286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812</a:t>
          </a:r>
        </a:p>
      </xdr:txBody>
    </xdr:sp>
    <xdr:clientData/>
  </xdr:twoCellAnchor>
  <xdr:twoCellAnchor editAs="absolute">
    <xdr:from>
      <xdr:col>6</xdr:col>
      <xdr:colOff>518160</xdr:colOff>
      <xdr:row>12</xdr:row>
      <xdr:rowOff>76200</xdr:rowOff>
    </xdr:from>
    <xdr:to>
      <xdr:col>7</xdr:col>
      <xdr:colOff>449580</xdr:colOff>
      <xdr:row>14</xdr:row>
      <xdr:rowOff>160020</xdr:rowOff>
    </xdr:to>
    <xdr:sp macro="" textlink="">
      <xdr:nvSpPr>
        <xdr:cNvPr id="2122" name="Line 74"/>
        <xdr:cNvSpPr>
          <a:spLocks noChangeShapeType="1"/>
        </xdr:cNvSpPr>
      </xdr:nvSpPr>
      <xdr:spPr bwMode="auto">
        <a:xfrm>
          <a:off x="6416040" y="2468880"/>
          <a:ext cx="754380" cy="4800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312420</xdr:colOff>
      <xdr:row>0</xdr:row>
      <xdr:rowOff>182880</xdr:rowOff>
    </xdr:from>
    <xdr:to>
      <xdr:col>8</xdr:col>
      <xdr:colOff>259080</xdr:colOff>
      <xdr:row>1</xdr:row>
      <xdr:rowOff>152400</xdr:rowOff>
    </xdr:to>
    <xdr:sp macro="" textlink="">
      <xdr:nvSpPr>
        <xdr:cNvPr id="2123" name="16297"/>
        <xdr:cNvSpPr txBox="1">
          <a:spLocks noChangeArrowheads="1"/>
        </xdr:cNvSpPr>
      </xdr:nvSpPr>
      <xdr:spPr bwMode="auto">
        <a:xfrm>
          <a:off x="7033260" y="182880"/>
          <a:ext cx="7696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Moss Bluff</a:t>
          </a:r>
        </a:p>
      </xdr:txBody>
    </xdr:sp>
    <xdr:clientData/>
  </xdr:twoCellAnchor>
  <xdr:twoCellAnchor>
    <xdr:from>
      <xdr:col>8</xdr:col>
      <xdr:colOff>320040</xdr:colOff>
      <xdr:row>2</xdr:row>
      <xdr:rowOff>83820</xdr:rowOff>
    </xdr:from>
    <xdr:to>
      <xdr:col>8</xdr:col>
      <xdr:colOff>685800</xdr:colOff>
      <xdr:row>5</xdr:row>
      <xdr:rowOff>190500</xdr:rowOff>
    </xdr:to>
    <xdr:sp macro="" textlink="">
      <xdr:nvSpPr>
        <xdr:cNvPr id="2124" name="MBIN" hidden="1"/>
        <xdr:cNvSpPr>
          <a:spLocks noChangeShapeType="1"/>
        </xdr:cNvSpPr>
      </xdr:nvSpPr>
      <xdr:spPr bwMode="auto">
        <a:xfrm>
          <a:off x="7863840" y="480060"/>
          <a:ext cx="365760" cy="701040"/>
        </a:xfrm>
        <a:prstGeom prst="line">
          <a:avLst/>
        </a:prstGeom>
        <a:noFill/>
        <a:ln w="1">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45720</xdr:colOff>
      <xdr:row>1</xdr:row>
      <xdr:rowOff>182880</xdr:rowOff>
    </xdr:from>
    <xdr:to>
      <xdr:col>8</xdr:col>
      <xdr:colOff>769620</xdr:colOff>
      <xdr:row>5</xdr:row>
      <xdr:rowOff>121920</xdr:rowOff>
    </xdr:to>
    <xdr:sp macro="" textlink="">
      <xdr:nvSpPr>
        <xdr:cNvPr id="2125" name="MBOUT"/>
        <xdr:cNvSpPr>
          <a:spLocks noChangeShapeType="1"/>
        </xdr:cNvSpPr>
      </xdr:nvSpPr>
      <xdr:spPr bwMode="auto">
        <a:xfrm flipH="1" flipV="1">
          <a:off x="7589520" y="381000"/>
          <a:ext cx="723900" cy="731520"/>
        </a:xfrm>
        <a:prstGeom prst="line">
          <a:avLst/>
        </a:prstGeom>
        <a:noFill/>
        <a:ln w="0">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0</xdr:col>
      <xdr:colOff>0</xdr:colOff>
      <xdr:row>0</xdr:row>
      <xdr:rowOff>0</xdr:rowOff>
    </xdr:from>
    <xdr:to>
      <xdr:col>1</xdr:col>
      <xdr:colOff>373380</xdr:colOff>
      <xdr:row>2</xdr:row>
      <xdr:rowOff>15240</xdr:rowOff>
    </xdr:to>
    <xdr:pic>
      <xdr:nvPicPr>
        <xdr:cNvPr id="2126"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56460" cy="41148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xdr:twoCellAnchor editAs="absolute">
    <xdr:from>
      <xdr:col>0</xdr:col>
      <xdr:colOff>0</xdr:colOff>
      <xdr:row>2</xdr:row>
      <xdr:rowOff>76200</xdr:rowOff>
    </xdr:from>
    <xdr:to>
      <xdr:col>1</xdr:col>
      <xdr:colOff>815340</xdr:colOff>
      <xdr:row>3</xdr:row>
      <xdr:rowOff>144780</xdr:rowOff>
    </xdr:to>
    <xdr:sp macro="" textlink="">
      <xdr:nvSpPr>
        <xdr:cNvPr id="2127" name="Text 99"/>
        <xdr:cNvSpPr txBox="1">
          <a:spLocks noChangeArrowheads="1"/>
        </xdr:cNvSpPr>
      </xdr:nvSpPr>
      <xdr:spPr bwMode="auto">
        <a:xfrm>
          <a:off x="0" y="472440"/>
          <a:ext cx="2598420" cy="266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Times New Roman"/>
              <a:cs typeface="Times New Roman"/>
            </a:rPr>
            <a:t>Channel A/S Pipeline</a:t>
          </a:r>
        </a:p>
      </xdr:txBody>
    </xdr:sp>
    <xdr:clientData/>
  </xdr:twoCellAnchor>
  <xdr:twoCellAnchor editAs="absolute">
    <xdr:from>
      <xdr:col>8</xdr:col>
      <xdr:colOff>403860</xdr:colOff>
      <xdr:row>24</xdr:row>
      <xdr:rowOff>38100</xdr:rowOff>
    </xdr:from>
    <xdr:to>
      <xdr:col>11</xdr:col>
      <xdr:colOff>327660</xdr:colOff>
      <xdr:row>26</xdr:row>
      <xdr:rowOff>83820</xdr:rowOff>
    </xdr:to>
    <xdr:sp macro="" textlink="">
      <xdr:nvSpPr>
        <xdr:cNvPr id="2128" name="Text 100"/>
        <xdr:cNvSpPr txBox="1">
          <a:spLocks noChangeArrowheads="1"/>
        </xdr:cNvSpPr>
      </xdr:nvSpPr>
      <xdr:spPr bwMode="auto">
        <a:xfrm>
          <a:off x="7947660" y="4808220"/>
          <a:ext cx="2392680" cy="44196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54864" tIns="45720" rIns="0" bIns="45720" anchor="ctr" upright="1"/>
        <a:lstStyle/>
        <a:p>
          <a:pPr algn="l" rtl="0">
            <a:defRPr sz="1000"/>
          </a:pPr>
          <a:r>
            <a:rPr lang="en-US" sz="2200" b="1" i="1" u="none" strike="noStrike" baseline="0">
              <a:solidFill>
                <a:srgbClr val="000000"/>
              </a:solidFill>
              <a:latin typeface="Times New Roman"/>
              <a:cs typeface="Times New Roman"/>
            </a:rPr>
            <a:t>Gulf of Mexico</a:t>
          </a:r>
        </a:p>
      </xdr:txBody>
    </xdr:sp>
    <xdr:clientData/>
  </xdr:twoCellAnchor>
  <xdr:twoCellAnchor editAs="absolute">
    <xdr:from>
      <xdr:col>0</xdr:col>
      <xdr:colOff>403860</xdr:colOff>
      <xdr:row>22</xdr:row>
      <xdr:rowOff>121920</xdr:rowOff>
    </xdr:from>
    <xdr:to>
      <xdr:col>0</xdr:col>
      <xdr:colOff>1173480</xdr:colOff>
      <xdr:row>23</xdr:row>
      <xdr:rowOff>114300</xdr:rowOff>
    </xdr:to>
    <xdr:sp macro="" textlink="">
      <xdr:nvSpPr>
        <xdr:cNvPr id="2129" name="26081"/>
        <xdr:cNvSpPr>
          <a:spLocks noChangeArrowheads="1"/>
        </xdr:cNvSpPr>
      </xdr:nvSpPr>
      <xdr:spPr bwMode="auto">
        <a:xfrm>
          <a:off x="403860" y="4495800"/>
          <a:ext cx="76962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A-D</a:t>
          </a:r>
        </a:p>
      </xdr:txBody>
    </xdr:sp>
    <xdr:clientData/>
  </xdr:twoCellAnchor>
  <xdr:twoCellAnchor editAs="absolute">
    <xdr:from>
      <xdr:col>1</xdr:col>
      <xdr:colOff>83820</xdr:colOff>
      <xdr:row>21</xdr:row>
      <xdr:rowOff>30480</xdr:rowOff>
    </xdr:from>
    <xdr:to>
      <xdr:col>1</xdr:col>
      <xdr:colOff>518160</xdr:colOff>
      <xdr:row>21</xdr:row>
      <xdr:rowOff>160020</xdr:rowOff>
    </xdr:to>
    <xdr:sp macro="" textlink="PDAD">
      <xdr:nvSpPr>
        <xdr:cNvPr id="2130" name="PSAD"/>
        <xdr:cNvSpPr txBox="1">
          <a:spLocks noChangeArrowheads="1" noTextEdit="1"/>
        </xdr:cNvSpPr>
      </xdr:nvSpPr>
      <xdr:spPr bwMode="auto">
        <a:xfrm>
          <a:off x="1866900" y="4206240"/>
          <a:ext cx="434340" cy="12954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23FD6596-373A-4B40-9469-EBA20F2B2BC8}"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449580</xdr:colOff>
      <xdr:row>26</xdr:row>
      <xdr:rowOff>68580</xdr:rowOff>
    </xdr:from>
    <xdr:to>
      <xdr:col>6</xdr:col>
      <xdr:colOff>83820</xdr:colOff>
      <xdr:row>27</xdr:row>
      <xdr:rowOff>30480</xdr:rowOff>
    </xdr:to>
    <xdr:sp macro="" textlink="_PD802">
      <xdr:nvSpPr>
        <xdr:cNvPr id="2131" name="p802d"/>
        <xdr:cNvSpPr txBox="1">
          <a:spLocks noChangeArrowheads="1" noTextEdit="1"/>
        </xdr:cNvSpPr>
      </xdr:nvSpPr>
      <xdr:spPr bwMode="auto">
        <a:xfrm>
          <a:off x="5524500" y="5234940"/>
          <a:ext cx="45720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7C980D4B-17AF-4D6B-8C25-69176D2810EC}"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oneCell">
    <xdr:from>
      <xdr:col>7</xdr:col>
      <xdr:colOff>358140</xdr:colOff>
      <xdr:row>23</xdr:row>
      <xdr:rowOff>30480</xdr:rowOff>
    </xdr:from>
    <xdr:to>
      <xdr:col>7</xdr:col>
      <xdr:colOff>792480</xdr:colOff>
      <xdr:row>23</xdr:row>
      <xdr:rowOff>182880</xdr:rowOff>
    </xdr:to>
    <xdr:sp macro="" textlink="_PD806">
      <xdr:nvSpPr>
        <xdr:cNvPr id="2132" name="p806d"/>
        <xdr:cNvSpPr txBox="1">
          <a:spLocks noChangeArrowheads="1"/>
        </xdr:cNvSpPr>
      </xdr:nvSpPr>
      <xdr:spPr bwMode="auto">
        <a:xfrm>
          <a:off x="7078980" y="4602480"/>
          <a:ext cx="43434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68E8C175-E2BE-44C6-81FE-254EEDB6D39E}"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411480</xdr:colOff>
      <xdr:row>23</xdr:row>
      <xdr:rowOff>38100</xdr:rowOff>
    </xdr:from>
    <xdr:to>
      <xdr:col>7</xdr:col>
      <xdr:colOff>83820</xdr:colOff>
      <xdr:row>24</xdr:row>
      <xdr:rowOff>7620</xdr:rowOff>
    </xdr:to>
    <xdr:sp macro="" textlink="_PS806">
      <xdr:nvSpPr>
        <xdr:cNvPr id="2133" name="p806s"/>
        <xdr:cNvSpPr txBox="1">
          <a:spLocks noChangeArrowheads="1"/>
        </xdr:cNvSpPr>
      </xdr:nvSpPr>
      <xdr:spPr bwMode="auto">
        <a:xfrm>
          <a:off x="6309360" y="4610100"/>
          <a:ext cx="495300" cy="16764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C86C8AA7-CB06-4E83-8A31-0E091446C4F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358140</xdr:colOff>
      <xdr:row>20</xdr:row>
      <xdr:rowOff>0</xdr:rowOff>
    </xdr:from>
    <xdr:to>
      <xdr:col>9</xdr:col>
      <xdr:colOff>0</xdr:colOff>
      <xdr:row>20</xdr:row>
      <xdr:rowOff>152400</xdr:rowOff>
    </xdr:to>
    <xdr:sp macro="" textlink="_PS809">
      <xdr:nvSpPr>
        <xdr:cNvPr id="2134" name="p809s"/>
        <xdr:cNvSpPr txBox="1">
          <a:spLocks noChangeArrowheads="1"/>
        </xdr:cNvSpPr>
      </xdr:nvSpPr>
      <xdr:spPr bwMode="auto">
        <a:xfrm>
          <a:off x="7901940" y="3977640"/>
          <a:ext cx="46482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D45BB21C-2893-4857-A91D-85DBCA0BE13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312420</xdr:colOff>
      <xdr:row>20</xdr:row>
      <xdr:rowOff>0</xdr:rowOff>
    </xdr:from>
    <xdr:to>
      <xdr:col>9</xdr:col>
      <xdr:colOff>731520</xdr:colOff>
      <xdr:row>20</xdr:row>
      <xdr:rowOff>144780</xdr:rowOff>
    </xdr:to>
    <xdr:sp macro="" textlink="_PD809">
      <xdr:nvSpPr>
        <xdr:cNvPr id="2135" name="p809d"/>
        <xdr:cNvSpPr txBox="1">
          <a:spLocks noChangeArrowheads="1"/>
        </xdr:cNvSpPr>
      </xdr:nvSpPr>
      <xdr:spPr bwMode="auto">
        <a:xfrm>
          <a:off x="8679180" y="3977640"/>
          <a:ext cx="419100" cy="14478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B8B42F3C-7CCB-42B0-A06D-1D17B9474992}"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312420</xdr:colOff>
      <xdr:row>14</xdr:row>
      <xdr:rowOff>182880</xdr:rowOff>
    </xdr:from>
    <xdr:to>
      <xdr:col>10</xdr:col>
      <xdr:colOff>731520</xdr:colOff>
      <xdr:row>15</xdr:row>
      <xdr:rowOff>144780</xdr:rowOff>
    </xdr:to>
    <xdr:sp macro="" textlink="_PD813">
      <xdr:nvSpPr>
        <xdr:cNvPr id="2136" name="p813d"/>
        <xdr:cNvSpPr txBox="1">
          <a:spLocks noChangeArrowheads="1"/>
        </xdr:cNvSpPr>
      </xdr:nvSpPr>
      <xdr:spPr bwMode="auto">
        <a:xfrm>
          <a:off x="9502140" y="2971800"/>
          <a:ext cx="41910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7F8967E6-935B-4C52-A496-144AB746DA33}"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518160</xdr:colOff>
      <xdr:row>12</xdr:row>
      <xdr:rowOff>30480</xdr:rowOff>
    </xdr:from>
    <xdr:to>
      <xdr:col>11</xdr:col>
      <xdr:colOff>152400</xdr:colOff>
      <xdr:row>12</xdr:row>
      <xdr:rowOff>182880</xdr:rowOff>
    </xdr:to>
    <xdr:sp macro="" textlink="PSLomax">
      <xdr:nvSpPr>
        <xdr:cNvPr id="2137" name="LomaxP"/>
        <xdr:cNvSpPr txBox="1">
          <a:spLocks noChangeArrowheads="1"/>
        </xdr:cNvSpPr>
      </xdr:nvSpPr>
      <xdr:spPr bwMode="auto">
        <a:xfrm>
          <a:off x="9707880" y="2423160"/>
          <a:ext cx="4572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FF00" mc:Ignorable="a14" a14:legacySpreadsheetColorIndex="11"/>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0FBDE9EF-2131-46D9-AF2D-F155FD39668D}"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3</xdr:col>
      <xdr:colOff>365760</xdr:colOff>
      <xdr:row>27</xdr:row>
      <xdr:rowOff>76200</xdr:rowOff>
    </xdr:from>
    <xdr:to>
      <xdr:col>4</xdr:col>
      <xdr:colOff>434340</xdr:colOff>
      <xdr:row>28</xdr:row>
      <xdr:rowOff>106680</xdr:rowOff>
    </xdr:to>
    <xdr:sp macro="" textlink="">
      <xdr:nvSpPr>
        <xdr:cNvPr id="2138" name="16244"/>
        <xdr:cNvSpPr>
          <a:spLocks noChangeArrowheads="1"/>
        </xdr:cNvSpPr>
      </xdr:nvSpPr>
      <xdr:spPr bwMode="auto">
        <a:xfrm>
          <a:off x="3794760" y="5440680"/>
          <a:ext cx="89154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Conoco A-D</a:t>
          </a:r>
        </a:p>
      </xdr:txBody>
    </xdr:sp>
    <xdr:clientData/>
  </xdr:twoCellAnchor>
  <xdr:twoCellAnchor editAs="absolute">
    <xdr:from>
      <xdr:col>5</xdr:col>
      <xdr:colOff>289560</xdr:colOff>
      <xdr:row>20</xdr:row>
      <xdr:rowOff>152400</xdr:rowOff>
    </xdr:from>
    <xdr:to>
      <xdr:col>5</xdr:col>
      <xdr:colOff>723900</xdr:colOff>
      <xdr:row>21</xdr:row>
      <xdr:rowOff>114300</xdr:rowOff>
    </xdr:to>
    <xdr:sp macro="" textlink="sch16290hpl">
      <xdr:nvSpPr>
        <xdr:cNvPr id="2139" name="Text 30"/>
        <xdr:cNvSpPr txBox="1">
          <a:spLocks noChangeArrowheads="1" noTextEdit="1"/>
        </xdr:cNvSpPr>
      </xdr:nvSpPr>
      <xdr:spPr bwMode="auto">
        <a:xfrm flipV="1">
          <a:off x="5364480" y="4130040"/>
          <a:ext cx="43434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F8321E2-1FDC-461F-A3EE-6B1B094731D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289560</xdr:colOff>
      <xdr:row>22</xdr:row>
      <xdr:rowOff>144780</xdr:rowOff>
    </xdr:from>
    <xdr:to>
      <xdr:col>5</xdr:col>
      <xdr:colOff>723900</xdr:colOff>
      <xdr:row>23</xdr:row>
      <xdr:rowOff>83820</xdr:rowOff>
    </xdr:to>
    <xdr:sp macro="" textlink="act16290hpl">
      <xdr:nvSpPr>
        <xdr:cNvPr id="2140" name="Text 30"/>
        <xdr:cNvSpPr txBox="1">
          <a:spLocks noChangeArrowheads="1" noTextEdit="1"/>
        </xdr:cNvSpPr>
      </xdr:nvSpPr>
      <xdr:spPr bwMode="auto">
        <a:xfrm flipV="1">
          <a:off x="5364480" y="4518660"/>
          <a:ext cx="43434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DD5CF0B-0E73-433F-88DD-10A095C5CA5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213360</xdr:colOff>
      <xdr:row>21</xdr:row>
      <xdr:rowOff>114300</xdr:rowOff>
    </xdr:from>
    <xdr:to>
      <xdr:col>5</xdr:col>
      <xdr:colOff>815340</xdr:colOff>
      <xdr:row>22</xdr:row>
      <xdr:rowOff>114300</xdr:rowOff>
    </xdr:to>
    <xdr:sp macro="" textlink="">
      <xdr:nvSpPr>
        <xdr:cNvPr id="2141" name="16290"/>
        <xdr:cNvSpPr>
          <a:spLocks noChangeArrowheads="1"/>
        </xdr:cNvSpPr>
      </xdr:nvSpPr>
      <xdr:spPr bwMode="auto">
        <a:xfrm>
          <a:off x="5288280" y="4290060"/>
          <a:ext cx="60198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Tomcat</a:t>
          </a:r>
        </a:p>
      </xdr:txBody>
    </xdr:sp>
    <xdr:clientData/>
  </xdr:twoCellAnchor>
  <xdr:twoCellAnchor editAs="absolute">
    <xdr:from>
      <xdr:col>4</xdr:col>
      <xdr:colOff>533400</xdr:colOff>
      <xdr:row>18</xdr:row>
      <xdr:rowOff>114300</xdr:rowOff>
    </xdr:from>
    <xdr:to>
      <xdr:col>5</xdr:col>
      <xdr:colOff>274320</xdr:colOff>
      <xdr:row>21</xdr:row>
      <xdr:rowOff>121920</xdr:rowOff>
    </xdr:to>
    <xdr:sp macro="" textlink="">
      <xdr:nvSpPr>
        <xdr:cNvPr id="2142" name="Line 94"/>
        <xdr:cNvSpPr>
          <a:spLocks noChangeShapeType="1"/>
        </xdr:cNvSpPr>
      </xdr:nvSpPr>
      <xdr:spPr bwMode="auto">
        <a:xfrm flipH="1" flipV="1">
          <a:off x="4785360" y="3695700"/>
          <a:ext cx="563880" cy="601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121920</xdr:colOff>
      <xdr:row>18</xdr:row>
      <xdr:rowOff>144780</xdr:rowOff>
    </xdr:from>
    <xdr:to>
      <xdr:col>6</xdr:col>
      <xdr:colOff>609600</xdr:colOff>
      <xdr:row>19</xdr:row>
      <xdr:rowOff>106680</xdr:rowOff>
    </xdr:to>
    <xdr:sp macro="" textlink="sch16151hpl">
      <xdr:nvSpPr>
        <xdr:cNvPr id="2143" name="Text 30"/>
        <xdr:cNvSpPr txBox="1">
          <a:spLocks noChangeArrowheads="1" noTextEdit="1"/>
        </xdr:cNvSpPr>
      </xdr:nvSpPr>
      <xdr:spPr bwMode="auto">
        <a:xfrm flipV="1">
          <a:off x="6019800" y="3726180"/>
          <a:ext cx="48768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3303621-F44E-4E37-AAD2-D38DBE010BF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167640</xdr:colOff>
      <xdr:row>20</xdr:row>
      <xdr:rowOff>114300</xdr:rowOff>
    </xdr:from>
    <xdr:to>
      <xdr:col>6</xdr:col>
      <xdr:colOff>609600</xdr:colOff>
      <xdr:row>21</xdr:row>
      <xdr:rowOff>68580</xdr:rowOff>
    </xdr:to>
    <xdr:sp macro="" textlink="act16151hpl">
      <xdr:nvSpPr>
        <xdr:cNvPr id="2144" name="Text 30"/>
        <xdr:cNvSpPr txBox="1">
          <a:spLocks noChangeArrowheads="1" noTextEdit="1"/>
        </xdr:cNvSpPr>
      </xdr:nvSpPr>
      <xdr:spPr bwMode="auto">
        <a:xfrm flipV="1">
          <a:off x="6065520" y="4091940"/>
          <a:ext cx="44196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FBE5C69-5FAD-4186-BE68-1902F8E8330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769620</xdr:colOff>
      <xdr:row>19</xdr:row>
      <xdr:rowOff>106680</xdr:rowOff>
    </xdr:from>
    <xdr:to>
      <xdr:col>7</xdr:col>
      <xdr:colOff>167640</xdr:colOff>
      <xdr:row>20</xdr:row>
      <xdr:rowOff>106680</xdr:rowOff>
    </xdr:to>
    <xdr:sp macro="" textlink="">
      <xdr:nvSpPr>
        <xdr:cNvPr id="2145" name="16151"/>
        <xdr:cNvSpPr>
          <a:spLocks noChangeArrowheads="1"/>
        </xdr:cNvSpPr>
      </xdr:nvSpPr>
      <xdr:spPr bwMode="auto">
        <a:xfrm>
          <a:off x="5844540" y="3886200"/>
          <a:ext cx="104394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El Gordo Bless</a:t>
          </a:r>
        </a:p>
      </xdr:txBody>
    </xdr:sp>
    <xdr:clientData/>
  </xdr:twoCellAnchor>
  <xdr:twoCellAnchor editAs="absolute">
    <xdr:from>
      <xdr:col>5</xdr:col>
      <xdr:colOff>259080</xdr:colOff>
      <xdr:row>16</xdr:row>
      <xdr:rowOff>30480</xdr:rowOff>
    </xdr:from>
    <xdr:to>
      <xdr:col>6</xdr:col>
      <xdr:colOff>38100</xdr:colOff>
      <xdr:row>19</xdr:row>
      <xdr:rowOff>83820</xdr:rowOff>
    </xdr:to>
    <xdr:sp macro="" textlink="">
      <xdr:nvSpPr>
        <xdr:cNvPr id="2146" name="Line 98"/>
        <xdr:cNvSpPr>
          <a:spLocks noChangeShapeType="1"/>
        </xdr:cNvSpPr>
      </xdr:nvSpPr>
      <xdr:spPr bwMode="auto">
        <a:xfrm flipH="1" flipV="1">
          <a:off x="5334000" y="3215640"/>
          <a:ext cx="60198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1143000</xdr:colOff>
      <xdr:row>23</xdr:row>
      <xdr:rowOff>152400</xdr:rowOff>
    </xdr:from>
    <xdr:to>
      <xdr:col>1</xdr:col>
      <xdr:colOff>495300</xdr:colOff>
      <xdr:row>25</xdr:row>
      <xdr:rowOff>114300</xdr:rowOff>
    </xdr:to>
    <xdr:sp macro="" textlink="">
      <xdr:nvSpPr>
        <xdr:cNvPr id="2147" name="Line 99"/>
        <xdr:cNvSpPr>
          <a:spLocks noChangeShapeType="1"/>
        </xdr:cNvSpPr>
      </xdr:nvSpPr>
      <xdr:spPr bwMode="auto">
        <a:xfrm>
          <a:off x="1143000" y="4724400"/>
          <a:ext cx="1135380" cy="3581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1341120</xdr:colOff>
      <xdr:row>21</xdr:row>
      <xdr:rowOff>182880</xdr:rowOff>
    </xdr:from>
    <xdr:to>
      <xdr:col>0</xdr:col>
      <xdr:colOff>1767840</xdr:colOff>
      <xdr:row>22</xdr:row>
      <xdr:rowOff>114300</xdr:rowOff>
    </xdr:to>
    <xdr:sp macro="" textlink="actHPLADhpl">
      <xdr:nvSpPr>
        <xdr:cNvPr id="2148" name="TGPAGUAS"/>
        <xdr:cNvSpPr txBox="1">
          <a:spLocks noChangeArrowheads="1" noTextEdit="1"/>
        </xdr:cNvSpPr>
      </xdr:nvSpPr>
      <xdr:spPr bwMode="auto">
        <a:xfrm>
          <a:off x="1341120" y="4358640"/>
          <a:ext cx="42672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260BCE4-F351-4FD9-A67D-5DD6FEEA6DA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1341120</xdr:colOff>
      <xdr:row>20</xdr:row>
      <xdr:rowOff>38100</xdr:rowOff>
    </xdr:from>
    <xdr:to>
      <xdr:col>0</xdr:col>
      <xdr:colOff>1775460</xdr:colOff>
      <xdr:row>20</xdr:row>
      <xdr:rowOff>190500</xdr:rowOff>
    </xdr:to>
    <xdr:sp macro="" textlink="schHPLADhpl">
      <xdr:nvSpPr>
        <xdr:cNvPr id="2149" name="TGPAGUAS"/>
        <xdr:cNvSpPr txBox="1">
          <a:spLocks noChangeArrowheads="1" noTextEdit="1"/>
        </xdr:cNvSpPr>
      </xdr:nvSpPr>
      <xdr:spPr bwMode="auto">
        <a:xfrm>
          <a:off x="1341120" y="4015740"/>
          <a:ext cx="434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E43A64C-6AC3-4B98-90F3-77B58AD63E8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1234440</xdr:colOff>
      <xdr:row>20</xdr:row>
      <xdr:rowOff>182880</xdr:rowOff>
    </xdr:from>
    <xdr:to>
      <xdr:col>1</xdr:col>
      <xdr:colOff>137160</xdr:colOff>
      <xdr:row>21</xdr:row>
      <xdr:rowOff>182880</xdr:rowOff>
    </xdr:to>
    <xdr:sp macro="" textlink="">
      <xdr:nvSpPr>
        <xdr:cNvPr id="2150" name="26205"/>
        <xdr:cNvSpPr>
          <a:spLocks noChangeArrowheads="1"/>
        </xdr:cNvSpPr>
      </xdr:nvSpPr>
      <xdr:spPr bwMode="auto">
        <a:xfrm>
          <a:off x="1234440" y="4160520"/>
          <a:ext cx="6858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A-D</a:t>
          </a:r>
        </a:p>
      </xdr:txBody>
    </xdr:sp>
    <xdr:clientData/>
  </xdr:twoCellAnchor>
  <xdr:twoCellAnchor editAs="absolute">
    <xdr:from>
      <xdr:col>1</xdr:col>
      <xdr:colOff>106680</xdr:colOff>
      <xdr:row>21</xdr:row>
      <xdr:rowOff>152400</xdr:rowOff>
    </xdr:from>
    <xdr:to>
      <xdr:col>1</xdr:col>
      <xdr:colOff>670560</xdr:colOff>
      <xdr:row>25</xdr:row>
      <xdr:rowOff>0</xdr:rowOff>
    </xdr:to>
    <xdr:sp macro="" textlink="">
      <xdr:nvSpPr>
        <xdr:cNvPr id="2151" name="Line 103"/>
        <xdr:cNvSpPr>
          <a:spLocks noChangeShapeType="1"/>
        </xdr:cNvSpPr>
      </xdr:nvSpPr>
      <xdr:spPr bwMode="auto">
        <a:xfrm>
          <a:off x="1889760" y="4328160"/>
          <a:ext cx="563880" cy="6400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1173480</xdr:colOff>
      <xdr:row>19</xdr:row>
      <xdr:rowOff>7620</xdr:rowOff>
    </xdr:from>
    <xdr:to>
      <xdr:col>0</xdr:col>
      <xdr:colOff>1653540</xdr:colOff>
      <xdr:row>19</xdr:row>
      <xdr:rowOff>160020</xdr:rowOff>
    </xdr:to>
    <xdr:sp macro="" textlink="act16222hpl">
      <xdr:nvSpPr>
        <xdr:cNvPr id="2152" name="TGPAGUAS"/>
        <xdr:cNvSpPr txBox="1">
          <a:spLocks noChangeArrowheads="1" noTextEdit="1"/>
        </xdr:cNvSpPr>
      </xdr:nvSpPr>
      <xdr:spPr bwMode="auto">
        <a:xfrm>
          <a:off x="1173480" y="3787140"/>
          <a:ext cx="480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32E9AB2-1135-4729-BE72-D0200351262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1242060</xdr:colOff>
      <xdr:row>17</xdr:row>
      <xdr:rowOff>68580</xdr:rowOff>
    </xdr:from>
    <xdr:to>
      <xdr:col>0</xdr:col>
      <xdr:colOff>1638300</xdr:colOff>
      <xdr:row>18</xdr:row>
      <xdr:rowOff>30480</xdr:rowOff>
    </xdr:to>
    <xdr:sp macro="" textlink="sch16222hpl">
      <xdr:nvSpPr>
        <xdr:cNvPr id="2153" name="TGPAGUAS"/>
        <xdr:cNvSpPr txBox="1">
          <a:spLocks noChangeArrowheads="1" noTextEdit="1"/>
        </xdr:cNvSpPr>
      </xdr:nvSpPr>
      <xdr:spPr bwMode="auto">
        <a:xfrm>
          <a:off x="1242060" y="3451860"/>
          <a:ext cx="3962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D03CFE5-79A0-4F76-B7B0-F684050EF63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1013460</xdr:colOff>
      <xdr:row>18</xdr:row>
      <xdr:rowOff>0</xdr:rowOff>
    </xdr:from>
    <xdr:to>
      <xdr:col>1</xdr:col>
      <xdr:colOff>198120</xdr:colOff>
      <xdr:row>19</xdr:row>
      <xdr:rowOff>7620</xdr:rowOff>
    </xdr:to>
    <xdr:sp macro="" textlink="">
      <xdr:nvSpPr>
        <xdr:cNvPr id="2154" name="16222"/>
        <xdr:cNvSpPr>
          <a:spLocks noChangeArrowheads="1"/>
        </xdr:cNvSpPr>
      </xdr:nvSpPr>
      <xdr:spPr bwMode="auto">
        <a:xfrm>
          <a:off x="1013460" y="3581400"/>
          <a:ext cx="96774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PGE Cardwell</a:t>
          </a:r>
        </a:p>
      </xdr:txBody>
    </xdr:sp>
    <xdr:clientData/>
  </xdr:twoCellAnchor>
  <xdr:twoCellAnchor editAs="absolute">
    <xdr:from>
      <xdr:col>1</xdr:col>
      <xdr:colOff>152400</xdr:colOff>
      <xdr:row>19</xdr:row>
      <xdr:rowOff>0</xdr:rowOff>
    </xdr:from>
    <xdr:to>
      <xdr:col>2</xdr:col>
      <xdr:colOff>83820</xdr:colOff>
      <xdr:row>24</xdr:row>
      <xdr:rowOff>38100</xdr:rowOff>
    </xdr:to>
    <xdr:sp macro="" textlink="">
      <xdr:nvSpPr>
        <xdr:cNvPr id="2155" name="Line 107"/>
        <xdr:cNvSpPr>
          <a:spLocks noChangeShapeType="1"/>
        </xdr:cNvSpPr>
      </xdr:nvSpPr>
      <xdr:spPr bwMode="auto">
        <a:xfrm>
          <a:off x="1935480" y="3779520"/>
          <a:ext cx="75438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579120</xdr:colOff>
      <xdr:row>20</xdr:row>
      <xdr:rowOff>152400</xdr:rowOff>
    </xdr:from>
    <xdr:to>
      <xdr:col>2</xdr:col>
      <xdr:colOff>121920</xdr:colOff>
      <xdr:row>21</xdr:row>
      <xdr:rowOff>114300</xdr:rowOff>
    </xdr:to>
    <xdr:sp macro="" textlink="act16069hpl">
      <xdr:nvSpPr>
        <xdr:cNvPr id="2156" name="TGPAGUAS"/>
        <xdr:cNvSpPr txBox="1">
          <a:spLocks noChangeArrowheads="1" noTextEdit="1"/>
        </xdr:cNvSpPr>
      </xdr:nvSpPr>
      <xdr:spPr bwMode="auto">
        <a:xfrm>
          <a:off x="2362200" y="4130040"/>
          <a:ext cx="36576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5D51176-DF61-4934-A7B5-E0DFF76DBA4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632460</xdr:colOff>
      <xdr:row>18</xdr:row>
      <xdr:rowOff>182880</xdr:rowOff>
    </xdr:from>
    <xdr:to>
      <xdr:col>2</xdr:col>
      <xdr:colOff>38100</xdr:colOff>
      <xdr:row>19</xdr:row>
      <xdr:rowOff>152400</xdr:rowOff>
    </xdr:to>
    <xdr:sp macro="" textlink="sch16069hpl">
      <xdr:nvSpPr>
        <xdr:cNvPr id="2157" name="TGPAGUAS"/>
        <xdr:cNvSpPr txBox="1">
          <a:spLocks noChangeArrowheads="1" noTextEdit="1"/>
        </xdr:cNvSpPr>
      </xdr:nvSpPr>
      <xdr:spPr bwMode="auto">
        <a:xfrm>
          <a:off x="2415540" y="3764280"/>
          <a:ext cx="22860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AFEDDB38-A02B-4825-ADC7-055C19B7330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449580</xdr:colOff>
      <xdr:row>19</xdr:row>
      <xdr:rowOff>121920</xdr:rowOff>
    </xdr:from>
    <xdr:to>
      <xdr:col>2</xdr:col>
      <xdr:colOff>365760</xdr:colOff>
      <xdr:row>20</xdr:row>
      <xdr:rowOff>144780</xdr:rowOff>
    </xdr:to>
    <xdr:sp macro="" textlink="">
      <xdr:nvSpPr>
        <xdr:cNvPr id="2158" name="16069"/>
        <xdr:cNvSpPr>
          <a:spLocks noChangeArrowheads="1"/>
        </xdr:cNvSpPr>
      </xdr:nvSpPr>
      <xdr:spPr bwMode="auto">
        <a:xfrm>
          <a:off x="2232660" y="3901440"/>
          <a:ext cx="739140" cy="22098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Odem</a:t>
          </a:r>
        </a:p>
      </xdr:txBody>
    </xdr:sp>
    <xdr:clientData/>
  </xdr:twoCellAnchor>
  <xdr:twoCellAnchor editAs="absolute">
    <xdr:from>
      <xdr:col>2</xdr:col>
      <xdr:colOff>106680</xdr:colOff>
      <xdr:row>20</xdr:row>
      <xdr:rowOff>160020</xdr:rowOff>
    </xdr:from>
    <xdr:to>
      <xdr:col>2</xdr:col>
      <xdr:colOff>312420</xdr:colOff>
      <xdr:row>23</xdr:row>
      <xdr:rowOff>144780</xdr:rowOff>
    </xdr:to>
    <xdr:sp macro="" textlink="">
      <xdr:nvSpPr>
        <xdr:cNvPr id="2159" name="Line 111"/>
        <xdr:cNvSpPr>
          <a:spLocks noChangeShapeType="1"/>
        </xdr:cNvSpPr>
      </xdr:nvSpPr>
      <xdr:spPr bwMode="auto">
        <a:xfrm>
          <a:off x="2712720" y="4137660"/>
          <a:ext cx="205740" cy="579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213360</xdr:colOff>
      <xdr:row>18</xdr:row>
      <xdr:rowOff>106680</xdr:rowOff>
    </xdr:from>
    <xdr:to>
      <xdr:col>2</xdr:col>
      <xdr:colOff>670560</xdr:colOff>
      <xdr:row>19</xdr:row>
      <xdr:rowOff>68580</xdr:rowOff>
    </xdr:to>
    <xdr:sp macro="" textlink="actHPLGreghpl">
      <xdr:nvSpPr>
        <xdr:cNvPr id="2160" name="TGPAGUAS"/>
        <xdr:cNvSpPr txBox="1">
          <a:spLocks noChangeArrowheads="1" noTextEdit="1"/>
        </xdr:cNvSpPr>
      </xdr:nvSpPr>
      <xdr:spPr bwMode="auto">
        <a:xfrm>
          <a:off x="2819400" y="3688080"/>
          <a:ext cx="4572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1F29758-20F4-4625-9926-5851A1CE802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228600</xdr:colOff>
      <xdr:row>16</xdr:row>
      <xdr:rowOff>144780</xdr:rowOff>
    </xdr:from>
    <xdr:to>
      <xdr:col>2</xdr:col>
      <xdr:colOff>670560</xdr:colOff>
      <xdr:row>17</xdr:row>
      <xdr:rowOff>83820</xdr:rowOff>
    </xdr:to>
    <xdr:sp macro="" textlink="schHPLGreghpl">
      <xdr:nvSpPr>
        <xdr:cNvPr id="2161" name="TGPAGUAS"/>
        <xdr:cNvSpPr txBox="1">
          <a:spLocks noChangeArrowheads="1" noTextEdit="1"/>
        </xdr:cNvSpPr>
      </xdr:nvSpPr>
      <xdr:spPr bwMode="auto">
        <a:xfrm>
          <a:off x="2834640" y="3329940"/>
          <a:ext cx="44196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CB708E1-8489-4D6F-B183-D339C980652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137160</xdr:colOff>
      <xdr:row>17</xdr:row>
      <xdr:rowOff>106680</xdr:rowOff>
    </xdr:from>
    <xdr:to>
      <xdr:col>3</xdr:col>
      <xdr:colOff>259080</xdr:colOff>
      <xdr:row>18</xdr:row>
      <xdr:rowOff>106680</xdr:rowOff>
    </xdr:to>
    <xdr:sp macro="" textlink="">
      <xdr:nvSpPr>
        <xdr:cNvPr id="2162" name="26191"/>
        <xdr:cNvSpPr>
          <a:spLocks noChangeArrowheads="1"/>
        </xdr:cNvSpPr>
      </xdr:nvSpPr>
      <xdr:spPr bwMode="auto">
        <a:xfrm>
          <a:off x="2743200" y="3489960"/>
          <a:ext cx="94488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Gregory</a:t>
          </a:r>
        </a:p>
      </xdr:txBody>
    </xdr:sp>
    <xdr:clientData/>
  </xdr:twoCellAnchor>
  <xdr:twoCellAnchor editAs="absolute">
    <xdr:from>
      <xdr:col>2</xdr:col>
      <xdr:colOff>701040</xdr:colOff>
      <xdr:row>18</xdr:row>
      <xdr:rowOff>144780</xdr:rowOff>
    </xdr:from>
    <xdr:to>
      <xdr:col>2</xdr:col>
      <xdr:colOff>739140</xdr:colOff>
      <xdr:row>22</xdr:row>
      <xdr:rowOff>45720</xdr:rowOff>
    </xdr:to>
    <xdr:sp macro="" textlink="">
      <xdr:nvSpPr>
        <xdr:cNvPr id="2163" name="Line 115"/>
        <xdr:cNvSpPr>
          <a:spLocks noChangeShapeType="1"/>
        </xdr:cNvSpPr>
      </xdr:nvSpPr>
      <xdr:spPr bwMode="auto">
        <a:xfrm>
          <a:off x="3307080" y="3726180"/>
          <a:ext cx="38100" cy="6934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815340</xdr:colOff>
      <xdr:row>15</xdr:row>
      <xdr:rowOff>190500</xdr:rowOff>
    </xdr:from>
    <xdr:to>
      <xdr:col>3</xdr:col>
      <xdr:colOff>365760</xdr:colOff>
      <xdr:row>16</xdr:row>
      <xdr:rowOff>152400</xdr:rowOff>
    </xdr:to>
    <xdr:sp macro="" textlink="act16210hpl">
      <xdr:nvSpPr>
        <xdr:cNvPr id="2164" name="TGPAGUAS"/>
        <xdr:cNvSpPr txBox="1">
          <a:spLocks noChangeArrowheads="1" noTextEdit="1"/>
        </xdr:cNvSpPr>
      </xdr:nvSpPr>
      <xdr:spPr bwMode="auto">
        <a:xfrm>
          <a:off x="3421380" y="3177540"/>
          <a:ext cx="37338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D3BCBCA-139F-4410-A500-9250282E553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815340</xdr:colOff>
      <xdr:row>14</xdr:row>
      <xdr:rowOff>68580</xdr:rowOff>
    </xdr:from>
    <xdr:to>
      <xdr:col>3</xdr:col>
      <xdr:colOff>365760</xdr:colOff>
      <xdr:row>15</xdr:row>
      <xdr:rowOff>0</xdr:rowOff>
    </xdr:to>
    <xdr:sp macro="" textlink="sch16210hpl">
      <xdr:nvSpPr>
        <xdr:cNvPr id="2165" name="TGPAGUAS"/>
        <xdr:cNvSpPr txBox="1">
          <a:spLocks noChangeArrowheads="1" noTextEdit="1"/>
        </xdr:cNvSpPr>
      </xdr:nvSpPr>
      <xdr:spPr bwMode="auto">
        <a:xfrm>
          <a:off x="3421380" y="2857500"/>
          <a:ext cx="37338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7BF0FD2-EACA-4545-B320-72C08AD774E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624840</xdr:colOff>
      <xdr:row>14</xdr:row>
      <xdr:rowOff>190500</xdr:rowOff>
    </xdr:from>
    <xdr:to>
      <xdr:col>4</xdr:col>
      <xdr:colOff>83820</xdr:colOff>
      <xdr:row>15</xdr:row>
      <xdr:rowOff>190500</xdr:rowOff>
    </xdr:to>
    <xdr:sp macro="" textlink="">
      <xdr:nvSpPr>
        <xdr:cNvPr id="2166" name="16210"/>
        <xdr:cNvSpPr>
          <a:spLocks noChangeAspect="1" noChangeArrowheads="1"/>
        </xdr:cNvSpPr>
      </xdr:nvSpPr>
      <xdr:spPr bwMode="auto">
        <a:xfrm>
          <a:off x="3230880" y="2979420"/>
          <a:ext cx="11049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North N Tivoli</a:t>
          </a:r>
        </a:p>
      </xdr:txBody>
    </xdr:sp>
    <xdr:clientData/>
  </xdr:twoCellAnchor>
  <xdr:twoCellAnchor editAs="absolute">
    <xdr:from>
      <xdr:col>3</xdr:col>
      <xdr:colOff>624840</xdr:colOff>
      <xdr:row>16</xdr:row>
      <xdr:rowOff>0</xdr:rowOff>
    </xdr:from>
    <xdr:to>
      <xdr:col>4</xdr:col>
      <xdr:colOff>182880</xdr:colOff>
      <xdr:row>18</xdr:row>
      <xdr:rowOff>38100</xdr:rowOff>
    </xdr:to>
    <xdr:sp macro="" textlink="">
      <xdr:nvSpPr>
        <xdr:cNvPr id="2167" name="Line 119"/>
        <xdr:cNvSpPr>
          <a:spLocks noChangeShapeType="1"/>
        </xdr:cNvSpPr>
      </xdr:nvSpPr>
      <xdr:spPr bwMode="auto">
        <a:xfrm>
          <a:off x="4053840" y="3185160"/>
          <a:ext cx="381000" cy="4343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0</xdr:colOff>
      <xdr:row>13</xdr:row>
      <xdr:rowOff>53340</xdr:rowOff>
    </xdr:from>
    <xdr:to>
      <xdr:col>4</xdr:col>
      <xdr:colOff>335280</xdr:colOff>
      <xdr:row>14</xdr:row>
      <xdr:rowOff>22860</xdr:rowOff>
    </xdr:to>
    <xdr:sp macro="" textlink="act26073hpl">
      <xdr:nvSpPr>
        <xdr:cNvPr id="2168" name="TGPAGUAS"/>
        <xdr:cNvSpPr txBox="1">
          <a:spLocks noChangeArrowheads="1" noTextEdit="1"/>
        </xdr:cNvSpPr>
      </xdr:nvSpPr>
      <xdr:spPr bwMode="auto">
        <a:xfrm>
          <a:off x="4251960" y="2644140"/>
          <a:ext cx="3352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6693AA62-8592-4752-97F2-16F12A488A1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0</xdr:colOff>
      <xdr:row>11</xdr:row>
      <xdr:rowOff>53340</xdr:rowOff>
    </xdr:from>
    <xdr:to>
      <xdr:col>4</xdr:col>
      <xdr:colOff>358140</xdr:colOff>
      <xdr:row>12</xdr:row>
      <xdr:rowOff>22860</xdr:rowOff>
    </xdr:to>
    <xdr:sp macro="" textlink="sch26073hpl">
      <xdr:nvSpPr>
        <xdr:cNvPr id="2169" name="TGPAGUAS"/>
        <xdr:cNvSpPr txBox="1">
          <a:spLocks noChangeArrowheads="1" noTextEdit="1"/>
        </xdr:cNvSpPr>
      </xdr:nvSpPr>
      <xdr:spPr bwMode="auto">
        <a:xfrm>
          <a:off x="4251960" y="2247900"/>
          <a:ext cx="35814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5FDEB8A1-35A9-4A03-8749-742EF7F28AD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449580</xdr:colOff>
      <xdr:row>12</xdr:row>
      <xdr:rowOff>0</xdr:rowOff>
    </xdr:from>
    <xdr:to>
      <xdr:col>4</xdr:col>
      <xdr:colOff>739140</xdr:colOff>
      <xdr:row>13</xdr:row>
      <xdr:rowOff>15240</xdr:rowOff>
    </xdr:to>
    <xdr:sp macro="" textlink="">
      <xdr:nvSpPr>
        <xdr:cNvPr id="2170" name="26073"/>
        <xdr:cNvSpPr>
          <a:spLocks noChangeArrowheads="1"/>
        </xdr:cNvSpPr>
      </xdr:nvSpPr>
      <xdr:spPr bwMode="auto">
        <a:xfrm>
          <a:off x="3878580" y="2392680"/>
          <a:ext cx="1112520" cy="21336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HPLSwan Lake</a:t>
          </a:r>
        </a:p>
      </xdr:txBody>
    </xdr:sp>
    <xdr:clientData/>
  </xdr:twoCellAnchor>
  <xdr:twoCellAnchor editAs="absolute">
    <xdr:from>
      <xdr:col>4</xdr:col>
      <xdr:colOff>411480</xdr:colOff>
      <xdr:row>13</xdr:row>
      <xdr:rowOff>76200</xdr:rowOff>
    </xdr:from>
    <xdr:to>
      <xdr:col>5</xdr:col>
      <xdr:colOff>38100</xdr:colOff>
      <xdr:row>16</xdr:row>
      <xdr:rowOff>0</xdr:rowOff>
    </xdr:to>
    <xdr:sp macro="" textlink="">
      <xdr:nvSpPr>
        <xdr:cNvPr id="2171" name="Line 123"/>
        <xdr:cNvSpPr>
          <a:spLocks noChangeShapeType="1"/>
        </xdr:cNvSpPr>
      </xdr:nvSpPr>
      <xdr:spPr bwMode="auto">
        <a:xfrm flipH="1" flipV="1">
          <a:off x="4663440" y="2667000"/>
          <a:ext cx="449580" cy="5181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121920</xdr:colOff>
      <xdr:row>11</xdr:row>
      <xdr:rowOff>38100</xdr:rowOff>
    </xdr:from>
    <xdr:to>
      <xdr:col>6</xdr:col>
      <xdr:colOff>548640</xdr:colOff>
      <xdr:row>12</xdr:row>
      <xdr:rowOff>0</xdr:rowOff>
    </xdr:to>
    <xdr:sp macro="" textlink="act16273hpl">
      <xdr:nvSpPr>
        <xdr:cNvPr id="2172" name="Text 30"/>
        <xdr:cNvSpPr txBox="1">
          <a:spLocks noChangeArrowheads="1" noTextEdit="1"/>
        </xdr:cNvSpPr>
      </xdr:nvSpPr>
      <xdr:spPr bwMode="auto">
        <a:xfrm flipV="1">
          <a:off x="6019800" y="223266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1AF806A-48E6-41DE-B2B0-7BBF703B5DE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91440</xdr:colOff>
      <xdr:row>9</xdr:row>
      <xdr:rowOff>114300</xdr:rowOff>
    </xdr:from>
    <xdr:to>
      <xdr:col>6</xdr:col>
      <xdr:colOff>518160</xdr:colOff>
      <xdr:row>10</xdr:row>
      <xdr:rowOff>68580</xdr:rowOff>
    </xdr:to>
    <xdr:sp macro="" textlink="sch16273hpl">
      <xdr:nvSpPr>
        <xdr:cNvPr id="2173" name="Text 30"/>
        <xdr:cNvSpPr txBox="1">
          <a:spLocks noChangeArrowheads="1" noTextEdit="1"/>
        </xdr:cNvSpPr>
      </xdr:nvSpPr>
      <xdr:spPr bwMode="auto">
        <a:xfrm flipV="1">
          <a:off x="5989320" y="1912620"/>
          <a:ext cx="42672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7B8AF13-3CA5-4FC0-BDB3-4C23F7AB187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579120</xdr:colOff>
      <xdr:row>10</xdr:row>
      <xdr:rowOff>68580</xdr:rowOff>
    </xdr:from>
    <xdr:to>
      <xdr:col>6</xdr:col>
      <xdr:colOff>624840</xdr:colOff>
      <xdr:row>11</xdr:row>
      <xdr:rowOff>45720</xdr:rowOff>
    </xdr:to>
    <xdr:sp macro="" textlink="">
      <xdr:nvSpPr>
        <xdr:cNvPr id="2174" name="16273"/>
        <xdr:cNvSpPr>
          <a:spLocks noChangeArrowheads="1"/>
        </xdr:cNvSpPr>
      </xdr:nvSpPr>
      <xdr:spPr bwMode="auto">
        <a:xfrm>
          <a:off x="5654040" y="2065020"/>
          <a:ext cx="868680" cy="17526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Manville</a:t>
          </a:r>
        </a:p>
      </xdr:txBody>
    </xdr:sp>
    <xdr:clientData/>
  </xdr:twoCellAnchor>
  <xdr:twoCellAnchor editAs="absolute">
    <xdr:from>
      <xdr:col>6</xdr:col>
      <xdr:colOff>609600</xdr:colOff>
      <xdr:row>10</xdr:row>
      <xdr:rowOff>45720</xdr:rowOff>
    </xdr:from>
    <xdr:to>
      <xdr:col>7</xdr:col>
      <xdr:colOff>152400</xdr:colOff>
      <xdr:row>10</xdr:row>
      <xdr:rowOff>106680</xdr:rowOff>
    </xdr:to>
    <xdr:sp macro="" textlink="">
      <xdr:nvSpPr>
        <xdr:cNvPr id="2175" name="Line 127"/>
        <xdr:cNvSpPr>
          <a:spLocks noChangeShapeType="1"/>
        </xdr:cNvSpPr>
      </xdr:nvSpPr>
      <xdr:spPr bwMode="auto">
        <a:xfrm flipV="1">
          <a:off x="6507480" y="2042160"/>
          <a:ext cx="365760" cy="609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464820</xdr:colOff>
      <xdr:row>16</xdr:row>
      <xdr:rowOff>121920</xdr:rowOff>
    </xdr:from>
    <xdr:to>
      <xdr:col>8</xdr:col>
      <xdr:colOff>114300</xdr:colOff>
      <xdr:row>17</xdr:row>
      <xdr:rowOff>114300</xdr:rowOff>
    </xdr:to>
    <xdr:sp macro="" textlink="act26160hpl">
      <xdr:nvSpPr>
        <xdr:cNvPr id="2176" name="Text 30"/>
        <xdr:cNvSpPr txBox="1">
          <a:spLocks noChangeArrowheads="1" noTextEdit="1"/>
        </xdr:cNvSpPr>
      </xdr:nvSpPr>
      <xdr:spPr bwMode="auto">
        <a:xfrm flipV="1">
          <a:off x="7185660" y="3307080"/>
          <a:ext cx="47244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5ADA5CF-027E-4874-B7BF-921A165D493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419100</xdr:colOff>
      <xdr:row>15</xdr:row>
      <xdr:rowOff>114300</xdr:rowOff>
    </xdr:from>
    <xdr:to>
      <xdr:col>8</xdr:col>
      <xdr:colOff>464820</xdr:colOff>
      <xdr:row>16</xdr:row>
      <xdr:rowOff>121920</xdr:rowOff>
    </xdr:to>
    <xdr:sp macro="" textlink="">
      <xdr:nvSpPr>
        <xdr:cNvPr id="2177" name="26160"/>
        <xdr:cNvSpPr>
          <a:spLocks noChangeArrowheads="1"/>
        </xdr:cNvSpPr>
      </xdr:nvSpPr>
      <xdr:spPr bwMode="auto">
        <a:xfrm>
          <a:off x="7139940" y="3101340"/>
          <a:ext cx="86868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Pledger</a:t>
          </a:r>
        </a:p>
      </xdr:txBody>
    </xdr:sp>
    <xdr:clientData/>
  </xdr:twoCellAnchor>
  <xdr:twoCellAnchor editAs="absolute">
    <xdr:from>
      <xdr:col>8</xdr:col>
      <xdr:colOff>83820</xdr:colOff>
      <xdr:row>11</xdr:row>
      <xdr:rowOff>144780</xdr:rowOff>
    </xdr:from>
    <xdr:to>
      <xdr:col>8</xdr:col>
      <xdr:colOff>502920</xdr:colOff>
      <xdr:row>12</xdr:row>
      <xdr:rowOff>91440</xdr:rowOff>
    </xdr:to>
    <xdr:sp macro="" textlink="act16296hpl">
      <xdr:nvSpPr>
        <xdr:cNvPr id="2178" name="Text 30"/>
        <xdr:cNvSpPr txBox="1">
          <a:spLocks noChangeArrowheads="1" noTextEdit="1"/>
        </xdr:cNvSpPr>
      </xdr:nvSpPr>
      <xdr:spPr bwMode="auto">
        <a:xfrm flipV="1">
          <a:off x="7627620" y="2339340"/>
          <a:ext cx="41910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4CDD34B-24B0-465D-909D-C19DFB79FE2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83820</xdr:colOff>
      <xdr:row>10</xdr:row>
      <xdr:rowOff>0</xdr:rowOff>
    </xdr:from>
    <xdr:to>
      <xdr:col>8</xdr:col>
      <xdr:colOff>502920</xdr:colOff>
      <xdr:row>10</xdr:row>
      <xdr:rowOff>152400</xdr:rowOff>
    </xdr:to>
    <xdr:sp macro="" textlink="sch16296hpl">
      <xdr:nvSpPr>
        <xdr:cNvPr id="2179" name="Text 30"/>
        <xdr:cNvSpPr txBox="1">
          <a:spLocks noChangeArrowheads="1" noTextEdit="1"/>
        </xdr:cNvSpPr>
      </xdr:nvSpPr>
      <xdr:spPr bwMode="auto">
        <a:xfrm flipV="1">
          <a:off x="7627620" y="1996440"/>
          <a:ext cx="4191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BA23135-E2E7-4DCC-B46C-B97EB2D4537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784860</xdr:colOff>
      <xdr:row>10</xdr:row>
      <xdr:rowOff>144780</xdr:rowOff>
    </xdr:from>
    <xdr:to>
      <xdr:col>9</xdr:col>
      <xdr:colOff>53340</xdr:colOff>
      <xdr:row>11</xdr:row>
      <xdr:rowOff>144780</xdr:rowOff>
    </xdr:to>
    <xdr:sp macro="" textlink="">
      <xdr:nvSpPr>
        <xdr:cNvPr id="2180" name="16296"/>
        <xdr:cNvSpPr>
          <a:spLocks noChangeArrowheads="1"/>
        </xdr:cNvSpPr>
      </xdr:nvSpPr>
      <xdr:spPr bwMode="auto">
        <a:xfrm>
          <a:off x="7505700" y="2141220"/>
          <a:ext cx="9144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Hastings</a:t>
          </a:r>
        </a:p>
      </xdr:txBody>
    </xdr:sp>
    <xdr:clientData/>
  </xdr:twoCellAnchor>
  <xdr:twoCellAnchor editAs="absolute">
    <xdr:from>
      <xdr:col>7</xdr:col>
      <xdr:colOff>495300</xdr:colOff>
      <xdr:row>9</xdr:row>
      <xdr:rowOff>152400</xdr:rowOff>
    </xdr:from>
    <xdr:to>
      <xdr:col>8</xdr:col>
      <xdr:colOff>0</xdr:colOff>
      <xdr:row>10</xdr:row>
      <xdr:rowOff>160020</xdr:rowOff>
    </xdr:to>
    <xdr:sp macro="" textlink="">
      <xdr:nvSpPr>
        <xdr:cNvPr id="2181" name="Line 133"/>
        <xdr:cNvSpPr>
          <a:spLocks noChangeShapeType="1"/>
        </xdr:cNvSpPr>
      </xdr:nvSpPr>
      <xdr:spPr bwMode="auto">
        <a:xfrm flipH="1" flipV="1">
          <a:off x="7216140" y="1950720"/>
          <a:ext cx="327660" cy="20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152400</xdr:colOff>
      <xdr:row>14</xdr:row>
      <xdr:rowOff>68580</xdr:rowOff>
    </xdr:from>
    <xdr:to>
      <xdr:col>8</xdr:col>
      <xdr:colOff>701040</xdr:colOff>
      <xdr:row>15</xdr:row>
      <xdr:rowOff>15240</xdr:rowOff>
    </xdr:to>
    <xdr:sp macro="" textlink="act26018hpl">
      <xdr:nvSpPr>
        <xdr:cNvPr id="2182" name="Text 30"/>
        <xdr:cNvSpPr txBox="1">
          <a:spLocks noChangeArrowheads="1" noTextEdit="1"/>
        </xdr:cNvSpPr>
      </xdr:nvSpPr>
      <xdr:spPr bwMode="auto">
        <a:xfrm flipV="1">
          <a:off x="7696200" y="2857500"/>
          <a:ext cx="54864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AC3D0FC-C7D3-4BBF-8C60-E20F3ED44E3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182880</xdr:colOff>
      <xdr:row>12</xdr:row>
      <xdr:rowOff>114300</xdr:rowOff>
    </xdr:from>
    <xdr:to>
      <xdr:col>8</xdr:col>
      <xdr:colOff>662940</xdr:colOff>
      <xdr:row>13</xdr:row>
      <xdr:rowOff>53340</xdr:rowOff>
    </xdr:to>
    <xdr:sp macro="" textlink="sch26018hpl">
      <xdr:nvSpPr>
        <xdr:cNvPr id="2183" name="Text 30"/>
        <xdr:cNvSpPr txBox="1">
          <a:spLocks noChangeArrowheads="1" noTextEdit="1"/>
        </xdr:cNvSpPr>
      </xdr:nvSpPr>
      <xdr:spPr bwMode="auto">
        <a:xfrm flipV="1">
          <a:off x="7726680" y="2506980"/>
          <a:ext cx="480060" cy="1371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861B68A-CC70-48E5-9654-C4176F1B98A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7620</xdr:colOff>
      <xdr:row>13</xdr:row>
      <xdr:rowOff>68580</xdr:rowOff>
    </xdr:from>
    <xdr:to>
      <xdr:col>9</xdr:col>
      <xdr:colOff>152400</xdr:colOff>
      <xdr:row>14</xdr:row>
      <xdr:rowOff>68580</xdr:rowOff>
    </xdr:to>
    <xdr:sp macro="" textlink="">
      <xdr:nvSpPr>
        <xdr:cNvPr id="2184" name="26018"/>
        <xdr:cNvSpPr>
          <a:spLocks noChangeArrowheads="1"/>
        </xdr:cNvSpPr>
      </xdr:nvSpPr>
      <xdr:spPr bwMode="auto">
        <a:xfrm>
          <a:off x="7551420" y="2659380"/>
          <a:ext cx="96774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Pearland</a:t>
          </a:r>
        </a:p>
      </xdr:txBody>
    </xdr:sp>
    <xdr:clientData/>
  </xdr:twoCellAnchor>
  <xdr:twoCellAnchor editAs="absolute">
    <xdr:from>
      <xdr:col>7</xdr:col>
      <xdr:colOff>403860</xdr:colOff>
      <xdr:row>10</xdr:row>
      <xdr:rowOff>0</xdr:rowOff>
    </xdr:from>
    <xdr:to>
      <xdr:col>8</xdr:col>
      <xdr:colOff>213360</xdr:colOff>
      <xdr:row>13</xdr:row>
      <xdr:rowOff>30480</xdr:rowOff>
    </xdr:to>
    <xdr:sp macro="" textlink="">
      <xdr:nvSpPr>
        <xdr:cNvPr id="2185" name="Line 137"/>
        <xdr:cNvSpPr>
          <a:spLocks noChangeShapeType="1"/>
        </xdr:cNvSpPr>
      </xdr:nvSpPr>
      <xdr:spPr bwMode="auto">
        <a:xfrm>
          <a:off x="7124700" y="1996440"/>
          <a:ext cx="632460" cy="6248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327660</xdr:colOff>
      <xdr:row>12</xdr:row>
      <xdr:rowOff>68580</xdr:rowOff>
    </xdr:from>
    <xdr:to>
      <xdr:col>9</xdr:col>
      <xdr:colOff>784860</xdr:colOff>
      <xdr:row>13</xdr:row>
      <xdr:rowOff>53340</xdr:rowOff>
    </xdr:to>
    <xdr:sp macro="" textlink="act16058hpl">
      <xdr:nvSpPr>
        <xdr:cNvPr id="2186" name="Text 30"/>
        <xdr:cNvSpPr txBox="1">
          <a:spLocks noChangeArrowheads="1" noTextEdit="1"/>
        </xdr:cNvSpPr>
      </xdr:nvSpPr>
      <xdr:spPr bwMode="auto">
        <a:xfrm flipV="1">
          <a:off x="8694420" y="2461260"/>
          <a:ext cx="45720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8FF902A-DCA9-4888-9A0D-0066578EA2F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327660</xdr:colOff>
      <xdr:row>10</xdr:row>
      <xdr:rowOff>121920</xdr:rowOff>
    </xdr:from>
    <xdr:to>
      <xdr:col>9</xdr:col>
      <xdr:colOff>739140</xdr:colOff>
      <xdr:row>11</xdr:row>
      <xdr:rowOff>106680</xdr:rowOff>
    </xdr:to>
    <xdr:sp macro="" textlink="sch16058hpl">
      <xdr:nvSpPr>
        <xdr:cNvPr id="2187" name="Text 30"/>
        <xdr:cNvSpPr txBox="1">
          <a:spLocks noChangeArrowheads="1" noTextEdit="1"/>
        </xdr:cNvSpPr>
      </xdr:nvSpPr>
      <xdr:spPr bwMode="auto">
        <a:xfrm flipV="1">
          <a:off x="8694420" y="2118360"/>
          <a:ext cx="41148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BC8E15B-FD73-42B1-AD9B-E66449545FF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289560</xdr:colOff>
      <xdr:row>11</xdr:row>
      <xdr:rowOff>68580</xdr:rowOff>
    </xdr:from>
    <xdr:to>
      <xdr:col>10</xdr:col>
      <xdr:colOff>464820</xdr:colOff>
      <xdr:row>12</xdr:row>
      <xdr:rowOff>53340</xdr:rowOff>
    </xdr:to>
    <xdr:sp macro="" textlink="">
      <xdr:nvSpPr>
        <xdr:cNvPr id="2188" name="16058"/>
        <xdr:cNvSpPr>
          <a:spLocks noChangeArrowheads="1"/>
        </xdr:cNvSpPr>
      </xdr:nvSpPr>
      <xdr:spPr bwMode="auto">
        <a:xfrm>
          <a:off x="8656320" y="2263140"/>
          <a:ext cx="998220" cy="18288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Exx Clearlake</a:t>
          </a:r>
        </a:p>
      </xdr:txBody>
    </xdr:sp>
    <xdr:clientData/>
  </xdr:twoCellAnchor>
  <xdr:twoCellAnchor editAs="absolute">
    <xdr:from>
      <xdr:col>8</xdr:col>
      <xdr:colOff>53340</xdr:colOff>
      <xdr:row>8</xdr:row>
      <xdr:rowOff>114300</xdr:rowOff>
    </xdr:from>
    <xdr:to>
      <xdr:col>9</xdr:col>
      <xdr:colOff>358140</xdr:colOff>
      <xdr:row>11</xdr:row>
      <xdr:rowOff>76200</xdr:rowOff>
    </xdr:to>
    <xdr:sp macro="" textlink="">
      <xdr:nvSpPr>
        <xdr:cNvPr id="2189" name="Line 141"/>
        <xdr:cNvSpPr>
          <a:spLocks noChangeShapeType="1"/>
        </xdr:cNvSpPr>
      </xdr:nvSpPr>
      <xdr:spPr bwMode="auto">
        <a:xfrm>
          <a:off x="7597140" y="1706880"/>
          <a:ext cx="1127760" cy="5638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editAs="absolute">
    <xdr:from>
      <xdr:col>7</xdr:col>
      <xdr:colOff>685800</xdr:colOff>
      <xdr:row>5</xdr:row>
      <xdr:rowOff>30480</xdr:rowOff>
    </xdr:from>
    <xdr:to>
      <xdr:col>8</xdr:col>
      <xdr:colOff>403860</xdr:colOff>
      <xdr:row>6</xdr:row>
      <xdr:rowOff>0</xdr:rowOff>
    </xdr:to>
    <xdr:sp macro="" textlink="_act26084">
      <xdr:nvSpPr>
        <xdr:cNvPr id="2190" name="Text 30"/>
        <xdr:cNvSpPr txBox="1">
          <a:spLocks noChangeArrowheads="1" noTextEdit="1"/>
        </xdr:cNvSpPr>
      </xdr:nvSpPr>
      <xdr:spPr bwMode="auto">
        <a:xfrm flipV="1">
          <a:off x="7406640" y="1021080"/>
          <a:ext cx="541020" cy="1676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DDAEE04-887B-4766-8D4C-DD7A2B71E5A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640080</xdr:colOff>
      <xdr:row>3</xdr:row>
      <xdr:rowOff>160020</xdr:rowOff>
    </xdr:from>
    <xdr:to>
      <xdr:col>9</xdr:col>
      <xdr:colOff>228600</xdr:colOff>
      <xdr:row>5</xdr:row>
      <xdr:rowOff>7620</xdr:rowOff>
    </xdr:to>
    <xdr:sp macro="" textlink="">
      <xdr:nvSpPr>
        <xdr:cNvPr id="2191" name="26106"/>
        <xdr:cNvSpPr>
          <a:spLocks noChangeArrowheads="1"/>
        </xdr:cNvSpPr>
      </xdr:nvSpPr>
      <xdr:spPr bwMode="auto">
        <a:xfrm>
          <a:off x="7360920" y="754380"/>
          <a:ext cx="1234440" cy="2438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HL&amp;P Cedar Bayou</a:t>
          </a:r>
        </a:p>
      </xdr:txBody>
    </xdr:sp>
    <xdr:clientData/>
  </xdr:twoCellAnchor>
  <xdr:twoCellAnchor editAs="absolute">
    <xdr:from>
      <xdr:col>8</xdr:col>
      <xdr:colOff>403860</xdr:colOff>
      <xdr:row>5</xdr:row>
      <xdr:rowOff>106680</xdr:rowOff>
    </xdr:from>
    <xdr:to>
      <xdr:col>8</xdr:col>
      <xdr:colOff>419100</xdr:colOff>
      <xdr:row>6</xdr:row>
      <xdr:rowOff>182880</xdr:rowOff>
    </xdr:to>
    <xdr:sp macro="" textlink="">
      <xdr:nvSpPr>
        <xdr:cNvPr id="2192" name="Line 144"/>
        <xdr:cNvSpPr>
          <a:spLocks noChangeShapeType="1"/>
        </xdr:cNvSpPr>
      </xdr:nvSpPr>
      <xdr:spPr bwMode="auto">
        <a:xfrm flipH="1" flipV="1">
          <a:off x="7947660" y="1097280"/>
          <a:ext cx="15240" cy="2743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137160</xdr:colOff>
      <xdr:row>9</xdr:row>
      <xdr:rowOff>190500</xdr:rowOff>
    </xdr:from>
    <xdr:to>
      <xdr:col>10</xdr:col>
      <xdr:colOff>617220</xdr:colOff>
      <xdr:row>10</xdr:row>
      <xdr:rowOff>167640</xdr:rowOff>
    </xdr:to>
    <xdr:sp macro="" textlink="act26026hpl">
      <xdr:nvSpPr>
        <xdr:cNvPr id="2193" name="Text 30"/>
        <xdr:cNvSpPr txBox="1">
          <a:spLocks noChangeArrowheads="1" noTextEdit="1"/>
        </xdr:cNvSpPr>
      </xdr:nvSpPr>
      <xdr:spPr bwMode="auto">
        <a:xfrm flipV="1">
          <a:off x="9326880" y="1988820"/>
          <a:ext cx="480060" cy="17526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078DF8A-384C-45C3-A22D-9D8026CCE1E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167640</xdr:colOff>
      <xdr:row>8</xdr:row>
      <xdr:rowOff>38100</xdr:rowOff>
    </xdr:from>
    <xdr:to>
      <xdr:col>10</xdr:col>
      <xdr:colOff>640080</xdr:colOff>
      <xdr:row>9</xdr:row>
      <xdr:rowOff>15240</xdr:rowOff>
    </xdr:to>
    <xdr:sp macro="" textlink="sch26026hpl">
      <xdr:nvSpPr>
        <xdr:cNvPr id="2194" name="Text 30"/>
        <xdr:cNvSpPr txBox="1">
          <a:spLocks noChangeArrowheads="1" noTextEdit="1"/>
        </xdr:cNvSpPr>
      </xdr:nvSpPr>
      <xdr:spPr bwMode="auto">
        <a:xfrm flipV="1">
          <a:off x="9357360" y="1630680"/>
          <a:ext cx="47244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A09357A-C618-4EFC-BAAD-CCB287FC194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45720</xdr:colOff>
      <xdr:row>8</xdr:row>
      <xdr:rowOff>190500</xdr:rowOff>
    </xdr:from>
    <xdr:to>
      <xdr:col>11</xdr:col>
      <xdr:colOff>114300</xdr:colOff>
      <xdr:row>9</xdr:row>
      <xdr:rowOff>182880</xdr:rowOff>
    </xdr:to>
    <xdr:sp macro="" textlink="">
      <xdr:nvSpPr>
        <xdr:cNvPr id="2195" name="26026"/>
        <xdr:cNvSpPr>
          <a:spLocks noChangeArrowheads="1"/>
        </xdr:cNvSpPr>
      </xdr:nvSpPr>
      <xdr:spPr bwMode="auto">
        <a:xfrm>
          <a:off x="9235440" y="1783080"/>
          <a:ext cx="89154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Warren</a:t>
          </a:r>
        </a:p>
      </xdr:txBody>
    </xdr:sp>
    <xdr:clientData/>
  </xdr:twoCellAnchor>
  <xdr:twoCellAnchor editAs="absolute">
    <xdr:from>
      <xdr:col>8</xdr:col>
      <xdr:colOff>723900</xdr:colOff>
      <xdr:row>6</xdr:row>
      <xdr:rowOff>114300</xdr:rowOff>
    </xdr:from>
    <xdr:to>
      <xdr:col>10</xdr:col>
      <xdr:colOff>53340</xdr:colOff>
      <xdr:row>8</xdr:row>
      <xdr:rowOff>198120</xdr:rowOff>
    </xdr:to>
    <xdr:sp macro="" textlink="">
      <xdr:nvSpPr>
        <xdr:cNvPr id="2196" name="Line 148"/>
        <xdr:cNvSpPr>
          <a:spLocks noChangeShapeType="1"/>
        </xdr:cNvSpPr>
      </xdr:nvSpPr>
      <xdr:spPr bwMode="auto">
        <a:xfrm>
          <a:off x="8267700" y="1303020"/>
          <a:ext cx="975360" cy="4876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449580</xdr:colOff>
      <xdr:row>2</xdr:row>
      <xdr:rowOff>68580</xdr:rowOff>
    </xdr:from>
    <xdr:to>
      <xdr:col>9</xdr:col>
      <xdr:colOff>53340</xdr:colOff>
      <xdr:row>3</xdr:row>
      <xdr:rowOff>53340</xdr:rowOff>
    </xdr:to>
    <xdr:sp macro="" textlink="act16168hpl">
      <xdr:nvSpPr>
        <xdr:cNvPr id="2197" name="Text 30"/>
        <xdr:cNvSpPr txBox="1">
          <a:spLocks noChangeArrowheads="1" noTextEdit="1"/>
        </xdr:cNvSpPr>
      </xdr:nvSpPr>
      <xdr:spPr bwMode="auto">
        <a:xfrm flipV="1">
          <a:off x="7993380" y="464820"/>
          <a:ext cx="42672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E71CB35-4541-404F-9A76-B9B2EEDA536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411480</xdr:colOff>
      <xdr:row>0</xdr:row>
      <xdr:rowOff>83820</xdr:rowOff>
    </xdr:from>
    <xdr:to>
      <xdr:col>9</xdr:col>
      <xdr:colOff>38100</xdr:colOff>
      <xdr:row>1</xdr:row>
      <xdr:rowOff>68580</xdr:rowOff>
    </xdr:to>
    <xdr:sp macro="" textlink="sch16168hpl">
      <xdr:nvSpPr>
        <xdr:cNvPr id="2198" name="Text 30"/>
        <xdr:cNvSpPr txBox="1">
          <a:spLocks noChangeArrowheads="1" noTextEdit="1"/>
        </xdr:cNvSpPr>
      </xdr:nvSpPr>
      <xdr:spPr bwMode="auto">
        <a:xfrm flipV="1">
          <a:off x="7955280" y="83820"/>
          <a:ext cx="449580" cy="1828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72DBA70-C93A-48A6-A498-6EA6C29F20F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365760</xdr:colOff>
      <xdr:row>1</xdr:row>
      <xdr:rowOff>45720</xdr:rowOff>
    </xdr:from>
    <xdr:to>
      <xdr:col>9</xdr:col>
      <xdr:colOff>571500</xdr:colOff>
      <xdr:row>2</xdr:row>
      <xdr:rowOff>45720</xdr:rowOff>
    </xdr:to>
    <xdr:sp macro="" textlink="">
      <xdr:nvSpPr>
        <xdr:cNvPr id="2199" name="16168"/>
        <xdr:cNvSpPr>
          <a:spLocks noChangeArrowheads="1"/>
        </xdr:cNvSpPr>
      </xdr:nvSpPr>
      <xdr:spPr bwMode="auto">
        <a:xfrm>
          <a:off x="7909560" y="243840"/>
          <a:ext cx="10287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Midcon Devers</a:t>
          </a:r>
        </a:p>
      </xdr:txBody>
    </xdr:sp>
    <xdr:clientData/>
  </xdr:twoCellAnchor>
  <xdr:twoCellAnchor editAs="absolute">
    <xdr:from>
      <xdr:col>9</xdr:col>
      <xdr:colOff>83820</xdr:colOff>
      <xdr:row>2</xdr:row>
      <xdr:rowOff>114300</xdr:rowOff>
    </xdr:from>
    <xdr:to>
      <xdr:col>9</xdr:col>
      <xdr:colOff>411480</xdr:colOff>
      <xdr:row>4</xdr:row>
      <xdr:rowOff>0</xdr:rowOff>
    </xdr:to>
    <xdr:sp macro="" textlink="">
      <xdr:nvSpPr>
        <xdr:cNvPr id="2200" name="Line 152"/>
        <xdr:cNvSpPr>
          <a:spLocks noChangeShapeType="1"/>
        </xdr:cNvSpPr>
      </xdr:nvSpPr>
      <xdr:spPr bwMode="auto">
        <a:xfrm>
          <a:off x="8450580" y="510540"/>
          <a:ext cx="327660" cy="2819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106680</xdr:colOff>
      <xdr:row>8</xdr:row>
      <xdr:rowOff>121920</xdr:rowOff>
    </xdr:from>
    <xdr:to>
      <xdr:col>11</xdr:col>
      <xdr:colOff>579120</xdr:colOff>
      <xdr:row>9</xdr:row>
      <xdr:rowOff>106680</xdr:rowOff>
    </xdr:to>
    <xdr:sp macro="" textlink="act26021hpl">
      <xdr:nvSpPr>
        <xdr:cNvPr id="2201" name="Text 30"/>
        <xdr:cNvSpPr txBox="1">
          <a:spLocks noChangeArrowheads="1" noTextEdit="1"/>
        </xdr:cNvSpPr>
      </xdr:nvSpPr>
      <xdr:spPr bwMode="auto">
        <a:xfrm flipV="1">
          <a:off x="10119360" y="1714500"/>
          <a:ext cx="47244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AFC4722-3559-43F3-8EE7-4C915709283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7620</xdr:colOff>
      <xdr:row>7</xdr:row>
      <xdr:rowOff>144780</xdr:rowOff>
    </xdr:from>
    <xdr:to>
      <xdr:col>11</xdr:col>
      <xdr:colOff>784860</xdr:colOff>
      <xdr:row>8</xdr:row>
      <xdr:rowOff>121920</xdr:rowOff>
    </xdr:to>
    <xdr:sp macro="" textlink="">
      <xdr:nvSpPr>
        <xdr:cNvPr id="2202" name="26021"/>
        <xdr:cNvSpPr>
          <a:spLocks noChangeArrowheads="1"/>
        </xdr:cNvSpPr>
      </xdr:nvSpPr>
      <xdr:spPr bwMode="auto">
        <a:xfrm>
          <a:off x="10020300" y="1531620"/>
          <a:ext cx="777240" cy="18288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Beaum</a:t>
          </a:r>
        </a:p>
      </xdr:txBody>
    </xdr:sp>
    <xdr:clientData/>
  </xdr:twoCellAnchor>
  <xdr:twoCellAnchor editAs="absolute">
    <xdr:from>
      <xdr:col>9</xdr:col>
      <xdr:colOff>548640</xdr:colOff>
      <xdr:row>4</xdr:row>
      <xdr:rowOff>83820</xdr:rowOff>
    </xdr:from>
    <xdr:to>
      <xdr:col>11</xdr:col>
      <xdr:colOff>45720</xdr:colOff>
      <xdr:row>7</xdr:row>
      <xdr:rowOff>152400</xdr:rowOff>
    </xdr:to>
    <xdr:sp macro="" textlink="">
      <xdr:nvSpPr>
        <xdr:cNvPr id="2203" name="Line 155"/>
        <xdr:cNvSpPr>
          <a:spLocks noChangeShapeType="1"/>
        </xdr:cNvSpPr>
      </xdr:nvSpPr>
      <xdr:spPr bwMode="auto">
        <a:xfrm>
          <a:off x="8915400" y="876300"/>
          <a:ext cx="1143000" cy="6629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83820</xdr:colOff>
      <xdr:row>0</xdr:row>
      <xdr:rowOff>0</xdr:rowOff>
    </xdr:from>
    <xdr:to>
      <xdr:col>10</xdr:col>
      <xdr:colOff>541020</xdr:colOff>
      <xdr:row>0</xdr:row>
      <xdr:rowOff>144780</xdr:rowOff>
    </xdr:to>
    <xdr:sp macro="" textlink="sch16335hpl">
      <xdr:nvSpPr>
        <xdr:cNvPr id="2204" name="Text 30"/>
        <xdr:cNvSpPr txBox="1">
          <a:spLocks noChangeArrowheads="1" noTextEdit="1"/>
        </xdr:cNvSpPr>
      </xdr:nvSpPr>
      <xdr:spPr bwMode="auto">
        <a:xfrm flipV="1">
          <a:off x="9273540" y="0"/>
          <a:ext cx="457200" cy="14478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E2487E9-50D6-4F82-B20E-38537A1F1B6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739140</xdr:colOff>
      <xdr:row>0</xdr:row>
      <xdr:rowOff>144780</xdr:rowOff>
    </xdr:from>
    <xdr:to>
      <xdr:col>10</xdr:col>
      <xdr:colOff>815340</xdr:colOff>
      <xdr:row>1</xdr:row>
      <xdr:rowOff>152400</xdr:rowOff>
    </xdr:to>
    <xdr:sp macro="" textlink="">
      <xdr:nvSpPr>
        <xdr:cNvPr id="2205" name="16335"/>
        <xdr:cNvSpPr>
          <a:spLocks noChangeArrowheads="1"/>
        </xdr:cNvSpPr>
      </xdr:nvSpPr>
      <xdr:spPr bwMode="auto">
        <a:xfrm>
          <a:off x="9105900" y="144780"/>
          <a:ext cx="899160" cy="20574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Texoma</a:t>
          </a:r>
        </a:p>
      </xdr:txBody>
    </xdr:sp>
    <xdr:clientData/>
  </xdr:twoCellAnchor>
  <xdr:twoCellAnchor editAs="absolute">
    <xdr:from>
      <xdr:col>10</xdr:col>
      <xdr:colOff>45720</xdr:colOff>
      <xdr:row>1</xdr:row>
      <xdr:rowOff>152400</xdr:rowOff>
    </xdr:from>
    <xdr:to>
      <xdr:col>10</xdr:col>
      <xdr:colOff>45720</xdr:colOff>
      <xdr:row>3</xdr:row>
      <xdr:rowOff>83820</xdr:rowOff>
    </xdr:to>
    <xdr:sp macro="" textlink="">
      <xdr:nvSpPr>
        <xdr:cNvPr id="2206" name="Line 158"/>
        <xdr:cNvSpPr>
          <a:spLocks noChangeShapeType="1"/>
        </xdr:cNvSpPr>
      </xdr:nvSpPr>
      <xdr:spPr bwMode="auto">
        <a:xfrm>
          <a:off x="9235440" y="350520"/>
          <a:ext cx="0" cy="3276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213360</xdr:colOff>
      <xdr:row>5</xdr:row>
      <xdr:rowOff>114300</xdr:rowOff>
    </xdr:from>
    <xdr:to>
      <xdr:col>11</xdr:col>
      <xdr:colOff>7620</xdr:colOff>
      <xdr:row>6</xdr:row>
      <xdr:rowOff>68580</xdr:rowOff>
    </xdr:to>
    <xdr:sp macro="" textlink="act26126hpl">
      <xdr:nvSpPr>
        <xdr:cNvPr id="2207" name="Text 30"/>
        <xdr:cNvSpPr txBox="1">
          <a:spLocks noChangeArrowheads="1" noTextEdit="1"/>
        </xdr:cNvSpPr>
      </xdr:nvSpPr>
      <xdr:spPr bwMode="auto">
        <a:xfrm flipV="1">
          <a:off x="9403080" y="1104900"/>
          <a:ext cx="61722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A009A1D-A08D-4131-B415-DD6C61E0391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259080</xdr:colOff>
      <xdr:row>3</xdr:row>
      <xdr:rowOff>152400</xdr:rowOff>
    </xdr:from>
    <xdr:to>
      <xdr:col>10</xdr:col>
      <xdr:colOff>784860</xdr:colOff>
      <xdr:row>4</xdr:row>
      <xdr:rowOff>121920</xdr:rowOff>
    </xdr:to>
    <xdr:sp macro="" textlink="sch26126hpl">
      <xdr:nvSpPr>
        <xdr:cNvPr id="2208" name="Text 30"/>
        <xdr:cNvSpPr txBox="1">
          <a:spLocks noChangeArrowheads="1" noTextEdit="1"/>
        </xdr:cNvSpPr>
      </xdr:nvSpPr>
      <xdr:spPr bwMode="auto">
        <a:xfrm flipV="1">
          <a:off x="9448800" y="746760"/>
          <a:ext cx="525780" cy="1676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BB04EF0-2822-41BC-951B-E7CD8450639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137160</xdr:colOff>
      <xdr:row>3</xdr:row>
      <xdr:rowOff>121920</xdr:rowOff>
    </xdr:from>
    <xdr:to>
      <xdr:col>10</xdr:col>
      <xdr:colOff>243840</xdr:colOff>
      <xdr:row>4</xdr:row>
      <xdr:rowOff>83820</xdr:rowOff>
    </xdr:to>
    <xdr:sp macro="" textlink="">
      <xdr:nvSpPr>
        <xdr:cNvPr id="2209" name="Line 161"/>
        <xdr:cNvSpPr>
          <a:spLocks noChangeShapeType="1"/>
        </xdr:cNvSpPr>
      </xdr:nvSpPr>
      <xdr:spPr bwMode="auto">
        <a:xfrm>
          <a:off x="9326880" y="716280"/>
          <a:ext cx="106680" cy="1600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815340</xdr:colOff>
      <xdr:row>2</xdr:row>
      <xdr:rowOff>144780</xdr:rowOff>
    </xdr:from>
    <xdr:to>
      <xdr:col>12</xdr:col>
      <xdr:colOff>449580</xdr:colOff>
      <xdr:row>3</xdr:row>
      <xdr:rowOff>76200</xdr:rowOff>
    </xdr:to>
    <xdr:sp macro="" textlink="actTGPSABhpl">
      <xdr:nvSpPr>
        <xdr:cNvPr id="2210" name="Text 30"/>
        <xdr:cNvSpPr txBox="1">
          <a:spLocks noChangeArrowheads="1" noTextEdit="1"/>
        </xdr:cNvSpPr>
      </xdr:nvSpPr>
      <xdr:spPr bwMode="auto">
        <a:xfrm flipV="1">
          <a:off x="10828020" y="541020"/>
          <a:ext cx="457200" cy="12954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4CA1315-14A7-44AF-BDCF-525E0A81986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815340</xdr:colOff>
      <xdr:row>1</xdr:row>
      <xdr:rowOff>7620</xdr:rowOff>
    </xdr:from>
    <xdr:to>
      <xdr:col>12</xdr:col>
      <xdr:colOff>464820</xdr:colOff>
      <xdr:row>1</xdr:row>
      <xdr:rowOff>160020</xdr:rowOff>
    </xdr:to>
    <xdr:sp macro="" textlink="schTGPSABhpl">
      <xdr:nvSpPr>
        <xdr:cNvPr id="2211" name="Text 30"/>
        <xdr:cNvSpPr txBox="1">
          <a:spLocks noChangeArrowheads="1" noTextEdit="1"/>
        </xdr:cNvSpPr>
      </xdr:nvSpPr>
      <xdr:spPr bwMode="auto">
        <a:xfrm flipV="1">
          <a:off x="10828020" y="205740"/>
          <a:ext cx="47244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FA23088-D7C0-4D23-8794-4AB7D5AECC6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358140</xdr:colOff>
      <xdr:row>1</xdr:row>
      <xdr:rowOff>144780</xdr:rowOff>
    </xdr:from>
    <xdr:to>
      <xdr:col>12</xdr:col>
      <xdr:colOff>411480</xdr:colOff>
      <xdr:row>2</xdr:row>
      <xdr:rowOff>144780</xdr:rowOff>
    </xdr:to>
    <xdr:sp macro="" textlink="">
      <xdr:nvSpPr>
        <xdr:cNvPr id="2212" name="16179"/>
        <xdr:cNvSpPr>
          <a:spLocks noChangeArrowheads="1"/>
        </xdr:cNvSpPr>
      </xdr:nvSpPr>
      <xdr:spPr bwMode="auto">
        <a:xfrm>
          <a:off x="10370820" y="342900"/>
          <a:ext cx="87630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Sabine</a:t>
          </a:r>
        </a:p>
      </xdr:txBody>
    </xdr:sp>
    <xdr:clientData/>
  </xdr:twoCellAnchor>
  <xdr:twoCellAnchor editAs="absolute">
    <xdr:from>
      <xdr:col>11</xdr:col>
      <xdr:colOff>91440</xdr:colOff>
      <xdr:row>2</xdr:row>
      <xdr:rowOff>68580</xdr:rowOff>
    </xdr:from>
    <xdr:to>
      <xdr:col>11</xdr:col>
      <xdr:colOff>350520</xdr:colOff>
      <xdr:row>2</xdr:row>
      <xdr:rowOff>106680</xdr:rowOff>
    </xdr:to>
    <xdr:sp macro="" textlink="">
      <xdr:nvSpPr>
        <xdr:cNvPr id="2213" name="Line 165"/>
        <xdr:cNvSpPr>
          <a:spLocks noChangeShapeType="1"/>
        </xdr:cNvSpPr>
      </xdr:nvSpPr>
      <xdr:spPr bwMode="auto">
        <a:xfrm flipH="1">
          <a:off x="10104120" y="464820"/>
          <a:ext cx="25908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2</xdr:col>
      <xdr:colOff>685800</xdr:colOff>
      <xdr:row>0</xdr:row>
      <xdr:rowOff>38100</xdr:rowOff>
    </xdr:from>
    <xdr:to>
      <xdr:col>6</xdr:col>
      <xdr:colOff>449580</xdr:colOff>
      <xdr:row>9</xdr:row>
      <xdr:rowOff>38100</xdr:rowOff>
    </xdr:to>
    <xdr:sp macro="" textlink="">
      <xdr:nvSpPr>
        <xdr:cNvPr id="2214" name="26006"/>
        <xdr:cNvSpPr>
          <a:spLocks noChangeArrowheads="1"/>
        </xdr:cNvSpPr>
      </xdr:nvSpPr>
      <xdr:spPr bwMode="auto">
        <a:xfrm>
          <a:off x="3291840" y="38100"/>
          <a:ext cx="3055620" cy="1798320"/>
        </a:xfrm>
        <a:prstGeom prst="wedgeRoundRectCallout">
          <a:avLst>
            <a:gd name="adj1" fmla="val 82500"/>
            <a:gd name="adj2" fmla="val 32190"/>
            <a:gd name="adj3" fmla="val 16667"/>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53640926-AAD7-44D8-BBD7-CCE9431645EC}">
            <a14:shadowObscured xmlns:a14="http://schemas.microsoft.com/office/drawing/2010/main" val="1"/>
          </a:ext>
        </a:extLst>
      </xdr:spPr>
    </xdr:sp>
    <xdr:clientData/>
  </xdr:twoCellAnchor>
  <xdr:twoCellAnchor editAs="absolute">
    <xdr:from>
      <xdr:col>10</xdr:col>
      <xdr:colOff>198120</xdr:colOff>
      <xdr:row>4</xdr:row>
      <xdr:rowOff>83820</xdr:rowOff>
    </xdr:from>
    <xdr:to>
      <xdr:col>11</xdr:col>
      <xdr:colOff>182880</xdr:colOff>
      <xdr:row>5</xdr:row>
      <xdr:rowOff>83820</xdr:rowOff>
    </xdr:to>
    <xdr:sp macro="" textlink="">
      <xdr:nvSpPr>
        <xdr:cNvPr id="2215" name="26126"/>
        <xdr:cNvSpPr>
          <a:spLocks noChangeArrowheads="1"/>
        </xdr:cNvSpPr>
      </xdr:nvSpPr>
      <xdr:spPr bwMode="auto">
        <a:xfrm>
          <a:off x="9387840" y="876300"/>
          <a:ext cx="807720" cy="19812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Gulf States</a:t>
          </a:r>
        </a:p>
      </xdr:txBody>
    </xdr:sp>
    <xdr:clientData/>
  </xdr:twoCellAnchor>
  <xdr:twoCellAnchor editAs="absolute">
    <xdr:from>
      <xdr:col>6</xdr:col>
      <xdr:colOff>769620</xdr:colOff>
      <xdr:row>21</xdr:row>
      <xdr:rowOff>182880</xdr:rowOff>
    </xdr:from>
    <xdr:to>
      <xdr:col>7</xdr:col>
      <xdr:colOff>83820</xdr:colOff>
      <xdr:row>22</xdr:row>
      <xdr:rowOff>76200</xdr:rowOff>
    </xdr:to>
    <xdr:sp macro="" textlink="">
      <xdr:nvSpPr>
        <xdr:cNvPr id="2216" name="806A01"/>
        <xdr:cNvSpPr>
          <a:spLocks noChangeArrowheads="1"/>
        </xdr:cNvSpPr>
      </xdr:nvSpPr>
      <xdr:spPr bwMode="auto">
        <a:xfrm>
          <a:off x="6667500" y="4358640"/>
          <a:ext cx="137160" cy="9144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121920</xdr:colOff>
      <xdr:row>21</xdr:row>
      <xdr:rowOff>182880</xdr:rowOff>
    </xdr:from>
    <xdr:to>
      <xdr:col>7</xdr:col>
      <xdr:colOff>259080</xdr:colOff>
      <xdr:row>22</xdr:row>
      <xdr:rowOff>76200</xdr:rowOff>
    </xdr:to>
    <xdr:sp macro="" textlink="">
      <xdr:nvSpPr>
        <xdr:cNvPr id="2217" name="806A02"/>
        <xdr:cNvSpPr>
          <a:spLocks noChangeArrowheads="1"/>
        </xdr:cNvSpPr>
      </xdr:nvSpPr>
      <xdr:spPr bwMode="auto">
        <a:xfrm>
          <a:off x="6842760" y="4358640"/>
          <a:ext cx="137160" cy="9144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312420</xdr:colOff>
      <xdr:row>21</xdr:row>
      <xdr:rowOff>182880</xdr:rowOff>
    </xdr:from>
    <xdr:to>
      <xdr:col>7</xdr:col>
      <xdr:colOff>449580</xdr:colOff>
      <xdr:row>22</xdr:row>
      <xdr:rowOff>76200</xdr:rowOff>
    </xdr:to>
    <xdr:sp macro="" textlink="">
      <xdr:nvSpPr>
        <xdr:cNvPr id="2218" name="806A03"/>
        <xdr:cNvSpPr>
          <a:spLocks noChangeArrowheads="1"/>
        </xdr:cNvSpPr>
      </xdr:nvSpPr>
      <xdr:spPr bwMode="auto">
        <a:xfrm>
          <a:off x="7033260" y="4358640"/>
          <a:ext cx="137160" cy="91440"/>
        </a:xfrm>
        <a:prstGeom prst="ellipse">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213360</xdr:colOff>
      <xdr:row>23</xdr:row>
      <xdr:rowOff>144780</xdr:rowOff>
    </xdr:from>
    <xdr:to>
      <xdr:col>6</xdr:col>
      <xdr:colOff>358140</xdr:colOff>
      <xdr:row>24</xdr:row>
      <xdr:rowOff>30480</xdr:rowOff>
    </xdr:to>
    <xdr:sp macro="" textlink="">
      <xdr:nvSpPr>
        <xdr:cNvPr id="2219" name="804A01"/>
        <xdr:cNvSpPr>
          <a:spLocks noChangeArrowheads="1"/>
        </xdr:cNvSpPr>
      </xdr:nvSpPr>
      <xdr:spPr bwMode="auto">
        <a:xfrm>
          <a:off x="6111240" y="4716780"/>
          <a:ext cx="144780" cy="8382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403860</xdr:colOff>
      <xdr:row>23</xdr:row>
      <xdr:rowOff>144780</xdr:rowOff>
    </xdr:from>
    <xdr:to>
      <xdr:col>6</xdr:col>
      <xdr:colOff>533400</xdr:colOff>
      <xdr:row>24</xdr:row>
      <xdr:rowOff>30480</xdr:rowOff>
    </xdr:to>
    <xdr:sp macro="" textlink="">
      <xdr:nvSpPr>
        <xdr:cNvPr id="2220" name="804A02"/>
        <xdr:cNvSpPr>
          <a:spLocks noChangeArrowheads="1"/>
        </xdr:cNvSpPr>
      </xdr:nvSpPr>
      <xdr:spPr bwMode="auto">
        <a:xfrm>
          <a:off x="6301740" y="4716780"/>
          <a:ext cx="129540" cy="8382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259080</xdr:colOff>
      <xdr:row>3</xdr:row>
      <xdr:rowOff>76200</xdr:rowOff>
    </xdr:from>
    <xdr:to>
      <xdr:col>7</xdr:col>
      <xdr:colOff>685800</xdr:colOff>
      <xdr:row>4</xdr:row>
      <xdr:rowOff>30480</xdr:rowOff>
    </xdr:to>
    <xdr:sp macro="" textlink="_PD26114">
      <xdr:nvSpPr>
        <xdr:cNvPr id="2221" name="p26114d"/>
        <xdr:cNvSpPr txBox="1">
          <a:spLocks noChangeArrowheads="1" noTextEdit="1"/>
        </xdr:cNvSpPr>
      </xdr:nvSpPr>
      <xdr:spPr bwMode="auto">
        <a:xfrm>
          <a:off x="6979920" y="670560"/>
          <a:ext cx="42672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5325F033-F438-4297-AF58-26311B47766E}"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495300</xdr:colOff>
      <xdr:row>3</xdr:row>
      <xdr:rowOff>7620</xdr:rowOff>
    </xdr:from>
    <xdr:to>
      <xdr:col>11</xdr:col>
      <xdr:colOff>106680</xdr:colOff>
      <xdr:row>3</xdr:row>
      <xdr:rowOff>152400</xdr:rowOff>
    </xdr:to>
    <xdr:sp macro="" textlink="_PD26167">
      <xdr:nvSpPr>
        <xdr:cNvPr id="2222" name="p26167d"/>
        <xdr:cNvSpPr txBox="1">
          <a:spLocks noChangeArrowheads="1" noTextEdit="1"/>
        </xdr:cNvSpPr>
      </xdr:nvSpPr>
      <xdr:spPr bwMode="auto">
        <a:xfrm>
          <a:off x="9685020" y="601980"/>
          <a:ext cx="434340" cy="14478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952F056E-7A58-429A-B29D-2B59F1B987F9}"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563880</xdr:colOff>
      <xdr:row>26</xdr:row>
      <xdr:rowOff>68580</xdr:rowOff>
    </xdr:from>
    <xdr:to>
      <xdr:col>5</xdr:col>
      <xdr:colOff>198120</xdr:colOff>
      <xdr:row>27</xdr:row>
      <xdr:rowOff>0</xdr:rowOff>
    </xdr:to>
    <xdr:sp macro="" textlink="_PS802">
      <xdr:nvSpPr>
        <xdr:cNvPr id="2223" name="p802s"/>
        <xdr:cNvSpPr txBox="1">
          <a:spLocks noChangeArrowheads="1" noTextEdit="1"/>
        </xdr:cNvSpPr>
      </xdr:nvSpPr>
      <xdr:spPr bwMode="auto">
        <a:xfrm>
          <a:off x="4815840" y="5234940"/>
          <a:ext cx="457200" cy="12954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FFB664BC-E53D-4140-9465-3BB3EA326DD8}"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655320</xdr:colOff>
      <xdr:row>25</xdr:row>
      <xdr:rowOff>38100</xdr:rowOff>
    </xdr:from>
    <xdr:to>
      <xdr:col>6</xdr:col>
      <xdr:colOff>289560</xdr:colOff>
      <xdr:row>25</xdr:row>
      <xdr:rowOff>190500</xdr:rowOff>
    </xdr:to>
    <xdr:sp macro="" textlink="_PS804">
      <xdr:nvSpPr>
        <xdr:cNvPr id="2224" name="p804s"/>
        <xdr:cNvSpPr txBox="1">
          <a:spLocks noChangeArrowheads="1" noTextEdit="1"/>
        </xdr:cNvSpPr>
      </xdr:nvSpPr>
      <xdr:spPr bwMode="auto">
        <a:xfrm>
          <a:off x="5730240" y="5006340"/>
          <a:ext cx="4572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E521BF6A-C40B-43FA-ABBA-7FA0DE14F519}"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502920</xdr:colOff>
      <xdr:row>25</xdr:row>
      <xdr:rowOff>68580</xdr:rowOff>
    </xdr:from>
    <xdr:to>
      <xdr:col>7</xdr:col>
      <xdr:colOff>137160</xdr:colOff>
      <xdr:row>26</xdr:row>
      <xdr:rowOff>30480</xdr:rowOff>
    </xdr:to>
    <xdr:sp macro="" textlink="_PD804">
      <xdr:nvSpPr>
        <xdr:cNvPr id="2225" name="p804d"/>
        <xdr:cNvSpPr txBox="1">
          <a:spLocks noChangeArrowheads="1" noTextEdit="1"/>
        </xdr:cNvSpPr>
      </xdr:nvSpPr>
      <xdr:spPr bwMode="auto">
        <a:xfrm>
          <a:off x="6400800" y="5036820"/>
          <a:ext cx="457200" cy="16002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8719182C-918C-4DE4-857B-BB64097E7668}"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xdr:from>
      <xdr:col>10</xdr:col>
      <xdr:colOff>777240</xdr:colOff>
      <xdr:row>2</xdr:row>
      <xdr:rowOff>144780</xdr:rowOff>
    </xdr:from>
    <xdr:to>
      <xdr:col>12</xdr:col>
      <xdr:colOff>213360</xdr:colOff>
      <xdr:row>7</xdr:row>
      <xdr:rowOff>152400</xdr:rowOff>
    </xdr:to>
    <xdr:sp macro="" textlink="">
      <xdr:nvSpPr>
        <xdr:cNvPr id="2226" name="Line 178"/>
        <xdr:cNvSpPr>
          <a:spLocks noChangeShapeType="1"/>
        </xdr:cNvSpPr>
      </xdr:nvSpPr>
      <xdr:spPr bwMode="auto">
        <a:xfrm flipH="1" flipV="1">
          <a:off x="9966960" y="541020"/>
          <a:ext cx="1082040" cy="99822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815340</xdr:colOff>
      <xdr:row>17</xdr:row>
      <xdr:rowOff>7620</xdr:rowOff>
    </xdr:from>
    <xdr:to>
      <xdr:col>9</xdr:col>
      <xdr:colOff>464820</xdr:colOff>
      <xdr:row>17</xdr:row>
      <xdr:rowOff>182880</xdr:rowOff>
    </xdr:to>
    <xdr:sp macro="" textlink="_PS812">
      <xdr:nvSpPr>
        <xdr:cNvPr id="2227" name="p809s"/>
        <xdr:cNvSpPr txBox="1">
          <a:spLocks noChangeArrowheads="1" noTextEdit="1"/>
        </xdr:cNvSpPr>
      </xdr:nvSpPr>
      <xdr:spPr bwMode="auto">
        <a:xfrm>
          <a:off x="8359140" y="3390900"/>
          <a:ext cx="472440" cy="17526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680D0424-1A7F-4295-B566-3CAC8C01A26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731520</xdr:colOff>
      <xdr:row>17</xdr:row>
      <xdr:rowOff>30480</xdr:rowOff>
    </xdr:from>
    <xdr:to>
      <xdr:col>10</xdr:col>
      <xdr:colOff>373380</xdr:colOff>
      <xdr:row>17</xdr:row>
      <xdr:rowOff>182880</xdr:rowOff>
    </xdr:to>
    <xdr:sp macro="" textlink="_PD812">
      <xdr:nvSpPr>
        <xdr:cNvPr id="2228" name="p809s"/>
        <xdr:cNvSpPr txBox="1">
          <a:spLocks noChangeArrowheads="1" noTextEdit="1"/>
        </xdr:cNvSpPr>
      </xdr:nvSpPr>
      <xdr:spPr bwMode="auto">
        <a:xfrm>
          <a:off x="9098280" y="3413760"/>
          <a:ext cx="46482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DE4E2046-55B4-4872-8FFF-25F84A6B709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12</xdr:col>
      <xdr:colOff>0</xdr:colOff>
      <xdr:row>11</xdr:row>
      <xdr:rowOff>160020</xdr:rowOff>
    </xdr:from>
    <xdr:to>
      <xdr:col>12</xdr:col>
      <xdr:colOff>548640</xdr:colOff>
      <xdr:row>12</xdr:row>
      <xdr:rowOff>106680</xdr:rowOff>
    </xdr:to>
    <xdr:sp macro="" textlink="act816hpl">
      <xdr:nvSpPr>
        <xdr:cNvPr id="2229" name="Text 120"/>
        <xdr:cNvSpPr txBox="1">
          <a:spLocks noChangeArrowheads="1" noTextEdit="1"/>
        </xdr:cNvSpPr>
      </xdr:nvSpPr>
      <xdr:spPr bwMode="auto">
        <a:xfrm>
          <a:off x="10835640" y="2354580"/>
          <a:ext cx="5486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6AE0573-7293-4856-9374-BBD9D7AB1B5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7620</xdr:colOff>
      <xdr:row>10</xdr:row>
      <xdr:rowOff>30480</xdr:rowOff>
    </xdr:from>
    <xdr:to>
      <xdr:col>12</xdr:col>
      <xdr:colOff>533400</xdr:colOff>
      <xdr:row>10</xdr:row>
      <xdr:rowOff>190500</xdr:rowOff>
    </xdr:to>
    <xdr:sp macro="" textlink="sch816hpl">
      <xdr:nvSpPr>
        <xdr:cNvPr id="2230" name="Text 107"/>
        <xdr:cNvSpPr txBox="1">
          <a:spLocks noChangeArrowheads="1" noTextEdit="1"/>
        </xdr:cNvSpPr>
      </xdr:nvSpPr>
      <xdr:spPr bwMode="auto">
        <a:xfrm>
          <a:off x="10843260" y="2026920"/>
          <a:ext cx="52578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D4CBEAA-99B6-4F9E-BA08-DAC28C7B186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53340</xdr:colOff>
      <xdr:row>10</xdr:row>
      <xdr:rowOff>190500</xdr:rowOff>
    </xdr:from>
    <xdr:to>
      <xdr:col>12</xdr:col>
      <xdr:colOff>281940</xdr:colOff>
      <xdr:row>11</xdr:row>
      <xdr:rowOff>152400</xdr:rowOff>
    </xdr:to>
    <xdr:sp macro="" textlink="">
      <xdr:nvSpPr>
        <xdr:cNvPr id="2231" name="816"/>
        <xdr:cNvSpPr txBox="1">
          <a:spLocks noChangeArrowheads="1"/>
        </xdr:cNvSpPr>
      </xdr:nvSpPr>
      <xdr:spPr bwMode="auto">
        <a:xfrm>
          <a:off x="10888980" y="2186940"/>
          <a:ext cx="2286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816</a:t>
          </a:r>
        </a:p>
      </xdr:txBody>
    </xdr:sp>
    <xdr:clientData/>
  </xdr:twoCellAnchor>
  <xdr:twoCellAnchor editAs="absolute">
    <xdr:from>
      <xdr:col>8</xdr:col>
      <xdr:colOff>723900</xdr:colOff>
      <xdr:row>6</xdr:row>
      <xdr:rowOff>7620</xdr:rowOff>
    </xdr:from>
    <xdr:to>
      <xdr:col>8</xdr:col>
      <xdr:colOff>815340</xdr:colOff>
      <xdr:row>6</xdr:row>
      <xdr:rowOff>99060</xdr:rowOff>
    </xdr:to>
    <xdr:sp macro="" textlink="">
      <xdr:nvSpPr>
        <xdr:cNvPr id="2232" name="Rectangle 184"/>
        <xdr:cNvSpPr>
          <a:spLocks noChangeArrowheads="1"/>
        </xdr:cNvSpPr>
      </xdr:nvSpPr>
      <xdr:spPr bwMode="auto">
        <a:xfrm>
          <a:off x="8267700" y="119634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259080</xdr:colOff>
      <xdr:row>17</xdr:row>
      <xdr:rowOff>83820</xdr:rowOff>
    </xdr:from>
    <xdr:to>
      <xdr:col>7</xdr:col>
      <xdr:colOff>723900</xdr:colOff>
      <xdr:row>18</xdr:row>
      <xdr:rowOff>38100</xdr:rowOff>
    </xdr:to>
    <xdr:sp macro="" textlink="sch16247hpl">
      <xdr:nvSpPr>
        <xdr:cNvPr id="2233" name="Text 30"/>
        <xdr:cNvSpPr txBox="1">
          <a:spLocks noChangeArrowheads="1" noTextEdit="1"/>
        </xdr:cNvSpPr>
      </xdr:nvSpPr>
      <xdr:spPr bwMode="auto">
        <a:xfrm flipV="1">
          <a:off x="6979920" y="3467100"/>
          <a:ext cx="46482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67929AE-43BB-49BF-866A-D9DC32AD846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243840</xdr:colOff>
      <xdr:row>19</xdr:row>
      <xdr:rowOff>68580</xdr:rowOff>
    </xdr:from>
    <xdr:to>
      <xdr:col>7</xdr:col>
      <xdr:colOff>670560</xdr:colOff>
      <xdr:row>20</xdr:row>
      <xdr:rowOff>30480</xdr:rowOff>
    </xdr:to>
    <xdr:sp macro="" textlink="act16247hpl">
      <xdr:nvSpPr>
        <xdr:cNvPr id="2234" name="Text 30"/>
        <xdr:cNvSpPr txBox="1">
          <a:spLocks noChangeArrowheads="1" noTextEdit="1"/>
        </xdr:cNvSpPr>
      </xdr:nvSpPr>
      <xdr:spPr bwMode="auto">
        <a:xfrm flipV="1">
          <a:off x="6964680" y="3848100"/>
          <a:ext cx="426720" cy="16002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E39224F-F4B1-49DE-9611-A9ABC86515A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83820</xdr:colOff>
      <xdr:row>18</xdr:row>
      <xdr:rowOff>38100</xdr:rowOff>
    </xdr:from>
    <xdr:to>
      <xdr:col>8</xdr:col>
      <xdr:colOff>449580</xdr:colOff>
      <xdr:row>19</xdr:row>
      <xdr:rowOff>68580</xdr:rowOff>
    </xdr:to>
    <xdr:sp macro="" textlink="">
      <xdr:nvSpPr>
        <xdr:cNvPr id="2235" name="16247"/>
        <xdr:cNvSpPr>
          <a:spLocks noChangeArrowheads="1"/>
        </xdr:cNvSpPr>
      </xdr:nvSpPr>
      <xdr:spPr bwMode="auto">
        <a:xfrm>
          <a:off x="6804660" y="3619500"/>
          <a:ext cx="118872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Transco Markham</a:t>
          </a:r>
        </a:p>
      </xdr:txBody>
    </xdr:sp>
    <xdr:clientData/>
  </xdr:twoCellAnchor>
  <xdr:twoCellAnchor editAs="absolute">
    <xdr:from>
      <xdr:col>6</xdr:col>
      <xdr:colOff>83820</xdr:colOff>
      <xdr:row>15</xdr:row>
      <xdr:rowOff>38100</xdr:rowOff>
    </xdr:from>
    <xdr:to>
      <xdr:col>7</xdr:col>
      <xdr:colOff>91440</xdr:colOff>
      <xdr:row>18</xdr:row>
      <xdr:rowOff>106680</xdr:rowOff>
    </xdr:to>
    <xdr:sp macro="" textlink="">
      <xdr:nvSpPr>
        <xdr:cNvPr id="2236" name="Line 188"/>
        <xdr:cNvSpPr>
          <a:spLocks noChangeShapeType="1"/>
        </xdr:cNvSpPr>
      </xdr:nvSpPr>
      <xdr:spPr bwMode="auto">
        <a:xfrm flipH="1" flipV="1">
          <a:off x="5981700" y="3025140"/>
          <a:ext cx="830580" cy="6629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579120</xdr:colOff>
      <xdr:row>8</xdr:row>
      <xdr:rowOff>190500</xdr:rowOff>
    </xdr:from>
    <xdr:to>
      <xdr:col>7</xdr:col>
      <xdr:colOff>670560</xdr:colOff>
      <xdr:row>9</xdr:row>
      <xdr:rowOff>76200</xdr:rowOff>
    </xdr:to>
    <xdr:sp macro="" textlink="">
      <xdr:nvSpPr>
        <xdr:cNvPr id="2237" name="Rectangle 189"/>
        <xdr:cNvSpPr>
          <a:spLocks noChangeArrowheads="1"/>
        </xdr:cNvSpPr>
      </xdr:nvSpPr>
      <xdr:spPr bwMode="auto">
        <a:xfrm>
          <a:off x="7299960" y="1783080"/>
          <a:ext cx="9144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38100</xdr:colOff>
      <xdr:row>7</xdr:row>
      <xdr:rowOff>198120</xdr:rowOff>
    </xdr:from>
    <xdr:to>
      <xdr:col>8</xdr:col>
      <xdr:colOff>121920</xdr:colOff>
      <xdr:row>8</xdr:row>
      <xdr:rowOff>83820</xdr:rowOff>
    </xdr:to>
    <xdr:sp macro="" textlink="">
      <xdr:nvSpPr>
        <xdr:cNvPr id="2238" name="Rectangle 190"/>
        <xdr:cNvSpPr>
          <a:spLocks noChangeArrowheads="1"/>
        </xdr:cNvSpPr>
      </xdr:nvSpPr>
      <xdr:spPr bwMode="auto">
        <a:xfrm>
          <a:off x="7581900" y="1584960"/>
          <a:ext cx="83820" cy="9144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0</xdr:rowOff>
    </xdr:from>
    <xdr:to>
      <xdr:col>12</xdr:col>
      <xdr:colOff>502920</xdr:colOff>
      <xdr:row>1</xdr:row>
      <xdr:rowOff>30480</xdr:rowOff>
    </xdr:to>
    <xdr:sp macro="" textlink="">
      <xdr:nvSpPr>
        <xdr:cNvPr id="2239" name="Text 83"/>
        <xdr:cNvSpPr txBox="1">
          <a:spLocks noChangeArrowheads="1"/>
        </xdr:cNvSpPr>
      </xdr:nvSpPr>
      <xdr:spPr bwMode="auto">
        <a:xfrm>
          <a:off x="10149840" y="0"/>
          <a:ext cx="1188720" cy="2286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36576" rIns="45720" bIns="0" anchor="t" upright="1"/>
        <a:lstStyle/>
        <a:p>
          <a:pPr algn="r" rtl="0">
            <a:defRPr sz="1000"/>
          </a:pPr>
          <a:r>
            <a:rPr lang="en-US" sz="1600" b="1" i="1" u="none" strike="noStrike" baseline="0">
              <a:solidFill>
                <a:srgbClr val="000000"/>
              </a:solidFill>
              <a:latin typeface="Times New Roman"/>
              <a:cs typeface="Times New Roman"/>
            </a:rPr>
            <a:t>Louisiana</a:t>
          </a:r>
        </a:p>
      </xdr:txBody>
    </xdr:sp>
    <xdr:clientData/>
  </xdr:twoCellAnchor>
  <xdr:twoCellAnchor editAs="absolute">
    <xdr:from>
      <xdr:col>12</xdr:col>
      <xdr:colOff>121920</xdr:colOff>
      <xdr:row>8</xdr:row>
      <xdr:rowOff>137160</xdr:rowOff>
    </xdr:from>
    <xdr:to>
      <xdr:col>12</xdr:col>
      <xdr:colOff>670560</xdr:colOff>
      <xdr:row>9</xdr:row>
      <xdr:rowOff>76200</xdr:rowOff>
    </xdr:to>
    <xdr:sp macro="" textlink="act820hpl">
      <xdr:nvSpPr>
        <xdr:cNvPr id="2240" name="Text 120"/>
        <xdr:cNvSpPr txBox="1">
          <a:spLocks noChangeArrowheads="1" noTextEdit="1"/>
        </xdr:cNvSpPr>
      </xdr:nvSpPr>
      <xdr:spPr bwMode="auto">
        <a:xfrm>
          <a:off x="10957560" y="1729740"/>
          <a:ext cx="5486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9B0E393-44A5-43C6-BED3-D28BF742C56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266700</xdr:colOff>
      <xdr:row>7</xdr:row>
      <xdr:rowOff>182880</xdr:rowOff>
    </xdr:from>
    <xdr:to>
      <xdr:col>12</xdr:col>
      <xdr:colOff>518160</xdr:colOff>
      <xdr:row>8</xdr:row>
      <xdr:rowOff>144780</xdr:rowOff>
    </xdr:to>
    <xdr:sp macro="" textlink="">
      <xdr:nvSpPr>
        <xdr:cNvPr id="2241" name="820"/>
        <xdr:cNvSpPr txBox="1">
          <a:spLocks noChangeArrowheads="1"/>
        </xdr:cNvSpPr>
      </xdr:nvSpPr>
      <xdr:spPr bwMode="auto">
        <a:xfrm>
          <a:off x="11102340" y="1569720"/>
          <a:ext cx="2514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820</a:t>
          </a:r>
        </a:p>
      </xdr:txBody>
    </xdr:sp>
    <xdr:clientData/>
  </xdr:twoCellAnchor>
  <xdr:twoCellAnchor editAs="absolute">
    <xdr:from>
      <xdr:col>12</xdr:col>
      <xdr:colOff>403860</xdr:colOff>
      <xdr:row>1</xdr:row>
      <xdr:rowOff>190500</xdr:rowOff>
    </xdr:from>
    <xdr:to>
      <xdr:col>13</xdr:col>
      <xdr:colOff>0</xdr:colOff>
      <xdr:row>2</xdr:row>
      <xdr:rowOff>144780</xdr:rowOff>
    </xdr:to>
    <xdr:sp macro="" textlink="_PD26156">
      <xdr:nvSpPr>
        <xdr:cNvPr id="2242" name="p26156d"/>
        <xdr:cNvSpPr txBox="1">
          <a:spLocks noChangeArrowheads="1" noTextEdit="1"/>
        </xdr:cNvSpPr>
      </xdr:nvSpPr>
      <xdr:spPr bwMode="auto">
        <a:xfrm>
          <a:off x="11239500" y="388620"/>
          <a:ext cx="4191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0" bIns="0" anchor="t" upright="1"/>
        <a:lstStyle/>
        <a:p>
          <a:pPr algn="l" rtl="0">
            <a:defRPr sz="1000"/>
          </a:pPr>
          <a:fld id="{EA9C0C98-30E9-4BBE-AA02-97E9D056EF1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769620</xdr:colOff>
      <xdr:row>6</xdr:row>
      <xdr:rowOff>68580</xdr:rowOff>
    </xdr:from>
    <xdr:to>
      <xdr:col>12</xdr:col>
      <xdr:colOff>45720</xdr:colOff>
      <xdr:row>10</xdr:row>
      <xdr:rowOff>190500</xdr:rowOff>
    </xdr:to>
    <xdr:sp macro="" textlink="">
      <xdr:nvSpPr>
        <xdr:cNvPr id="2243" name="Line 195"/>
        <xdr:cNvSpPr>
          <a:spLocks noChangeShapeType="1"/>
        </xdr:cNvSpPr>
      </xdr:nvSpPr>
      <xdr:spPr bwMode="auto">
        <a:xfrm flipH="1" flipV="1">
          <a:off x="8313420" y="1257300"/>
          <a:ext cx="2567940" cy="92964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7620</xdr:colOff>
      <xdr:row>18</xdr:row>
      <xdr:rowOff>114300</xdr:rowOff>
    </xdr:from>
    <xdr:to>
      <xdr:col>9</xdr:col>
      <xdr:colOff>121920</xdr:colOff>
      <xdr:row>19</xdr:row>
      <xdr:rowOff>15240</xdr:rowOff>
    </xdr:to>
    <xdr:sp macro="" textlink="">
      <xdr:nvSpPr>
        <xdr:cNvPr id="2244" name="809A02"/>
        <xdr:cNvSpPr>
          <a:spLocks noChangeAspect="1" noChangeArrowheads="1"/>
        </xdr:cNvSpPr>
      </xdr:nvSpPr>
      <xdr:spPr bwMode="auto">
        <a:xfrm>
          <a:off x="8374380" y="3695700"/>
          <a:ext cx="114300" cy="99060"/>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167640</xdr:colOff>
      <xdr:row>18</xdr:row>
      <xdr:rowOff>114300</xdr:rowOff>
    </xdr:from>
    <xdr:to>
      <xdr:col>9</xdr:col>
      <xdr:colOff>289560</xdr:colOff>
      <xdr:row>19</xdr:row>
      <xdr:rowOff>15240</xdr:rowOff>
    </xdr:to>
    <xdr:sp macro="" textlink="">
      <xdr:nvSpPr>
        <xdr:cNvPr id="2245" name="809A03"/>
        <xdr:cNvSpPr>
          <a:spLocks noChangeAspect="1" noChangeArrowheads="1"/>
        </xdr:cNvSpPr>
      </xdr:nvSpPr>
      <xdr:spPr bwMode="auto">
        <a:xfrm>
          <a:off x="8534400" y="3695700"/>
          <a:ext cx="121920" cy="99060"/>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365760</xdr:colOff>
      <xdr:row>18</xdr:row>
      <xdr:rowOff>114300</xdr:rowOff>
    </xdr:from>
    <xdr:to>
      <xdr:col>9</xdr:col>
      <xdr:colOff>502920</xdr:colOff>
      <xdr:row>19</xdr:row>
      <xdr:rowOff>7620</xdr:rowOff>
    </xdr:to>
    <xdr:sp macro="" textlink="">
      <xdr:nvSpPr>
        <xdr:cNvPr id="2246" name="809B01"/>
        <xdr:cNvSpPr>
          <a:spLocks noChangeArrowheads="1"/>
        </xdr:cNvSpPr>
      </xdr:nvSpPr>
      <xdr:spPr bwMode="auto">
        <a:xfrm>
          <a:off x="8732520" y="3695700"/>
          <a:ext cx="137160" cy="9144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53340</xdr:colOff>
      <xdr:row>25</xdr:row>
      <xdr:rowOff>160020</xdr:rowOff>
    </xdr:from>
    <xdr:to>
      <xdr:col>1</xdr:col>
      <xdr:colOff>518160</xdr:colOff>
      <xdr:row>26</xdr:row>
      <xdr:rowOff>106680</xdr:rowOff>
    </xdr:to>
    <xdr:sp macro="" textlink="_PS800">
      <xdr:nvSpPr>
        <xdr:cNvPr id="2247" name="p800s"/>
        <xdr:cNvSpPr txBox="1">
          <a:spLocks noChangeArrowheads="1" noTextEdit="1"/>
        </xdr:cNvSpPr>
      </xdr:nvSpPr>
      <xdr:spPr bwMode="auto">
        <a:xfrm>
          <a:off x="1836420" y="5128260"/>
          <a:ext cx="464820" cy="14478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fld id="{7C45525D-077B-486A-B89E-76780555AA90}"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absolute">
        <xdr:from>
          <xdr:col>0</xdr:col>
          <xdr:colOff>121920</xdr:colOff>
          <xdr:row>6</xdr:row>
          <xdr:rowOff>182880</xdr:rowOff>
        </xdr:from>
        <xdr:to>
          <xdr:col>0</xdr:col>
          <xdr:colOff>1432560</xdr:colOff>
          <xdr:row>7</xdr:row>
          <xdr:rowOff>198120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16</xdr:row>
      <xdr:rowOff>7620</xdr:rowOff>
    </xdr:from>
    <xdr:to>
      <xdr:col>13</xdr:col>
      <xdr:colOff>350520</xdr:colOff>
      <xdr:row>40</xdr:row>
      <xdr:rowOff>38100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5</xdr:col>
          <xdr:colOff>83820</xdr:colOff>
          <xdr:row>0</xdr:row>
          <xdr:rowOff>144780</xdr:rowOff>
        </xdr:from>
        <xdr:to>
          <xdr:col>7</xdr:col>
          <xdr:colOff>472440</xdr:colOff>
          <xdr:row>1</xdr:row>
          <xdr:rowOff>106680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3</xdr:col>
      <xdr:colOff>1531620</xdr:colOff>
      <xdr:row>1</xdr:row>
      <xdr:rowOff>0</xdr:rowOff>
    </xdr:to>
    <xdr:pic>
      <xdr:nvPicPr>
        <xdr:cNvPr id="51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0"/>
          <a:ext cx="2811780" cy="4419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mc:AlternateContent xmlns:mc="http://schemas.openxmlformats.org/markup-compatibility/2006">
    <mc:Choice xmlns:a14="http://schemas.microsoft.com/office/drawing/2010/main" Requires="a14">
      <xdr:twoCellAnchor editAs="absolute">
        <xdr:from>
          <xdr:col>3</xdr:col>
          <xdr:colOff>1691640</xdr:colOff>
          <xdr:row>0</xdr:row>
          <xdr:rowOff>83820</xdr:rowOff>
        </xdr:from>
        <xdr:to>
          <xdr:col>6</xdr:col>
          <xdr:colOff>121920</xdr:colOff>
          <xdr:row>0</xdr:row>
          <xdr:rowOff>312420</xdr:rowOff>
        </xdr:to>
        <xdr:sp macro="" textlink="">
          <xdr:nvSpPr>
            <xdr:cNvPr id="5169" name="Check Box 49" hidden="1">
              <a:extLst>
                <a:ext uri="{63B3BB69-23CF-44E3-9099-C40C66FF867C}">
                  <a14:compatExt spid="_x0000_s5169"/>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nlwtch/channelwatch9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
      <sheetName val="HPL MAP"/>
      <sheetName val="Summary"/>
      <sheetName val="cig_out"/>
      <sheetName val="Cigsch"/>
      <sheetName val="System Detail"/>
      <sheetName val="AS Line Pack (MCF)"/>
      <sheetName val="Poms Data"/>
      <sheetName val="Extracts"/>
      <sheetName val="Winflow data"/>
    </sheetNames>
    <definedNames>
      <definedName name="siteclickloc"/>
    </definedNames>
    <sheetDataSet>
      <sheetData sheetId="0"/>
      <sheetData sheetId="1"/>
      <sheetData sheetId="2">
        <row r="17">
          <cell r="D17" t="str">
            <v>MIN</v>
          </cell>
        </row>
        <row r="18">
          <cell r="B18">
            <v>800</v>
          </cell>
          <cell r="C18">
            <v>823.84533699999997</v>
          </cell>
          <cell r="D18">
            <v>750</v>
          </cell>
          <cell r="E18">
            <v>925</v>
          </cell>
        </row>
        <row r="19">
          <cell r="B19" t="str">
            <v>Suct 802</v>
          </cell>
          <cell r="C19">
            <v>786.78839100000005</v>
          </cell>
          <cell r="D19">
            <v>750</v>
          </cell>
          <cell r="E19">
            <v>936</v>
          </cell>
        </row>
        <row r="20">
          <cell r="B20" t="str">
            <v>Disch 802</v>
          </cell>
          <cell r="C20">
            <v>787.05694600000004</v>
          </cell>
          <cell r="E20">
            <v>936</v>
          </cell>
        </row>
        <row r="21">
          <cell r="B21" t="str">
            <v>Suct 804</v>
          </cell>
          <cell r="C21">
            <v>738</v>
          </cell>
          <cell r="E21">
            <v>936</v>
          </cell>
        </row>
        <row r="22">
          <cell r="B22" t="str">
            <v>Disch 804</v>
          </cell>
          <cell r="C22">
            <v>736</v>
          </cell>
          <cell r="D22">
            <v>600</v>
          </cell>
          <cell r="E22">
            <v>936</v>
          </cell>
        </row>
        <row r="23">
          <cell r="B23" t="str">
            <v>Suct 806</v>
          </cell>
          <cell r="C23">
            <v>699.99401899999998</v>
          </cell>
          <cell r="D23">
            <v>600</v>
          </cell>
          <cell r="E23">
            <v>936</v>
          </cell>
        </row>
        <row r="24">
          <cell r="B24" t="str">
            <v>Disch 806</v>
          </cell>
          <cell r="C24">
            <v>888.78698699999995</v>
          </cell>
          <cell r="E24">
            <v>926</v>
          </cell>
        </row>
        <row r="25">
          <cell r="B25" t="str">
            <v>Bless</v>
          </cell>
          <cell r="C25">
            <v>843.25457800000004</v>
          </cell>
          <cell r="E25">
            <v>926</v>
          </cell>
        </row>
        <row r="26">
          <cell r="B26" t="str">
            <v>Suct 809</v>
          </cell>
          <cell r="C26">
            <v>806.078979</v>
          </cell>
          <cell r="E26">
            <v>926</v>
          </cell>
        </row>
        <row r="27">
          <cell r="B27" t="str">
            <v>Disch 809</v>
          </cell>
          <cell r="C27">
            <v>803.942993</v>
          </cell>
          <cell r="E27">
            <v>936</v>
          </cell>
        </row>
        <row r="28">
          <cell r="B28" t="str">
            <v>Suct 8121A</v>
          </cell>
          <cell r="C28">
            <v>729.591858</v>
          </cell>
          <cell r="E28">
            <v>936</v>
          </cell>
        </row>
        <row r="29">
          <cell r="B29" t="str">
            <v>Disch 8121A</v>
          </cell>
          <cell r="C29">
            <v>722.07299799999998</v>
          </cell>
          <cell r="E29">
            <v>936</v>
          </cell>
        </row>
        <row r="30">
          <cell r="B30" t="str">
            <v>Disch 812</v>
          </cell>
          <cell r="C30">
            <v>719.11926300000005</v>
          </cell>
          <cell r="E30">
            <v>936</v>
          </cell>
        </row>
        <row r="31">
          <cell r="B31">
            <v>813</v>
          </cell>
          <cell r="C31">
            <v>703.54455600000006</v>
          </cell>
          <cell r="E31">
            <v>715</v>
          </cell>
        </row>
        <row r="32">
          <cell r="B32">
            <v>814.1</v>
          </cell>
          <cell r="C32">
            <v>632.78735400000005</v>
          </cell>
          <cell r="D32">
            <v>535</v>
          </cell>
          <cell r="E32">
            <v>715</v>
          </cell>
        </row>
        <row r="33">
          <cell r="B33">
            <v>820</v>
          </cell>
          <cell r="C33">
            <v>634.80127000000005</v>
          </cell>
          <cell r="D33">
            <v>530</v>
          </cell>
          <cell r="E33">
            <v>936</v>
          </cell>
        </row>
      </sheetData>
      <sheetData sheetId="3">
        <row r="1">
          <cell r="A1" t="str">
            <v>Meter</v>
          </cell>
          <cell r="C1" t="str">
            <v>Value</v>
          </cell>
          <cell r="E1" t="str">
            <v>Data</v>
          </cell>
          <cell r="G1" t="str">
            <v>Time</v>
          </cell>
          <cell r="H1" t="str">
            <v>Type</v>
          </cell>
        </row>
        <row r="2">
          <cell r="A2">
            <v>6101</v>
          </cell>
          <cell r="B2" t="e">
            <v>#NAME?</v>
          </cell>
          <cell r="C2">
            <v>0</v>
          </cell>
          <cell r="D2" t="str">
            <v xml:space="preserve">  MCFD</v>
          </cell>
          <cell r="E2" t="str">
            <v>UNAV</v>
          </cell>
          <cell r="F2" t="str">
            <v xml:space="preserve"> S</v>
          </cell>
          <cell r="G2">
            <v>36796.261805555558</v>
          </cell>
          <cell r="H2" t="str">
            <v>VOLR</v>
          </cell>
        </row>
        <row r="3">
          <cell r="A3">
            <v>6148</v>
          </cell>
          <cell r="B3" t="e">
            <v>#NAME?</v>
          </cell>
          <cell r="C3">
            <v>0</v>
          </cell>
          <cell r="D3" t="str">
            <v xml:space="preserve">  MCFD</v>
          </cell>
          <cell r="E3" t="str">
            <v xml:space="preserve">    </v>
          </cell>
          <cell r="F3" t="str">
            <v xml:space="preserve"> S</v>
          </cell>
          <cell r="G3">
            <v>36796.260416666664</v>
          </cell>
          <cell r="H3" t="str">
            <v>VOLR</v>
          </cell>
        </row>
        <row r="4">
          <cell r="A4">
            <v>16001</v>
          </cell>
          <cell r="B4" t="e">
            <v>#NAME?</v>
          </cell>
          <cell r="C4">
            <v>0</v>
          </cell>
          <cell r="D4" t="str">
            <v xml:space="preserve">  MCFD</v>
          </cell>
          <cell r="E4" t="str">
            <v>UNAV</v>
          </cell>
          <cell r="F4" t="str">
            <v xml:space="preserve"> S</v>
          </cell>
          <cell r="G4">
            <v>36796.261805555558</v>
          </cell>
          <cell r="H4" t="str">
            <v>VOLR</v>
          </cell>
        </row>
        <row r="5">
          <cell r="A5">
            <v>16016</v>
          </cell>
          <cell r="B5" t="e">
            <v>#NAME?</v>
          </cell>
          <cell r="C5">
            <v>0</v>
          </cell>
          <cell r="D5" t="str">
            <v xml:space="preserve">  MCFD</v>
          </cell>
          <cell r="E5" t="str">
            <v>UNAV</v>
          </cell>
          <cell r="F5" t="str">
            <v xml:space="preserve"> S</v>
          </cell>
          <cell r="G5">
            <v>36796.261805555558</v>
          </cell>
          <cell r="H5" t="str">
            <v>VOLR</v>
          </cell>
        </row>
        <row r="6">
          <cell r="A6">
            <v>16032</v>
          </cell>
          <cell r="B6" t="e">
            <v>#NAME?</v>
          </cell>
          <cell r="C6">
            <v>117948</v>
          </cell>
          <cell r="D6" t="str">
            <v xml:space="preserve">  MCFD</v>
          </cell>
          <cell r="E6" t="str">
            <v xml:space="preserve">    </v>
          </cell>
          <cell r="F6" t="str">
            <v xml:space="preserve"> S</v>
          </cell>
          <cell r="G6">
            <v>36796.255555555559</v>
          </cell>
          <cell r="H6" t="str">
            <v>VOLR</v>
          </cell>
        </row>
        <row r="7">
          <cell r="A7">
            <v>16036</v>
          </cell>
          <cell r="B7" t="e">
            <v>#NAME?</v>
          </cell>
          <cell r="C7">
            <v>22521</v>
          </cell>
          <cell r="D7" t="str">
            <v xml:space="preserve">  MCFD</v>
          </cell>
          <cell r="E7" t="str">
            <v xml:space="preserve">    </v>
          </cell>
          <cell r="F7" t="str">
            <v xml:space="preserve"> S</v>
          </cell>
          <cell r="G7">
            <v>36796.256249999999</v>
          </cell>
          <cell r="H7" t="str">
            <v>VOLR</v>
          </cell>
        </row>
        <row r="8">
          <cell r="A8">
            <v>16038</v>
          </cell>
          <cell r="B8" t="e">
            <v>#NAME?</v>
          </cell>
          <cell r="C8">
            <v>0</v>
          </cell>
          <cell r="D8" t="str">
            <v xml:space="preserve">  MCFD</v>
          </cell>
          <cell r="E8" t="str">
            <v>UNAV</v>
          </cell>
          <cell r="F8" t="str">
            <v xml:space="preserve"> S</v>
          </cell>
          <cell r="G8">
            <v>36796.261805555558</v>
          </cell>
          <cell r="H8" t="str">
            <v>VOLR</v>
          </cell>
        </row>
        <row r="9">
          <cell r="A9">
            <v>16039</v>
          </cell>
          <cell r="B9" t="e">
            <v>#NAME?</v>
          </cell>
          <cell r="C9">
            <v>0</v>
          </cell>
          <cell r="D9" t="str">
            <v xml:space="preserve">  MCFD</v>
          </cell>
          <cell r="E9" t="str">
            <v>UNAV</v>
          </cell>
          <cell r="F9" t="str">
            <v xml:space="preserve"> S</v>
          </cell>
          <cell r="G9">
            <v>36796.261805555558</v>
          </cell>
          <cell r="H9" t="str">
            <v>VOLR</v>
          </cell>
        </row>
        <row r="10">
          <cell r="A10">
            <v>16047</v>
          </cell>
          <cell r="B10" t="e">
            <v>#NAME?</v>
          </cell>
          <cell r="C10">
            <v>0</v>
          </cell>
          <cell r="D10" t="str">
            <v xml:space="preserve">  MCFD</v>
          </cell>
          <cell r="E10" t="str">
            <v>UNAV</v>
          </cell>
          <cell r="F10" t="str">
            <v xml:space="preserve"> S</v>
          </cell>
          <cell r="G10">
            <v>36796.261805555558</v>
          </cell>
          <cell r="H10" t="str">
            <v>VOLR</v>
          </cell>
        </row>
        <row r="11">
          <cell r="A11">
            <v>16055</v>
          </cell>
          <cell r="B11" t="e">
            <v>#NAME?</v>
          </cell>
          <cell r="C11">
            <v>3218</v>
          </cell>
          <cell r="D11" t="str">
            <v xml:space="preserve">  MCFD</v>
          </cell>
          <cell r="E11" t="str">
            <v xml:space="preserve">    </v>
          </cell>
          <cell r="F11" t="str">
            <v xml:space="preserve"> S</v>
          </cell>
          <cell r="G11">
            <v>36796.256249999999</v>
          </cell>
          <cell r="H11" t="str">
            <v>VOLR</v>
          </cell>
        </row>
        <row r="12">
          <cell r="A12">
            <v>16057</v>
          </cell>
          <cell r="B12" t="e">
            <v>#NAME?</v>
          </cell>
          <cell r="C12">
            <v>0</v>
          </cell>
          <cell r="D12" t="str">
            <v xml:space="preserve">  MCFD</v>
          </cell>
          <cell r="E12" t="str">
            <v>UNAV</v>
          </cell>
          <cell r="F12" t="str">
            <v xml:space="preserve"> S</v>
          </cell>
          <cell r="G12">
            <v>36796.261805555558</v>
          </cell>
          <cell r="H12" t="str">
            <v>VOLR</v>
          </cell>
        </row>
        <row r="13">
          <cell r="A13">
            <v>16058</v>
          </cell>
          <cell r="B13" t="e">
            <v>#NAME?</v>
          </cell>
          <cell r="C13">
            <v>42011</v>
          </cell>
          <cell r="D13" t="str">
            <v xml:space="preserve">  MCFD</v>
          </cell>
          <cell r="E13" t="str">
            <v xml:space="preserve">    </v>
          </cell>
          <cell r="F13" t="str">
            <v xml:space="preserve"> S</v>
          </cell>
          <cell r="G13">
            <v>36796.255555555559</v>
          </cell>
          <cell r="H13" t="str">
            <v>VOLR</v>
          </cell>
        </row>
        <row r="14">
          <cell r="A14">
            <v>16059</v>
          </cell>
          <cell r="B14" t="e">
            <v>#NAME?</v>
          </cell>
          <cell r="C14">
            <v>0</v>
          </cell>
          <cell r="D14" t="str">
            <v xml:space="preserve">  MCFD</v>
          </cell>
          <cell r="E14" t="str">
            <v xml:space="preserve">    </v>
          </cell>
          <cell r="F14" t="str">
            <v xml:space="preserve"> S</v>
          </cell>
          <cell r="G14">
            <v>36796.255555555559</v>
          </cell>
          <cell r="H14" t="str">
            <v>VOLR</v>
          </cell>
        </row>
        <row r="15">
          <cell r="A15">
            <v>16064</v>
          </cell>
          <cell r="B15" t="e">
            <v>#NAME?</v>
          </cell>
          <cell r="C15">
            <v>0</v>
          </cell>
          <cell r="D15" t="str">
            <v xml:space="preserve">  MCFD</v>
          </cell>
          <cell r="E15" t="str">
            <v>UNAV</v>
          </cell>
          <cell r="F15" t="str">
            <v xml:space="preserve"> S</v>
          </cell>
          <cell r="G15">
            <v>36796.261805555558</v>
          </cell>
          <cell r="H15" t="str">
            <v>VOLR</v>
          </cell>
        </row>
        <row r="16">
          <cell r="A16">
            <v>16066</v>
          </cell>
          <cell r="B16" t="e">
            <v>#NAME?</v>
          </cell>
          <cell r="C16">
            <v>27970</v>
          </cell>
          <cell r="D16" t="str">
            <v xml:space="preserve">  MCFD</v>
          </cell>
          <cell r="E16" t="str">
            <v xml:space="preserve">    </v>
          </cell>
          <cell r="F16" t="str">
            <v xml:space="preserve"> S</v>
          </cell>
          <cell r="G16">
            <v>36796.261111111111</v>
          </cell>
          <cell r="H16" t="str">
            <v>VOLR</v>
          </cell>
        </row>
        <row r="17">
          <cell r="A17">
            <v>16068</v>
          </cell>
          <cell r="B17" t="e">
            <v>#NAME?</v>
          </cell>
          <cell r="C17">
            <v>0</v>
          </cell>
          <cell r="D17" t="str">
            <v xml:space="preserve">  MCFD</v>
          </cell>
          <cell r="E17" t="str">
            <v xml:space="preserve">    </v>
          </cell>
          <cell r="F17" t="str">
            <v xml:space="preserve"> S</v>
          </cell>
          <cell r="G17">
            <v>36796.254166666666</v>
          </cell>
          <cell r="H17" t="str">
            <v>VOLR</v>
          </cell>
        </row>
        <row r="18">
          <cell r="A18">
            <v>16069</v>
          </cell>
          <cell r="B18" t="e">
            <v>#NAME?</v>
          </cell>
          <cell r="C18">
            <v>0</v>
          </cell>
          <cell r="D18" t="str">
            <v xml:space="preserve">  MCFD</v>
          </cell>
          <cell r="E18" t="str">
            <v xml:space="preserve">    </v>
          </cell>
          <cell r="F18" t="str">
            <v xml:space="preserve"> S</v>
          </cell>
          <cell r="G18">
            <v>36796.255555555559</v>
          </cell>
          <cell r="H18" t="str">
            <v>VOLR</v>
          </cell>
        </row>
        <row r="19">
          <cell r="A19">
            <v>16070</v>
          </cell>
          <cell r="B19" t="e">
            <v>#NAME?</v>
          </cell>
          <cell r="C19">
            <v>0</v>
          </cell>
          <cell r="D19" t="str">
            <v xml:space="preserve">  MCFD</v>
          </cell>
          <cell r="E19" t="str">
            <v>UNAV</v>
          </cell>
          <cell r="F19" t="str">
            <v xml:space="preserve"> S</v>
          </cell>
          <cell r="G19">
            <v>36796.261805555558</v>
          </cell>
          <cell r="H19" t="str">
            <v>VOLR</v>
          </cell>
        </row>
        <row r="20">
          <cell r="A20">
            <v>16073</v>
          </cell>
          <cell r="B20" t="e">
            <v>#NAME?</v>
          </cell>
          <cell r="C20">
            <v>0</v>
          </cell>
          <cell r="D20" t="str">
            <v xml:space="preserve">  MCFD</v>
          </cell>
          <cell r="E20" t="str">
            <v>UNAV</v>
          </cell>
          <cell r="F20" t="str">
            <v xml:space="preserve"> S</v>
          </cell>
          <cell r="G20">
            <v>36796.261805555558</v>
          </cell>
          <cell r="H20" t="str">
            <v>VOLR</v>
          </cell>
        </row>
        <row r="21">
          <cell r="A21">
            <v>16078</v>
          </cell>
          <cell r="B21" t="e">
            <v>#NAME?</v>
          </cell>
          <cell r="C21">
            <v>0</v>
          </cell>
          <cell r="D21" t="str">
            <v xml:space="preserve">  MCFD</v>
          </cell>
          <cell r="E21" t="str">
            <v>UNAV</v>
          </cell>
          <cell r="F21" t="str">
            <v xml:space="preserve"> S</v>
          </cell>
          <cell r="G21">
            <v>36796.261805555558</v>
          </cell>
          <cell r="H21" t="str">
            <v>VOLR</v>
          </cell>
        </row>
        <row r="22">
          <cell r="A22">
            <v>16080</v>
          </cell>
          <cell r="B22" t="e">
            <v>#NAME?</v>
          </cell>
          <cell r="C22">
            <v>0</v>
          </cell>
          <cell r="D22" t="str">
            <v xml:space="preserve">  MCFD</v>
          </cell>
          <cell r="E22" t="str">
            <v>UNAV</v>
          </cell>
          <cell r="F22" t="str">
            <v xml:space="preserve"> S</v>
          </cell>
          <cell r="G22">
            <v>36796.261805555558</v>
          </cell>
          <cell r="H22" t="str">
            <v>VOLR</v>
          </cell>
        </row>
        <row r="23">
          <cell r="A23">
            <v>16083</v>
          </cell>
          <cell r="B23" t="e">
            <v>#NAME?</v>
          </cell>
          <cell r="C23">
            <v>0</v>
          </cell>
          <cell r="D23" t="str">
            <v xml:space="preserve">  MCFD</v>
          </cell>
          <cell r="E23" t="str">
            <v>UNAV</v>
          </cell>
          <cell r="F23" t="str">
            <v xml:space="preserve"> S</v>
          </cell>
          <cell r="G23">
            <v>36796.261805555558</v>
          </cell>
          <cell r="H23" t="str">
            <v>VOLR</v>
          </cell>
        </row>
        <row r="24">
          <cell r="A24">
            <v>16087</v>
          </cell>
          <cell r="B24" t="e">
            <v>#NAME?</v>
          </cell>
          <cell r="C24">
            <v>0</v>
          </cell>
          <cell r="D24" t="str">
            <v xml:space="preserve">  MCFD</v>
          </cell>
          <cell r="E24" t="str">
            <v>UNAV</v>
          </cell>
          <cell r="F24" t="str">
            <v xml:space="preserve"> S</v>
          </cell>
          <cell r="G24">
            <v>36796.261805555558</v>
          </cell>
          <cell r="H24" t="str">
            <v>VOLR</v>
          </cell>
        </row>
        <row r="25">
          <cell r="A25">
            <v>16088</v>
          </cell>
          <cell r="B25" t="e">
            <v>#NAME?</v>
          </cell>
          <cell r="C25">
            <v>64012</v>
          </cell>
          <cell r="D25" t="str">
            <v xml:space="preserve">  MCFD</v>
          </cell>
          <cell r="E25" t="str">
            <v xml:space="preserve">    </v>
          </cell>
          <cell r="F25" t="str">
            <v xml:space="preserve"> S</v>
          </cell>
          <cell r="G25">
            <v>36796.259722222225</v>
          </cell>
          <cell r="H25" t="str">
            <v>VOLR</v>
          </cell>
        </row>
        <row r="26">
          <cell r="A26">
            <v>16092</v>
          </cell>
          <cell r="B26" t="e">
            <v>#NAME?</v>
          </cell>
          <cell r="C26">
            <v>0</v>
          </cell>
          <cell r="D26" t="str">
            <v xml:space="preserve">  MCFD</v>
          </cell>
          <cell r="E26" t="str">
            <v>UNAV</v>
          </cell>
          <cell r="F26" t="str">
            <v xml:space="preserve"> S</v>
          </cell>
          <cell r="G26">
            <v>36796.261805555558</v>
          </cell>
          <cell r="H26" t="str">
            <v>VOLR</v>
          </cell>
        </row>
        <row r="27">
          <cell r="A27">
            <v>16094</v>
          </cell>
          <cell r="B27" t="e">
            <v>#NAME?</v>
          </cell>
          <cell r="C27">
            <v>0</v>
          </cell>
          <cell r="D27" t="str">
            <v xml:space="preserve">  MCFD</v>
          </cell>
          <cell r="E27" t="str">
            <v>UNAV</v>
          </cell>
          <cell r="F27" t="str">
            <v xml:space="preserve"> S</v>
          </cell>
          <cell r="G27">
            <v>36796.261805555558</v>
          </cell>
          <cell r="H27" t="str">
            <v>VOLR</v>
          </cell>
        </row>
        <row r="28">
          <cell r="A28">
            <v>16098</v>
          </cell>
          <cell r="B28" t="e">
            <v>#NAME?</v>
          </cell>
          <cell r="C28">
            <v>0</v>
          </cell>
          <cell r="D28" t="str">
            <v xml:space="preserve">  MCFD</v>
          </cell>
          <cell r="E28" t="str">
            <v>UNAV</v>
          </cell>
          <cell r="F28" t="str">
            <v xml:space="preserve"> S</v>
          </cell>
          <cell r="G28">
            <v>36796.261805555558</v>
          </cell>
          <cell r="H28" t="str">
            <v>VOLR</v>
          </cell>
        </row>
        <row r="29">
          <cell r="A29">
            <v>16104</v>
          </cell>
          <cell r="B29" t="e">
            <v>#NAME?</v>
          </cell>
          <cell r="C29">
            <v>0</v>
          </cell>
          <cell r="D29" t="str">
            <v xml:space="preserve">  MCFD</v>
          </cell>
          <cell r="E29" t="str">
            <v>UNAV</v>
          </cell>
          <cell r="F29" t="str">
            <v xml:space="preserve"> S</v>
          </cell>
          <cell r="G29">
            <v>36796.261805555558</v>
          </cell>
          <cell r="H29" t="str">
            <v>VOLR</v>
          </cell>
        </row>
        <row r="30">
          <cell r="A30">
            <v>16105</v>
          </cell>
          <cell r="B30" t="e">
            <v>#NAME?</v>
          </cell>
          <cell r="C30">
            <v>0</v>
          </cell>
          <cell r="D30" t="str">
            <v xml:space="preserve">  MCFD</v>
          </cell>
          <cell r="E30" t="str">
            <v>UNAV</v>
          </cell>
          <cell r="F30" t="str">
            <v xml:space="preserve"> S</v>
          </cell>
          <cell r="G30">
            <v>36796.261805555558</v>
          </cell>
          <cell r="H30" t="str">
            <v>VOLR</v>
          </cell>
        </row>
        <row r="31">
          <cell r="A31">
            <v>16107</v>
          </cell>
          <cell r="B31" t="e">
            <v>#NAME?</v>
          </cell>
          <cell r="C31">
            <v>0</v>
          </cell>
          <cell r="D31" t="str">
            <v xml:space="preserve">  MCFD</v>
          </cell>
          <cell r="E31" t="str">
            <v>UNAV</v>
          </cell>
          <cell r="F31" t="str">
            <v xml:space="preserve"> S</v>
          </cell>
          <cell r="G31">
            <v>36796.261805555558</v>
          </cell>
          <cell r="H31" t="str">
            <v>VOLR</v>
          </cell>
        </row>
        <row r="32">
          <cell r="A32">
            <v>16108</v>
          </cell>
          <cell r="B32" t="e">
            <v>#NAME?</v>
          </cell>
          <cell r="C32">
            <v>0</v>
          </cell>
          <cell r="D32" t="str">
            <v xml:space="preserve">  MCFD</v>
          </cell>
          <cell r="E32" t="str">
            <v>UNAV</v>
          </cell>
          <cell r="F32" t="str">
            <v xml:space="preserve"> S</v>
          </cell>
          <cell r="G32">
            <v>36796.261805555558</v>
          </cell>
          <cell r="H32" t="str">
            <v>VOLR</v>
          </cell>
        </row>
        <row r="33">
          <cell r="A33">
            <v>16109</v>
          </cell>
          <cell r="B33" t="e">
            <v>#NAME?</v>
          </cell>
          <cell r="C33">
            <v>0</v>
          </cell>
          <cell r="D33" t="str">
            <v xml:space="preserve">  MCFD</v>
          </cell>
          <cell r="E33" t="str">
            <v>UNAV</v>
          </cell>
          <cell r="F33" t="str">
            <v xml:space="preserve"> S</v>
          </cell>
          <cell r="G33">
            <v>36796.261805555558</v>
          </cell>
          <cell r="H33" t="str">
            <v>VOLR</v>
          </cell>
        </row>
        <row r="34">
          <cell r="A34">
            <v>16112</v>
          </cell>
          <cell r="B34" t="e">
            <v>#NAME?</v>
          </cell>
          <cell r="C34">
            <v>0</v>
          </cell>
          <cell r="D34" t="str">
            <v xml:space="preserve">  MCFD</v>
          </cell>
          <cell r="E34" t="str">
            <v>UNAV</v>
          </cell>
          <cell r="F34" t="str">
            <v xml:space="preserve"> S</v>
          </cell>
          <cell r="G34">
            <v>36796.261805555558</v>
          </cell>
          <cell r="H34" t="str">
            <v>VOLR</v>
          </cell>
        </row>
        <row r="35">
          <cell r="A35">
            <v>16114</v>
          </cell>
          <cell r="B35" t="e">
            <v>#NAME?</v>
          </cell>
          <cell r="C35">
            <v>0</v>
          </cell>
          <cell r="D35" t="str">
            <v xml:space="preserve">  MCFD</v>
          </cell>
          <cell r="E35" t="str">
            <v>UNAV</v>
          </cell>
          <cell r="F35" t="str">
            <v xml:space="preserve"> S</v>
          </cell>
          <cell r="G35">
            <v>36796.261805555558</v>
          </cell>
          <cell r="H35" t="str">
            <v>VOLR</v>
          </cell>
        </row>
        <row r="36">
          <cell r="A36">
            <v>16119</v>
          </cell>
          <cell r="B36" t="e">
            <v>#NAME?</v>
          </cell>
          <cell r="C36">
            <v>0</v>
          </cell>
          <cell r="D36" t="str">
            <v xml:space="preserve">  MCFD</v>
          </cell>
          <cell r="E36" t="str">
            <v>UNAV</v>
          </cell>
          <cell r="F36" t="str">
            <v xml:space="preserve"> S</v>
          </cell>
          <cell r="G36">
            <v>36796.261805555558</v>
          </cell>
          <cell r="H36" t="str">
            <v>VOLR</v>
          </cell>
        </row>
        <row r="37">
          <cell r="A37">
            <v>16122</v>
          </cell>
          <cell r="B37" t="e">
            <v>#NAME?</v>
          </cell>
          <cell r="C37">
            <v>0</v>
          </cell>
          <cell r="D37" t="str">
            <v xml:space="preserve">  MCFD</v>
          </cell>
          <cell r="E37" t="str">
            <v>UNAV</v>
          </cell>
          <cell r="F37" t="str">
            <v xml:space="preserve"> S</v>
          </cell>
          <cell r="G37">
            <v>36796.261805555558</v>
          </cell>
          <cell r="H37" t="str">
            <v>VOLR</v>
          </cell>
        </row>
        <row r="38">
          <cell r="A38">
            <v>16124</v>
          </cell>
          <cell r="B38" t="e">
            <v>#NAME?</v>
          </cell>
          <cell r="C38">
            <v>0</v>
          </cell>
          <cell r="D38" t="str">
            <v xml:space="preserve">  MCFD</v>
          </cell>
          <cell r="E38" t="str">
            <v>UNAV</v>
          </cell>
          <cell r="F38" t="str">
            <v xml:space="preserve"> S</v>
          </cell>
          <cell r="G38">
            <v>36796.261805555558</v>
          </cell>
          <cell r="H38" t="str">
            <v>VOLR</v>
          </cell>
        </row>
        <row r="39">
          <cell r="A39">
            <v>16127</v>
          </cell>
          <cell r="B39" t="e">
            <v>#NAME?</v>
          </cell>
          <cell r="C39">
            <v>47321</v>
          </cell>
          <cell r="D39" t="str">
            <v xml:space="preserve">  MCFD</v>
          </cell>
          <cell r="E39" t="str">
            <v xml:space="preserve">    </v>
          </cell>
          <cell r="F39" t="str">
            <v xml:space="preserve"> S</v>
          </cell>
          <cell r="G39">
            <v>36796.256944444445</v>
          </cell>
          <cell r="H39" t="str">
            <v>VOLR</v>
          </cell>
        </row>
        <row r="40">
          <cell r="A40">
            <v>16128</v>
          </cell>
          <cell r="B40" t="e">
            <v>#NAME?</v>
          </cell>
          <cell r="C40">
            <v>0</v>
          </cell>
          <cell r="D40" t="str">
            <v xml:space="preserve">  MCFD</v>
          </cell>
          <cell r="E40" t="str">
            <v>UNAV</v>
          </cell>
          <cell r="F40" t="str">
            <v xml:space="preserve"> S</v>
          </cell>
          <cell r="G40">
            <v>36796.261805555558</v>
          </cell>
          <cell r="H40" t="str">
            <v>VOLR</v>
          </cell>
        </row>
        <row r="41">
          <cell r="A41">
            <v>16130</v>
          </cell>
          <cell r="B41" t="e">
            <v>#NAME?</v>
          </cell>
          <cell r="C41">
            <v>72920</v>
          </cell>
          <cell r="D41" t="str">
            <v xml:space="preserve">  MCFD</v>
          </cell>
          <cell r="E41" t="str">
            <v xml:space="preserve">    </v>
          </cell>
          <cell r="F41" t="str">
            <v xml:space="preserve"> S</v>
          </cell>
          <cell r="G41">
            <v>36796.261805555558</v>
          </cell>
          <cell r="H41" t="str">
            <v>VOLR</v>
          </cell>
        </row>
        <row r="42">
          <cell r="A42">
            <v>16136</v>
          </cell>
          <cell r="B42" t="e">
            <v>#NAME?</v>
          </cell>
          <cell r="C42">
            <v>0</v>
          </cell>
          <cell r="D42" t="str">
            <v xml:space="preserve">  MCFD</v>
          </cell>
          <cell r="E42" t="str">
            <v>UNAV</v>
          </cell>
          <cell r="F42" t="str">
            <v xml:space="preserve"> S</v>
          </cell>
          <cell r="G42">
            <v>36796.261805555558</v>
          </cell>
          <cell r="H42" t="str">
            <v>VOLR</v>
          </cell>
        </row>
        <row r="43">
          <cell r="A43">
            <v>16138</v>
          </cell>
          <cell r="B43" t="e">
            <v>#NAME?</v>
          </cell>
          <cell r="C43">
            <v>0</v>
          </cell>
          <cell r="D43" t="str">
            <v xml:space="preserve">  MCFD</v>
          </cell>
          <cell r="E43" t="str">
            <v>UNAV</v>
          </cell>
          <cell r="F43" t="str">
            <v xml:space="preserve"> S</v>
          </cell>
          <cell r="G43">
            <v>36796.261805555558</v>
          </cell>
          <cell r="H43" t="str">
            <v>VOLR</v>
          </cell>
        </row>
        <row r="44">
          <cell r="A44">
            <v>16146</v>
          </cell>
          <cell r="B44" t="e">
            <v>#NAME?</v>
          </cell>
          <cell r="C44">
            <v>0</v>
          </cell>
          <cell r="D44" t="str">
            <v xml:space="preserve">  MCFD</v>
          </cell>
          <cell r="E44" t="str">
            <v>UNAV</v>
          </cell>
          <cell r="F44" t="str">
            <v xml:space="preserve"> S</v>
          </cell>
          <cell r="G44">
            <v>36796.261805555558</v>
          </cell>
          <cell r="H44" t="str">
            <v>VOLR</v>
          </cell>
        </row>
        <row r="45">
          <cell r="A45">
            <v>16147</v>
          </cell>
          <cell r="B45" t="e">
            <v>#NAME?</v>
          </cell>
          <cell r="C45">
            <v>0</v>
          </cell>
          <cell r="D45" t="str">
            <v xml:space="preserve">  MCFD</v>
          </cell>
          <cell r="E45" t="str">
            <v>UNAV</v>
          </cell>
          <cell r="F45" t="str">
            <v xml:space="preserve"> S</v>
          </cell>
          <cell r="G45">
            <v>36796.261805555558</v>
          </cell>
          <cell r="H45" t="str">
            <v>VOLR</v>
          </cell>
        </row>
        <row r="46">
          <cell r="A46">
            <v>16151</v>
          </cell>
          <cell r="B46" t="e">
            <v>#NAME?</v>
          </cell>
          <cell r="C46">
            <v>136064</v>
          </cell>
          <cell r="D46" t="str">
            <v xml:space="preserve">  MCFD</v>
          </cell>
          <cell r="E46" t="str">
            <v xml:space="preserve">    </v>
          </cell>
          <cell r="F46" t="str">
            <v xml:space="preserve"> S</v>
          </cell>
          <cell r="G46">
            <v>36796.255555555559</v>
          </cell>
          <cell r="H46" t="str">
            <v>VOLR</v>
          </cell>
        </row>
        <row r="47">
          <cell r="A47">
            <v>16152</v>
          </cell>
          <cell r="B47" t="e">
            <v>#NAME?</v>
          </cell>
          <cell r="C47">
            <v>0</v>
          </cell>
          <cell r="D47" t="str">
            <v xml:space="preserve">  MCFD</v>
          </cell>
          <cell r="E47" t="str">
            <v xml:space="preserve">    </v>
          </cell>
          <cell r="F47" t="str">
            <v xml:space="preserve"> S</v>
          </cell>
          <cell r="G47">
            <v>36796.261805555558</v>
          </cell>
          <cell r="H47" t="str">
            <v>VOLR</v>
          </cell>
        </row>
        <row r="48">
          <cell r="A48">
            <v>16154</v>
          </cell>
          <cell r="B48" t="e">
            <v>#NAME?</v>
          </cell>
          <cell r="C48">
            <v>0</v>
          </cell>
          <cell r="D48" t="str">
            <v xml:space="preserve">  MCFD</v>
          </cell>
          <cell r="E48" t="str">
            <v>UNAV</v>
          </cell>
          <cell r="F48" t="str">
            <v xml:space="preserve"> S</v>
          </cell>
          <cell r="G48">
            <v>36796.261805555558</v>
          </cell>
          <cell r="H48" t="str">
            <v>VOLR</v>
          </cell>
        </row>
        <row r="49">
          <cell r="A49">
            <v>16159</v>
          </cell>
          <cell r="B49" t="e">
            <v>#NAME?</v>
          </cell>
          <cell r="C49">
            <v>0</v>
          </cell>
          <cell r="D49" t="str">
            <v xml:space="preserve">  MCFD</v>
          </cell>
          <cell r="E49" t="str">
            <v>UNAV</v>
          </cell>
          <cell r="F49" t="str">
            <v xml:space="preserve"> S</v>
          </cell>
          <cell r="G49">
            <v>36796.261805555558</v>
          </cell>
          <cell r="H49" t="str">
            <v>VOLR</v>
          </cell>
        </row>
        <row r="50">
          <cell r="A50">
            <v>16161</v>
          </cell>
          <cell r="B50" t="e">
            <v>#NAME?</v>
          </cell>
          <cell r="C50">
            <v>0</v>
          </cell>
          <cell r="D50" t="str">
            <v xml:space="preserve">  MCFD</v>
          </cell>
          <cell r="E50" t="str">
            <v>UNAV</v>
          </cell>
          <cell r="F50" t="str">
            <v xml:space="preserve"> S</v>
          </cell>
          <cell r="G50">
            <v>36796.261805555558</v>
          </cell>
          <cell r="H50" t="str">
            <v>VOLR</v>
          </cell>
        </row>
        <row r="51">
          <cell r="A51">
            <v>16164</v>
          </cell>
          <cell r="B51" t="e">
            <v>#NAME?</v>
          </cell>
          <cell r="C51">
            <v>0</v>
          </cell>
          <cell r="D51" t="str">
            <v xml:space="preserve">  MCFD</v>
          </cell>
          <cell r="E51" t="str">
            <v>UNAV</v>
          </cell>
          <cell r="F51" t="str">
            <v xml:space="preserve"> S</v>
          </cell>
          <cell r="G51">
            <v>36796.261805555558</v>
          </cell>
          <cell r="H51" t="str">
            <v>VOLR</v>
          </cell>
        </row>
        <row r="52">
          <cell r="A52">
            <v>16167</v>
          </cell>
          <cell r="B52" t="e">
            <v>#NAME?</v>
          </cell>
          <cell r="C52">
            <v>0</v>
          </cell>
          <cell r="D52" t="str">
            <v xml:space="preserve">  MCFD</v>
          </cell>
          <cell r="E52" t="str">
            <v>UNAV</v>
          </cell>
          <cell r="F52" t="str">
            <v xml:space="preserve"> S</v>
          </cell>
          <cell r="G52">
            <v>36796.261805555558</v>
          </cell>
          <cell r="H52" t="str">
            <v>VOLR</v>
          </cell>
        </row>
        <row r="53">
          <cell r="A53">
            <v>16168</v>
          </cell>
          <cell r="B53" t="e">
            <v>#NAME?</v>
          </cell>
          <cell r="C53">
            <v>0</v>
          </cell>
          <cell r="D53" t="str">
            <v xml:space="preserve">  MCFD</v>
          </cell>
          <cell r="E53" t="str">
            <v xml:space="preserve">    </v>
          </cell>
          <cell r="F53" t="str">
            <v xml:space="preserve"> S</v>
          </cell>
          <cell r="G53">
            <v>36796.259722222225</v>
          </cell>
          <cell r="H53" t="str">
            <v>VOLR</v>
          </cell>
        </row>
        <row r="54">
          <cell r="A54">
            <v>16169</v>
          </cell>
          <cell r="B54" t="e">
            <v>#NAME?</v>
          </cell>
          <cell r="C54">
            <v>0</v>
          </cell>
          <cell r="D54" t="str">
            <v xml:space="preserve">  MCFD</v>
          </cell>
          <cell r="E54" t="str">
            <v>UNAV</v>
          </cell>
          <cell r="F54" t="str">
            <v xml:space="preserve"> S</v>
          </cell>
          <cell r="G54">
            <v>36796.261805555558</v>
          </cell>
          <cell r="H54" t="str">
            <v>VOLR</v>
          </cell>
        </row>
        <row r="55">
          <cell r="A55">
            <v>16170</v>
          </cell>
          <cell r="B55" t="e">
            <v>#NAME?</v>
          </cell>
          <cell r="C55">
            <v>0</v>
          </cell>
          <cell r="D55" t="str">
            <v xml:space="preserve">  MCFD</v>
          </cell>
          <cell r="E55" t="str">
            <v>UNAV</v>
          </cell>
          <cell r="F55" t="str">
            <v xml:space="preserve"> S</v>
          </cell>
          <cell r="G55">
            <v>36796.261805555558</v>
          </cell>
          <cell r="H55" t="str">
            <v>VOLR</v>
          </cell>
        </row>
        <row r="56">
          <cell r="A56">
            <v>16171</v>
          </cell>
          <cell r="B56" t="e">
            <v>#NAME?</v>
          </cell>
          <cell r="C56">
            <v>0</v>
          </cell>
          <cell r="D56" t="str">
            <v xml:space="preserve">  MCFD</v>
          </cell>
          <cell r="E56" t="str">
            <v>UNAV</v>
          </cell>
          <cell r="F56" t="str">
            <v xml:space="preserve"> S</v>
          </cell>
          <cell r="G56">
            <v>36796.261805555558</v>
          </cell>
          <cell r="H56" t="str">
            <v>VOLR</v>
          </cell>
        </row>
        <row r="57">
          <cell r="A57">
            <v>16174</v>
          </cell>
          <cell r="B57" t="e">
            <v>#NAME?</v>
          </cell>
          <cell r="C57">
            <v>0</v>
          </cell>
          <cell r="D57" t="str">
            <v xml:space="preserve">  MCFD</v>
          </cell>
          <cell r="E57" t="str">
            <v>UNAV</v>
          </cell>
          <cell r="F57" t="str">
            <v xml:space="preserve"> S</v>
          </cell>
          <cell r="G57">
            <v>36796.261805555558</v>
          </cell>
          <cell r="H57" t="str">
            <v>VOLR</v>
          </cell>
        </row>
        <row r="58">
          <cell r="A58">
            <v>16178</v>
          </cell>
          <cell r="B58" t="e">
            <v>#NAME?</v>
          </cell>
          <cell r="C58">
            <v>0</v>
          </cell>
          <cell r="D58" t="str">
            <v xml:space="preserve">  MCFD</v>
          </cell>
          <cell r="E58" t="str">
            <v>COMM</v>
          </cell>
          <cell r="F58" t="str">
            <v xml:space="preserve"> S</v>
          </cell>
          <cell r="G58">
            <v>36795.410416666666</v>
          </cell>
          <cell r="H58" t="str">
            <v>VOLR</v>
          </cell>
        </row>
        <row r="59">
          <cell r="A59">
            <v>16179</v>
          </cell>
          <cell r="B59" t="e">
            <v>#NAME?</v>
          </cell>
          <cell r="C59">
            <v>0</v>
          </cell>
          <cell r="D59" t="str">
            <v xml:space="preserve">  MCFD</v>
          </cell>
          <cell r="E59" t="str">
            <v xml:space="preserve">    </v>
          </cell>
          <cell r="F59" t="str">
            <v xml:space="preserve"> S</v>
          </cell>
          <cell r="G59">
            <v>36796.254861111112</v>
          </cell>
          <cell r="H59" t="str">
            <v>VOLR</v>
          </cell>
        </row>
        <row r="60">
          <cell r="A60">
            <v>16181</v>
          </cell>
          <cell r="B60" t="e">
            <v>#NAME?</v>
          </cell>
          <cell r="C60">
            <v>0</v>
          </cell>
          <cell r="D60" t="str">
            <v xml:space="preserve">  MCFD</v>
          </cell>
          <cell r="E60" t="str">
            <v>UNAV</v>
          </cell>
          <cell r="F60" t="str">
            <v xml:space="preserve"> S</v>
          </cell>
          <cell r="G60">
            <v>36796.261805555558</v>
          </cell>
          <cell r="H60" t="str">
            <v>VOLR</v>
          </cell>
        </row>
        <row r="61">
          <cell r="A61">
            <v>16182</v>
          </cell>
          <cell r="B61" t="e">
            <v>#NAME?</v>
          </cell>
          <cell r="C61">
            <v>0</v>
          </cell>
          <cell r="D61" t="str">
            <v xml:space="preserve">  MCFD</v>
          </cell>
          <cell r="E61" t="str">
            <v>UNAV</v>
          </cell>
          <cell r="F61" t="str">
            <v xml:space="preserve"> S</v>
          </cell>
          <cell r="G61">
            <v>36796.261805555558</v>
          </cell>
          <cell r="H61" t="str">
            <v>VOLR</v>
          </cell>
        </row>
        <row r="62">
          <cell r="A62">
            <v>16188</v>
          </cell>
          <cell r="B62" t="e">
            <v>#NAME?</v>
          </cell>
          <cell r="C62">
            <v>0</v>
          </cell>
          <cell r="D62" t="str">
            <v xml:space="preserve">  MCFD</v>
          </cell>
          <cell r="E62" t="str">
            <v>UNAV</v>
          </cell>
          <cell r="F62" t="str">
            <v xml:space="preserve"> S</v>
          </cell>
          <cell r="G62">
            <v>36796.261805555558</v>
          </cell>
          <cell r="H62" t="str">
            <v>VOLR</v>
          </cell>
        </row>
        <row r="63">
          <cell r="A63">
            <v>16189</v>
          </cell>
          <cell r="B63" t="e">
            <v>#NAME?</v>
          </cell>
          <cell r="C63">
            <v>0</v>
          </cell>
          <cell r="D63" t="str">
            <v xml:space="preserve">  MCFD</v>
          </cell>
          <cell r="E63" t="str">
            <v>UNAV</v>
          </cell>
          <cell r="F63" t="str">
            <v xml:space="preserve"> S</v>
          </cell>
          <cell r="G63">
            <v>36796.261805555558</v>
          </cell>
          <cell r="H63" t="str">
            <v>VOLR</v>
          </cell>
        </row>
        <row r="64">
          <cell r="A64">
            <v>16198</v>
          </cell>
          <cell r="B64" t="e">
            <v>#NAME?</v>
          </cell>
          <cell r="C64">
            <v>0</v>
          </cell>
          <cell r="D64" t="str">
            <v xml:space="preserve">  MCFD</v>
          </cell>
          <cell r="E64" t="str">
            <v>UNAV</v>
          </cell>
          <cell r="F64" t="str">
            <v xml:space="preserve"> S</v>
          </cell>
          <cell r="G64">
            <v>36796.261805555558</v>
          </cell>
          <cell r="H64" t="str">
            <v>VOLR</v>
          </cell>
        </row>
        <row r="65">
          <cell r="A65">
            <v>16199</v>
          </cell>
          <cell r="B65" t="e">
            <v>#NAME?</v>
          </cell>
          <cell r="C65">
            <v>0</v>
          </cell>
          <cell r="D65" t="str">
            <v xml:space="preserve">  MCFD</v>
          </cell>
          <cell r="E65" t="str">
            <v>UNAV</v>
          </cell>
          <cell r="F65" t="str">
            <v xml:space="preserve"> S</v>
          </cell>
          <cell r="G65">
            <v>36796.261805555558</v>
          </cell>
          <cell r="H65" t="str">
            <v>VOLR</v>
          </cell>
        </row>
        <row r="66">
          <cell r="A66">
            <v>16201</v>
          </cell>
          <cell r="B66" t="e">
            <v>#NAME?</v>
          </cell>
          <cell r="C66">
            <v>0</v>
          </cell>
          <cell r="D66" t="str">
            <v xml:space="preserve">  MCFD</v>
          </cell>
          <cell r="E66" t="str">
            <v>UNAV</v>
          </cell>
          <cell r="F66" t="str">
            <v xml:space="preserve"> S</v>
          </cell>
          <cell r="G66">
            <v>36796.261805555558</v>
          </cell>
          <cell r="H66" t="str">
            <v>VOLR</v>
          </cell>
        </row>
        <row r="67">
          <cell r="A67">
            <v>16204</v>
          </cell>
          <cell r="B67" t="e">
            <v>#NAME?</v>
          </cell>
          <cell r="C67">
            <v>0</v>
          </cell>
          <cell r="D67" t="str">
            <v xml:space="preserve">  MCFD</v>
          </cell>
          <cell r="E67" t="str">
            <v>UNAV</v>
          </cell>
          <cell r="F67" t="str">
            <v xml:space="preserve"> S</v>
          </cell>
          <cell r="G67">
            <v>36796.261805555558</v>
          </cell>
          <cell r="H67" t="str">
            <v>VOLR</v>
          </cell>
        </row>
        <row r="68">
          <cell r="A68">
            <v>16208</v>
          </cell>
          <cell r="B68" t="e">
            <v>#NAME?</v>
          </cell>
          <cell r="C68">
            <v>0</v>
          </cell>
          <cell r="D68" t="str">
            <v xml:space="preserve">  MCFD</v>
          </cell>
          <cell r="E68" t="str">
            <v>UNAV</v>
          </cell>
          <cell r="F68" t="str">
            <v xml:space="preserve"> S</v>
          </cell>
          <cell r="G68">
            <v>36796.261805555558</v>
          </cell>
          <cell r="H68" t="str">
            <v>VOLR</v>
          </cell>
        </row>
        <row r="69">
          <cell r="A69">
            <v>16209</v>
          </cell>
          <cell r="B69" t="e">
            <v>#NAME?</v>
          </cell>
          <cell r="C69">
            <v>0</v>
          </cell>
          <cell r="D69" t="str">
            <v xml:space="preserve">  MCFD</v>
          </cell>
          <cell r="E69" t="str">
            <v>UNAV</v>
          </cell>
          <cell r="F69" t="str">
            <v xml:space="preserve"> S</v>
          </cell>
          <cell r="G69">
            <v>36796.261805555558</v>
          </cell>
          <cell r="H69" t="str">
            <v>VOLR</v>
          </cell>
        </row>
        <row r="70">
          <cell r="A70">
            <v>16210</v>
          </cell>
          <cell r="B70" t="e">
            <v>#NAME?</v>
          </cell>
          <cell r="C70">
            <v>0</v>
          </cell>
          <cell r="D70" t="str">
            <v xml:space="preserve">  MCFD</v>
          </cell>
          <cell r="E70" t="str">
            <v xml:space="preserve">    </v>
          </cell>
          <cell r="F70" t="str">
            <v xml:space="preserve"> S</v>
          </cell>
          <cell r="G70">
            <v>36796.256249999999</v>
          </cell>
          <cell r="H70" t="str">
            <v>VOLR</v>
          </cell>
        </row>
        <row r="71">
          <cell r="A71">
            <v>16215</v>
          </cell>
          <cell r="B71" t="e">
            <v>#NAME?</v>
          </cell>
          <cell r="C71">
            <v>0</v>
          </cell>
          <cell r="D71" t="str">
            <v xml:space="preserve">  MCFD</v>
          </cell>
          <cell r="E71" t="str">
            <v>UNAV</v>
          </cell>
          <cell r="F71" t="str">
            <v xml:space="preserve"> S</v>
          </cell>
          <cell r="G71">
            <v>36796.261805555558</v>
          </cell>
          <cell r="H71" t="str">
            <v>VOLR</v>
          </cell>
        </row>
        <row r="72">
          <cell r="A72">
            <v>16218</v>
          </cell>
          <cell r="B72" t="e">
            <v>#NAME?</v>
          </cell>
          <cell r="C72">
            <v>1155</v>
          </cell>
          <cell r="D72" t="str">
            <v xml:space="preserve">  MCFD</v>
          </cell>
          <cell r="E72" t="str">
            <v xml:space="preserve">    </v>
          </cell>
          <cell r="F72" t="str">
            <v xml:space="preserve"> S</v>
          </cell>
          <cell r="G72">
            <v>36796.259027777778</v>
          </cell>
          <cell r="H72" t="str">
            <v>VOLR</v>
          </cell>
        </row>
        <row r="73">
          <cell r="A73">
            <v>16219</v>
          </cell>
          <cell r="B73" t="e">
            <v>#NAME?</v>
          </cell>
          <cell r="C73">
            <v>0</v>
          </cell>
          <cell r="D73" t="str">
            <v xml:space="preserve">  MCFD</v>
          </cell>
          <cell r="E73" t="str">
            <v>UNAV</v>
          </cell>
          <cell r="F73" t="str">
            <v xml:space="preserve"> S</v>
          </cell>
          <cell r="G73">
            <v>36796.261805555558</v>
          </cell>
          <cell r="H73" t="str">
            <v>VOLR</v>
          </cell>
        </row>
        <row r="74">
          <cell r="A74">
            <v>16222</v>
          </cell>
          <cell r="B74" t="e">
            <v>#NAME?</v>
          </cell>
          <cell r="C74">
            <v>20938</v>
          </cell>
          <cell r="D74" t="str">
            <v xml:space="preserve">  MCFD</v>
          </cell>
          <cell r="E74" t="str">
            <v xml:space="preserve">    </v>
          </cell>
          <cell r="F74" t="str">
            <v xml:space="preserve"> S</v>
          </cell>
          <cell r="G74">
            <v>36796.256249999999</v>
          </cell>
          <cell r="H74" t="str">
            <v>VOLR</v>
          </cell>
        </row>
        <row r="75">
          <cell r="A75">
            <v>16223</v>
          </cell>
          <cell r="B75" t="e">
            <v>#NAME?</v>
          </cell>
          <cell r="C75">
            <v>0</v>
          </cell>
          <cell r="D75" t="str">
            <v xml:space="preserve">  MCFD</v>
          </cell>
          <cell r="E75" t="str">
            <v>UNAV</v>
          </cell>
          <cell r="F75" t="str">
            <v xml:space="preserve"> S</v>
          </cell>
          <cell r="G75">
            <v>36796.261805555558</v>
          </cell>
          <cell r="H75" t="str">
            <v>VOLR</v>
          </cell>
        </row>
        <row r="76">
          <cell r="A76">
            <v>16226</v>
          </cell>
          <cell r="B76" t="e">
            <v>#NAME?</v>
          </cell>
          <cell r="C76">
            <v>0</v>
          </cell>
          <cell r="D76" t="str">
            <v xml:space="preserve">  MCFD</v>
          </cell>
          <cell r="E76" t="str">
            <v xml:space="preserve">    </v>
          </cell>
          <cell r="F76" t="str">
            <v xml:space="preserve"> S</v>
          </cell>
          <cell r="G76">
            <v>36796.255555555559</v>
          </cell>
          <cell r="H76" t="str">
            <v>VOLR</v>
          </cell>
        </row>
        <row r="77">
          <cell r="A77">
            <v>16227</v>
          </cell>
          <cell r="B77" t="e">
            <v>#NAME?</v>
          </cell>
          <cell r="C77">
            <v>0</v>
          </cell>
          <cell r="D77" t="str">
            <v xml:space="preserve">  MCFD</v>
          </cell>
          <cell r="E77" t="str">
            <v>UNAV</v>
          </cell>
          <cell r="F77" t="str">
            <v xml:space="preserve"> S</v>
          </cell>
          <cell r="G77">
            <v>36796.261805555558</v>
          </cell>
          <cell r="H77" t="str">
            <v>VOLR</v>
          </cell>
        </row>
        <row r="78">
          <cell r="A78">
            <v>16229</v>
          </cell>
          <cell r="B78" t="e">
            <v>#NAME?</v>
          </cell>
          <cell r="C78">
            <v>0</v>
          </cell>
          <cell r="D78" t="str">
            <v xml:space="preserve">  MCFD</v>
          </cell>
          <cell r="E78" t="str">
            <v>UNAV</v>
          </cell>
          <cell r="F78" t="str">
            <v xml:space="preserve"> S</v>
          </cell>
          <cell r="G78">
            <v>36796.261805555558</v>
          </cell>
          <cell r="H78" t="str">
            <v>VOLR</v>
          </cell>
        </row>
        <row r="79">
          <cell r="A79">
            <v>16234</v>
          </cell>
          <cell r="B79" t="e">
            <v>#NAME?</v>
          </cell>
          <cell r="C79">
            <v>0</v>
          </cell>
          <cell r="D79" t="str">
            <v xml:space="preserve">  MCFD</v>
          </cell>
          <cell r="E79" t="str">
            <v>UNAV</v>
          </cell>
          <cell r="F79" t="str">
            <v xml:space="preserve"> S</v>
          </cell>
          <cell r="G79">
            <v>36796.261805555558</v>
          </cell>
          <cell r="H79" t="str">
            <v>VOLR</v>
          </cell>
        </row>
        <row r="80">
          <cell r="A80">
            <v>16236</v>
          </cell>
          <cell r="B80" t="e">
            <v>#NAME?</v>
          </cell>
          <cell r="C80">
            <v>0</v>
          </cell>
          <cell r="D80" t="str">
            <v xml:space="preserve">  MCFD</v>
          </cell>
          <cell r="E80" t="str">
            <v>UNAV</v>
          </cell>
          <cell r="F80" t="str">
            <v xml:space="preserve"> S</v>
          </cell>
          <cell r="G80">
            <v>36796.261805555558</v>
          </cell>
          <cell r="H80" t="str">
            <v>VOLR</v>
          </cell>
        </row>
        <row r="81">
          <cell r="A81">
            <v>16237</v>
          </cell>
          <cell r="B81" t="e">
            <v>#NAME?</v>
          </cell>
          <cell r="C81">
            <v>0</v>
          </cell>
          <cell r="D81" t="str">
            <v xml:space="preserve">  MCFD</v>
          </cell>
          <cell r="E81" t="str">
            <v>UNAV</v>
          </cell>
          <cell r="F81" t="str">
            <v xml:space="preserve"> S</v>
          </cell>
          <cell r="G81">
            <v>36796.261805555558</v>
          </cell>
          <cell r="H81" t="str">
            <v>VOLR</v>
          </cell>
        </row>
        <row r="82">
          <cell r="A82">
            <v>16240</v>
          </cell>
          <cell r="B82" t="e">
            <v>#NAME?</v>
          </cell>
          <cell r="C82">
            <v>0</v>
          </cell>
          <cell r="D82" t="str">
            <v xml:space="preserve">  MCFD</v>
          </cell>
          <cell r="E82" t="str">
            <v>UNAV</v>
          </cell>
          <cell r="F82" t="str">
            <v xml:space="preserve"> S</v>
          </cell>
          <cell r="G82">
            <v>36796.261805555558</v>
          </cell>
          <cell r="H82" t="str">
            <v>VOLR</v>
          </cell>
        </row>
        <row r="83">
          <cell r="A83">
            <v>16241</v>
          </cell>
          <cell r="B83" t="e">
            <v>#NAME?</v>
          </cell>
          <cell r="C83">
            <v>0</v>
          </cell>
          <cell r="D83" t="str">
            <v xml:space="preserve">  MCFD</v>
          </cell>
          <cell r="E83" t="str">
            <v>UNAV</v>
          </cell>
          <cell r="F83" t="str">
            <v xml:space="preserve"> S</v>
          </cell>
          <cell r="G83">
            <v>36796.261805555558</v>
          </cell>
          <cell r="H83" t="str">
            <v>VOLR</v>
          </cell>
        </row>
        <row r="84">
          <cell r="A84">
            <v>16242</v>
          </cell>
          <cell r="B84" t="e">
            <v>#NAME?</v>
          </cell>
          <cell r="C84">
            <v>0</v>
          </cell>
          <cell r="D84" t="str">
            <v xml:space="preserve">  MCFD</v>
          </cell>
          <cell r="E84" t="str">
            <v>UNAV</v>
          </cell>
          <cell r="F84" t="str">
            <v xml:space="preserve"> S</v>
          </cell>
          <cell r="G84">
            <v>36796.261805555558</v>
          </cell>
          <cell r="H84" t="str">
            <v>VOLR</v>
          </cell>
        </row>
        <row r="85">
          <cell r="A85">
            <v>16243</v>
          </cell>
          <cell r="B85" t="e">
            <v>#NAME?</v>
          </cell>
          <cell r="C85">
            <v>0</v>
          </cell>
          <cell r="D85" t="str">
            <v xml:space="preserve">  MCFD</v>
          </cell>
          <cell r="E85" t="str">
            <v>UNAV</v>
          </cell>
          <cell r="F85" t="str">
            <v xml:space="preserve"> S</v>
          </cell>
          <cell r="G85">
            <v>36796.261805555558</v>
          </cell>
          <cell r="H85" t="str">
            <v>VOLR</v>
          </cell>
        </row>
        <row r="86">
          <cell r="A86">
            <v>16244</v>
          </cell>
          <cell r="B86" t="e">
            <v>#NAME?</v>
          </cell>
          <cell r="C86">
            <v>118027</v>
          </cell>
          <cell r="D86" t="str">
            <v xml:space="preserve">  MCFD</v>
          </cell>
          <cell r="E86" t="str">
            <v xml:space="preserve">    </v>
          </cell>
          <cell r="F86" t="str">
            <v xml:space="preserve"> S</v>
          </cell>
          <cell r="G86">
            <v>36796.259027777778</v>
          </cell>
          <cell r="H86" t="str">
            <v>VOLR</v>
          </cell>
        </row>
        <row r="87">
          <cell r="A87">
            <v>16247</v>
          </cell>
          <cell r="B87" t="e">
            <v>#NAME?</v>
          </cell>
          <cell r="C87">
            <v>0</v>
          </cell>
          <cell r="D87" t="str">
            <v xml:space="preserve">  MCFD</v>
          </cell>
          <cell r="E87" t="str">
            <v xml:space="preserve">    </v>
          </cell>
          <cell r="F87" t="str">
            <v xml:space="preserve"> S</v>
          </cell>
          <cell r="G87">
            <v>36796.254861111112</v>
          </cell>
          <cell r="H87" t="str">
            <v>VOLR</v>
          </cell>
        </row>
        <row r="88">
          <cell r="A88">
            <v>16248</v>
          </cell>
          <cell r="B88" t="e">
            <v>#NAME?</v>
          </cell>
          <cell r="C88">
            <v>0</v>
          </cell>
          <cell r="D88" t="str">
            <v xml:space="preserve">  MCFD</v>
          </cell>
          <cell r="E88" t="str">
            <v>UNAV</v>
          </cell>
          <cell r="F88" t="str">
            <v xml:space="preserve"> S</v>
          </cell>
          <cell r="G88">
            <v>36796.261805555558</v>
          </cell>
          <cell r="H88" t="str">
            <v>VOLR</v>
          </cell>
        </row>
        <row r="89">
          <cell r="A89">
            <v>16252</v>
          </cell>
          <cell r="B89" t="e">
            <v>#NAME?</v>
          </cell>
          <cell r="C89">
            <v>0</v>
          </cell>
          <cell r="D89" t="str">
            <v xml:space="preserve">  MCFD</v>
          </cell>
          <cell r="E89" t="str">
            <v>UNAV</v>
          </cell>
          <cell r="F89" t="str">
            <v xml:space="preserve"> S</v>
          </cell>
          <cell r="G89">
            <v>36796.261805555558</v>
          </cell>
          <cell r="H89" t="str">
            <v>VOLR</v>
          </cell>
        </row>
        <row r="90">
          <cell r="A90">
            <v>16253</v>
          </cell>
          <cell r="B90" t="e">
            <v>#NAME?</v>
          </cell>
          <cell r="C90">
            <v>0</v>
          </cell>
          <cell r="D90" t="str">
            <v xml:space="preserve">  MCFD</v>
          </cell>
          <cell r="E90" t="str">
            <v>UNAV</v>
          </cell>
          <cell r="F90" t="str">
            <v xml:space="preserve"> S</v>
          </cell>
          <cell r="G90">
            <v>36796.261805555558</v>
          </cell>
          <cell r="H90" t="str">
            <v>VOLR</v>
          </cell>
        </row>
        <row r="91">
          <cell r="A91">
            <v>16254</v>
          </cell>
          <cell r="B91" t="e">
            <v>#NAME?</v>
          </cell>
          <cell r="C91">
            <v>0</v>
          </cell>
          <cell r="D91" t="str">
            <v xml:space="preserve">  MCFD</v>
          </cell>
          <cell r="E91" t="str">
            <v>UNAV</v>
          </cell>
          <cell r="F91" t="str">
            <v xml:space="preserve"> S</v>
          </cell>
          <cell r="G91">
            <v>36796.261805555558</v>
          </cell>
          <cell r="H91" t="str">
            <v>VOLR</v>
          </cell>
        </row>
        <row r="92">
          <cell r="A92">
            <v>16255</v>
          </cell>
          <cell r="B92" t="e">
            <v>#NAME?</v>
          </cell>
          <cell r="C92">
            <v>0</v>
          </cell>
          <cell r="D92" t="str">
            <v xml:space="preserve">  MCFD</v>
          </cell>
          <cell r="E92" t="str">
            <v>UNAV</v>
          </cell>
          <cell r="F92" t="str">
            <v xml:space="preserve"> S</v>
          </cell>
          <cell r="G92">
            <v>36796.261805555558</v>
          </cell>
          <cell r="H92" t="str">
            <v>VOLR</v>
          </cell>
        </row>
        <row r="93">
          <cell r="A93">
            <v>16257</v>
          </cell>
          <cell r="B93" t="e">
            <v>#NAME?</v>
          </cell>
          <cell r="C93">
            <v>0</v>
          </cell>
          <cell r="D93" t="str">
            <v xml:space="preserve">  MCFD</v>
          </cell>
          <cell r="E93" t="str">
            <v>UNAV</v>
          </cell>
          <cell r="F93" t="str">
            <v xml:space="preserve"> S</v>
          </cell>
          <cell r="G93">
            <v>36796.261805555558</v>
          </cell>
          <cell r="H93" t="str">
            <v>VOLR</v>
          </cell>
        </row>
        <row r="94">
          <cell r="A94">
            <v>16258</v>
          </cell>
          <cell r="B94" t="e">
            <v>#NAME?</v>
          </cell>
          <cell r="C94">
            <v>0</v>
          </cell>
          <cell r="D94" t="str">
            <v xml:space="preserve">  MCFD</v>
          </cell>
          <cell r="E94" t="str">
            <v>UNAV</v>
          </cell>
          <cell r="F94" t="str">
            <v xml:space="preserve"> S</v>
          </cell>
          <cell r="G94">
            <v>36796.261805555558</v>
          </cell>
          <cell r="H94" t="str">
            <v>VOLR</v>
          </cell>
        </row>
        <row r="95">
          <cell r="A95">
            <v>16259</v>
          </cell>
          <cell r="B95" t="e">
            <v>#NAME?</v>
          </cell>
          <cell r="C95">
            <v>0</v>
          </cell>
          <cell r="D95" t="str">
            <v xml:space="preserve">  MCFD</v>
          </cell>
          <cell r="E95" t="str">
            <v>UNAV</v>
          </cell>
          <cell r="F95" t="str">
            <v xml:space="preserve"> S</v>
          </cell>
          <cell r="G95">
            <v>36796.261805555558</v>
          </cell>
          <cell r="H95" t="str">
            <v>VOLR</v>
          </cell>
        </row>
        <row r="96">
          <cell r="A96">
            <v>16262</v>
          </cell>
          <cell r="B96" t="e">
            <v>#NAME?</v>
          </cell>
          <cell r="C96">
            <v>0</v>
          </cell>
          <cell r="D96" t="str">
            <v xml:space="preserve">  MCFD</v>
          </cell>
          <cell r="E96" t="str">
            <v>UNAV</v>
          </cell>
          <cell r="F96" t="str">
            <v xml:space="preserve"> S</v>
          </cell>
          <cell r="G96">
            <v>36796.261805555558</v>
          </cell>
          <cell r="H96" t="str">
            <v>VOLR</v>
          </cell>
        </row>
        <row r="97">
          <cell r="A97">
            <v>16263</v>
          </cell>
          <cell r="B97" t="e">
            <v>#NAME?</v>
          </cell>
          <cell r="C97">
            <v>0</v>
          </cell>
          <cell r="D97" t="str">
            <v xml:space="preserve">  MCFD</v>
          </cell>
          <cell r="E97" t="str">
            <v>UNAV</v>
          </cell>
          <cell r="F97" t="str">
            <v xml:space="preserve"> S</v>
          </cell>
          <cell r="G97">
            <v>36796.261805555558</v>
          </cell>
          <cell r="H97" t="str">
            <v>VOLR</v>
          </cell>
        </row>
        <row r="98">
          <cell r="A98">
            <v>16264</v>
          </cell>
          <cell r="B98" t="e">
            <v>#NAME?</v>
          </cell>
          <cell r="C98">
            <v>0</v>
          </cell>
          <cell r="D98" t="str">
            <v xml:space="preserve">  MCFD</v>
          </cell>
          <cell r="E98" t="str">
            <v>UNAV</v>
          </cell>
          <cell r="F98" t="str">
            <v xml:space="preserve"> S</v>
          </cell>
          <cell r="G98">
            <v>36796.261805555558</v>
          </cell>
          <cell r="H98" t="str">
            <v>VOLR</v>
          </cell>
        </row>
        <row r="99">
          <cell r="A99">
            <v>16266</v>
          </cell>
          <cell r="B99" t="e">
            <v>#NAME?</v>
          </cell>
          <cell r="C99">
            <v>0</v>
          </cell>
          <cell r="D99" t="str">
            <v xml:space="preserve">  MCFD</v>
          </cell>
          <cell r="E99" t="str">
            <v>UNAV</v>
          </cell>
          <cell r="F99" t="str">
            <v xml:space="preserve"> S</v>
          </cell>
          <cell r="G99">
            <v>36796.261805555558</v>
          </cell>
          <cell r="H99" t="str">
            <v>VOLR</v>
          </cell>
        </row>
        <row r="100">
          <cell r="A100">
            <v>16267</v>
          </cell>
          <cell r="B100" t="e">
            <v>#NAME?</v>
          </cell>
          <cell r="C100">
            <v>0</v>
          </cell>
          <cell r="D100" t="str">
            <v xml:space="preserve">  MCFD</v>
          </cell>
          <cell r="E100" t="str">
            <v>UNAV</v>
          </cell>
          <cell r="F100" t="str">
            <v xml:space="preserve"> S</v>
          </cell>
          <cell r="G100">
            <v>36796.261805555558</v>
          </cell>
          <cell r="H100" t="str">
            <v>VOLR</v>
          </cell>
        </row>
        <row r="101">
          <cell r="A101">
            <v>16271</v>
          </cell>
          <cell r="B101" t="e">
            <v>#NAME?</v>
          </cell>
          <cell r="C101">
            <v>0</v>
          </cell>
          <cell r="D101" t="str">
            <v xml:space="preserve">  MCFD</v>
          </cell>
          <cell r="E101" t="str">
            <v>UNAV</v>
          </cell>
          <cell r="F101" t="str">
            <v xml:space="preserve"> S</v>
          </cell>
          <cell r="G101">
            <v>36796.261805555558</v>
          </cell>
          <cell r="H101" t="str">
            <v>VOLR</v>
          </cell>
        </row>
        <row r="102">
          <cell r="A102">
            <v>16272</v>
          </cell>
          <cell r="B102" t="e">
            <v>#NAME?</v>
          </cell>
          <cell r="C102">
            <v>0</v>
          </cell>
          <cell r="D102" t="str">
            <v xml:space="preserve">  MCFD</v>
          </cell>
          <cell r="E102" t="str">
            <v>UNAV</v>
          </cell>
          <cell r="F102" t="str">
            <v xml:space="preserve"> S</v>
          </cell>
          <cell r="G102">
            <v>36796.261805555558</v>
          </cell>
          <cell r="H102" t="str">
            <v>VOLR</v>
          </cell>
        </row>
        <row r="103">
          <cell r="A103">
            <v>16273</v>
          </cell>
          <cell r="B103" t="e">
            <v>#NAME?</v>
          </cell>
          <cell r="C103">
            <v>0</v>
          </cell>
          <cell r="D103" t="str">
            <v xml:space="preserve">  MCFD</v>
          </cell>
          <cell r="E103" t="str">
            <v xml:space="preserve">    </v>
          </cell>
          <cell r="F103" t="str">
            <v xml:space="preserve"> S</v>
          </cell>
          <cell r="G103">
            <v>36796.255555555559</v>
          </cell>
          <cell r="H103" t="str">
            <v>VOLR</v>
          </cell>
        </row>
        <row r="104">
          <cell r="A104">
            <v>16275</v>
          </cell>
          <cell r="B104" t="e">
            <v>#NAME?</v>
          </cell>
          <cell r="C104">
            <v>0</v>
          </cell>
          <cell r="D104" t="str">
            <v xml:space="preserve">  MCFD</v>
          </cell>
          <cell r="E104" t="str">
            <v>UNAV</v>
          </cell>
          <cell r="F104" t="str">
            <v xml:space="preserve"> S</v>
          </cell>
          <cell r="G104">
            <v>36796.261805555558</v>
          </cell>
          <cell r="H104" t="str">
            <v>VOLR</v>
          </cell>
        </row>
        <row r="105">
          <cell r="A105">
            <v>16276</v>
          </cell>
          <cell r="B105" t="e">
            <v>#NAME?</v>
          </cell>
          <cell r="C105">
            <v>0</v>
          </cell>
          <cell r="D105" t="str">
            <v xml:space="preserve">  MCFD</v>
          </cell>
          <cell r="E105" t="str">
            <v>UNAV</v>
          </cell>
          <cell r="F105" t="str">
            <v xml:space="preserve"> S</v>
          </cell>
          <cell r="G105">
            <v>36796.261805555558</v>
          </cell>
          <cell r="H105" t="str">
            <v>VOLR</v>
          </cell>
        </row>
        <row r="106">
          <cell r="A106">
            <v>16277</v>
          </cell>
          <cell r="B106" t="e">
            <v>#NAME?</v>
          </cell>
          <cell r="C106">
            <v>0</v>
          </cell>
          <cell r="D106" t="str">
            <v xml:space="preserve">  MCFD</v>
          </cell>
          <cell r="E106" t="str">
            <v>UNAV</v>
          </cell>
          <cell r="F106" t="str">
            <v xml:space="preserve"> S</v>
          </cell>
          <cell r="G106">
            <v>36796.261805555558</v>
          </cell>
          <cell r="H106" t="str">
            <v>VOLR</v>
          </cell>
        </row>
        <row r="107">
          <cell r="A107">
            <v>16279</v>
          </cell>
          <cell r="B107" t="e">
            <v>#NAME?</v>
          </cell>
          <cell r="C107">
            <v>0</v>
          </cell>
          <cell r="D107" t="str">
            <v xml:space="preserve">  MCFD</v>
          </cell>
          <cell r="E107" t="str">
            <v>UNAV</v>
          </cell>
          <cell r="F107" t="str">
            <v xml:space="preserve"> S</v>
          </cell>
          <cell r="G107">
            <v>36796.261805555558</v>
          </cell>
          <cell r="H107" t="str">
            <v>VOLR</v>
          </cell>
        </row>
        <row r="108">
          <cell r="A108">
            <v>16281</v>
          </cell>
          <cell r="B108" t="e">
            <v>#NAME?</v>
          </cell>
          <cell r="C108">
            <v>0</v>
          </cell>
          <cell r="D108" t="str">
            <v xml:space="preserve">  MCFD</v>
          </cell>
          <cell r="E108" t="str">
            <v>COMM</v>
          </cell>
          <cell r="F108" t="str">
            <v xml:space="preserve"> S</v>
          </cell>
          <cell r="G108">
            <v>36795.487500000003</v>
          </cell>
          <cell r="H108" t="str">
            <v>VOLR</v>
          </cell>
        </row>
        <row r="109">
          <cell r="A109">
            <v>16282</v>
          </cell>
          <cell r="B109" t="e">
            <v>#NAME?</v>
          </cell>
          <cell r="C109">
            <v>0</v>
          </cell>
          <cell r="D109" t="str">
            <v xml:space="preserve">  MCFD</v>
          </cell>
          <cell r="E109" t="str">
            <v>UNAV</v>
          </cell>
          <cell r="F109" t="str">
            <v xml:space="preserve"> S</v>
          </cell>
          <cell r="G109">
            <v>36796.261805555558</v>
          </cell>
          <cell r="H109" t="str">
            <v>VOLR</v>
          </cell>
        </row>
        <row r="110">
          <cell r="A110">
            <v>16286</v>
          </cell>
          <cell r="B110" t="e">
            <v>#NAME?</v>
          </cell>
          <cell r="C110">
            <v>0</v>
          </cell>
          <cell r="D110" t="str">
            <v xml:space="preserve">  MCFD</v>
          </cell>
          <cell r="E110" t="str">
            <v>UNAV</v>
          </cell>
          <cell r="F110" t="str">
            <v xml:space="preserve"> S</v>
          </cell>
          <cell r="G110">
            <v>36796.261805555558</v>
          </cell>
          <cell r="H110" t="str">
            <v>VOLR</v>
          </cell>
        </row>
        <row r="111">
          <cell r="A111">
            <v>16288</v>
          </cell>
          <cell r="B111" t="e">
            <v>#NAME?</v>
          </cell>
          <cell r="C111">
            <v>0</v>
          </cell>
          <cell r="D111" t="str">
            <v xml:space="preserve">  MCFD</v>
          </cell>
          <cell r="E111" t="str">
            <v>UNAV</v>
          </cell>
          <cell r="F111" t="str">
            <v xml:space="preserve"> S</v>
          </cell>
          <cell r="G111">
            <v>36796.261805555558</v>
          </cell>
          <cell r="H111" t="str">
            <v>VOLR</v>
          </cell>
        </row>
        <row r="112">
          <cell r="A112">
            <v>16289</v>
          </cell>
          <cell r="B112" t="e">
            <v>#NAME?</v>
          </cell>
          <cell r="C112">
            <v>0</v>
          </cell>
          <cell r="D112" t="str">
            <v xml:space="preserve">  MCFD</v>
          </cell>
          <cell r="E112" t="str">
            <v>UNAV</v>
          </cell>
          <cell r="F112" t="str">
            <v xml:space="preserve"> S</v>
          </cell>
          <cell r="G112">
            <v>36796.261805555558</v>
          </cell>
          <cell r="H112" t="str">
            <v>VOLR</v>
          </cell>
        </row>
        <row r="113">
          <cell r="A113">
            <v>16290</v>
          </cell>
          <cell r="B113" t="e">
            <v>#NAME?</v>
          </cell>
          <cell r="C113">
            <v>17183</v>
          </cell>
          <cell r="D113" t="str">
            <v xml:space="preserve">  MCFD</v>
          </cell>
          <cell r="E113" t="str">
            <v xml:space="preserve">    </v>
          </cell>
          <cell r="F113" t="str">
            <v xml:space="preserve"> S</v>
          </cell>
          <cell r="G113">
            <v>36796.257638888892</v>
          </cell>
          <cell r="H113" t="str">
            <v>VOLR</v>
          </cell>
        </row>
        <row r="114">
          <cell r="A114">
            <v>16291</v>
          </cell>
          <cell r="B114" t="e">
            <v>#NAME?</v>
          </cell>
          <cell r="C114">
            <v>0</v>
          </cell>
          <cell r="D114" t="str">
            <v xml:space="preserve">  MCFD</v>
          </cell>
          <cell r="E114" t="str">
            <v xml:space="preserve">    </v>
          </cell>
          <cell r="F114" t="str">
            <v xml:space="preserve"> S</v>
          </cell>
          <cell r="G114">
            <v>36796.261111111111</v>
          </cell>
          <cell r="H114" t="str">
            <v>VOLR</v>
          </cell>
        </row>
        <row r="115">
          <cell r="A115">
            <v>16292</v>
          </cell>
          <cell r="B115" t="e">
            <v>#NAME?</v>
          </cell>
          <cell r="C115">
            <v>0</v>
          </cell>
          <cell r="D115" t="str">
            <v xml:space="preserve">  MCFD</v>
          </cell>
          <cell r="E115" t="str">
            <v>UNAV</v>
          </cell>
          <cell r="F115" t="str">
            <v xml:space="preserve"> S</v>
          </cell>
          <cell r="G115">
            <v>36796.261805555558</v>
          </cell>
          <cell r="H115" t="str">
            <v>VOLR</v>
          </cell>
        </row>
        <row r="116">
          <cell r="A116">
            <v>16293</v>
          </cell>
          <cell r="B116" t="e">
            <v>#NAME?</v>
          </cell>
          <cell r="C116">
            <v>0</v>
          </cell>
          <cell r="D116" t="str">
            <v xml:space="preserve">  MCFD</v>
          </cell>
          <cell r="E116" t="str">
            <v>UNAV</v>
          </cell>
          <cell r="F116" t="str">
            <v xml:space="preserve"> S</v>
          </cell>
          <cell r="G116">
            <v>36796.261805555558</v>
          </cell>
          <cell r="H116" t="str">
            <v>VOLR</v>
          </cell>
        </row>
        <row r="117">
          <cell r="A117">
            <v>16294</v>
          </cell>
          <cell r="B117" t="e">
            <v>#NAME?</v>
          </cell>
          <cell r="C117">
            <v>0</v>
          </cell>
          <cell r="D117" t="str">
            <v xml:space="preserve">  MCFD</v>
          </cell>
          <cell r="E117" t="str">
            <v>UNAV</v>
          </cell>
          <cell r="F117" t="str">
            <v xml:space="preserve"> S</v>
          </cell>
          <cell r="G117">
            <v>36796.261805555558</v>
          </cell>
          <cell r="H117" t="str">
            <v>VOLR</v>
          </cell>
        </row>
        <row r="118">
          <cell r="A118">
            <v>16295</v>
          </cell>
          <cell r="B118" t="e">
            <v>#NAME?</v>
          </cell>
          <cell r="C118">
            <v>0</v>
          </cell>
          <cell r="D118" t="str">
            <v xml:space="preserve">  MCFD</v>
          </cell>
          <cell r="E118" t="str">
            <v>UNAV</v>
          </cell>
          <cell r="F118" t="str">
            <v xml:space="preserve"> S</v>
          </cell>
          <cell r="G118">
            <v>36796.261805555558</v>
          </cell>
          <cell r="H118" t="str">
            <v>VOLR</v>
          </cell>
        </row>
        <row r="119">
          <cell r="A119">
            <v>16296</v>
          </cell>
          <cell r="B119" t="e">
            <v>#NAME?</v>
          </cell>
          <cell r="C119">
            <v>0</v>
          </cell>
          <cell r="D119" t="str">
            <v xml:space="preserve">  MCFD</v>
          </cell>
          <cell r="E119" t="str">
            <v xml:space="preserve">    </v>
          </cell>
          <cell r="F119" t="str">
            <v xml:space="preserve"> S</v>
          </cell>
          <cell r="G119">
            <v>36796.255555555559</v>
          </cell>
          <cell r="H119" t="str">
            <v>VOLR</v>
          </cell>
        </row>
        <row r="120">
          <cell r="A120">
            <v>16297</v>
          </cell>
          <cell r="B120" t="e">
            <v>#NAME?</v>
          </cell>
          <cell r="C120">
            <v>0</v>
          </cell>
          <cell r="D120" t="str">
            <v xml:space="preserve">  MCFD</v>
          </cell>
          <cell r="E120" t="str">
            <v xml:space="preserve">    </v>
          </cell>
          <cell r="F120" t="str">
            <v xml:space="preserve"> S</v>
          </cell>
          <cell r="G120">
            <v>36796.257638888892</v>
          </cell>
          <cell r="H120" t="str">
            <v>VOLR</v>
          </cell>
        </row>
        <row r="121">
          <cell r="A121">
            <v>16298</v>
          </cell>
          <cell r="B121" t="e">
            <v>#NAME?</v>
          </cell>
          <cell r="C121">
            <v>0</v>
          </cell>
          <cell r="D121" t="str">
            <v xml:space="preserve">  MCFD</v>
          </cell>
          <cell r="E121" t="str">
            <v>UNAV</v>
          </cell>
          <cell r="F121" t="str">
            <v xml:space="preserve"> S</v>
          </cell>
          <cell r="G121">
            <v>36796.261805555558</v>
          </cell>
          <cell r="H121" t="str">
            <v>VOLR</v>
          </cell>
        </row>
        <row r="122">
          <cell r="A122">
            <v>16299</v>
          </cell>
          <cell r="B122" t="e">
            <v>#NAME?</v>
          </cell>
          <cell r="C122">
            <v>0</v>
          </cell>
          <cell r="D122" t="str">
            <v xml:space="preserve">  MCFD</v>
          </cell>
          <cell r="E122" t="str">
            <v>COMM</v>
          </cell>
          <cell r="F122" t="str">
            <v xml:space="preserve"> S</v>
          </cell>
          <cell r="G122">
            <v>36795.587500000001</v>
          </cell>
          <cell r="H122" t="str">
            <v>VOLR</v>
          </cell>
        </row>
        <row r="123">
          <cell r="A123">
            <v>16300</v>
          </cell>
          <cell r="B123" t="e">
            <v>#NAME?</v>
          </cell>
          <cell r="C123">
            <v>0</v>
          </cell>
          <cell r="D123" t="str">
            <v xml:space="preserve">  MCFD</v>
          </cell>
          <cell r="E123" t="str">
            <v>UNAV</v>
          </cell>
          <cell r="F123" t="str">
            <v xml:space="preserve"> S</v>
          </cell>
          <cell r="G123">
            <v>36796.261805555558</v>
          </cell>
          <cell r="H123" t="str">
            <v>VOLR</v>
          </cell>
        </row>
        <row r="124">
          <cell r="A124">
            <v>16301</v>
          </cell>
          <cell r="B124" t="e">
            <v>#NAME?</v>
          </cell>
          <cell r="C124">
            <v>0</v>
          </cell>
          <cell r="D124" t="str">
            <v xml:space="preserve">  MCFD</v>
          </cell>
          <cell r="E124" t="str">
            <v>UNAV</v>
          </cell>
          <cell r="F124" t="str">
            <v xml:space="preserve"> S</v>
          </cell>
          <cell r="G124">
            <v>36796.261805555558</v>
          </cell>
          <cell r="H124" t="str">
            <v>VOLR</v>
          </cell>
        </row>
        <row r="125">
          <cell r="A125">
            <v>16304</v>
          </cell>
          <cell r="B125" t="e">
            <v>#NAME?</v>
          </cell>
          <cell r="C125">
            <v>0</v>
          </cell>
          <cell r="D125" t="str">
            <v xml:space="preserve">  MCFD</v>
          </cell>
          <cell r="E125" t="str">
            <v>UNAV</v>
          </cell>
          <cell r="F125" t="str">
            <v xml:space="preserve"> S</v>
          </cell>
          <cell r="G125">
            <v>36796.261805555558</v>
          </cell>
          <cell r="H125" t="str">
            <v>VOLR</v>
          </cell>
        </row>
        <row r="126">
          <cell r="A126">
            <v>16306</v>
          </cell>
          <cell r="B126" t="e">
            <v>#NAME?</v>
          </cell>
          <cell r="C126">
            <v>0</v>
          </cell>
          <cell r="D126" t="str">
            <v xml:space="preserve">  MCFD</v>
          </cell>
          <cell r="E126" t="str">
            <v>UNAV</v>
          </cell>
          <cell r="F126" t="str">
            <v xml:space="preserve"> S</v>
          </cell>
          <cell r="G126">
            <v>36796.261805555558</v>
          </cell>
          <cell r="H126" t="str">
            <v>VOLR</v>
          </cell>
        </row>
        <row r="127">
          <cell r="A127">
            <v>16307</v>
          </cell>
          <cell r="B127" t="e">
            <v>#NAME?</v>
          </cell>
          <cell r="C127">
            <v>0</v>
          </cell>
          <cell r="D127" t="str">
            <v xml:space="preserve">  MCFD</v>
          </cell>
          <cell r="E127" t="str">
            <v>UNAV</v>
          </cell>
          <cell r="F127" t="str">
            <v xml:space="preserve"> S</v>
          </cell>
          <cell r="G127">
            <v>36796.261805555558</v>
          </cell>
          <cell r="H127" t="str">
            <v>VOLR</v>
          </cell>
        </row>
        <row r="128">
          <cell r="A128">
            <v>16308</v>
          </cell>
          <cell r="B128" t="e">
            <v>#NAME?</v>
          </cell>
          <cell r="C128">
            <v>0</v>
          </cell>
          <cell r="D128" t="str">
            <v xml:space="preserve">  MCFD</v>
          </cell>
          <cell r="E128" t="str">
            <v>UNAV</v>
          </cell>
          <cell r="F128" t="str">
            <v xml:space="preserve"> S</v>
          </cell>
          <cell r="G128">
            <v>36796.261805555558</v>
          </cell>
          <cell r="H128" t="str">
            <v>VOLR</v>
          </cell>
        </row>
        <row r="129">
          <cell r="A129">
            <v>16309</v>
          </cell>
          <cell r="B129" t="e">
            <v>#NAME?</v>
          </cell>
          <cell r="C129">
            <v>0</v>
          </cell>
          <cell r="D129" t="str">
            <v xml:space="preserve">  MCFD</v>
          </cell>
          <cell r="E129" t="str">
            <v>UNAV</v>
          </cell>
          <cell r="F129" t="str">
            <v xml:space="preserve"> S</v>
          </cell>
          <cell r="G129">
            <v>36796.261805555558</v>
          </cell>
          <cell r="H129" t="str">
            <v>VOLR</v>
          </cell>
        </row>
        <row r="130">
          <cell r="A130">
            <v>16310</v>
          </cell>
          <cell r="B130" t="e">
            <v>#NAME?</v>
          </cell>
          <cell r="C130">
            <v>0</v>
          </cell>
          <cell r="D130" t="str">
            <v xml:space="preserve">  MCFD</v>
          </cell>
          <cell r="E130" t="str">
            <v>UNAV</v>
          </cell>
          <cell r="F130" t="str">
            <v xml:space="preserve"> S</v>
          </cell>
          <cell r="G130">
            <v>36796.261805555558</v>
          </cell>
          <cell r="H130" t="str">
            <v>VOLR</v>
          </cell>
        </row>
        <row r="131">
          <cell r="A131">
            <v>16311</v>
          </cell>
          <cell r="B131" t="e">
            <v>#NAME?</v>
          </cell>
          <cell r="C131">
            <v>0</v>
          </cell>
          <cell r="D131" t="str">
            <v xml:space="preserve">  MCFD</v>
          </cell>
          <cell r="E131" t="str">
            <v>UNAV</v>
          </cell>
          <cell r="F131" t="str">
            <v xml:space="preserve"> S</v>
          </cell>
          <cell r="G131">
            <v>36796.261805555558</v>
          </cell>
          <cell r="H131" t="str">
            <v>VOLR</v>
          </cell>
        </row>
        <row r="132">
          <cell r="A132">
            <v>16312</v>
          </cell>
          <cell r="B132" t="e">
            <v>#NAME?</v>
          </cell>
          <cell r="C132">
            <v>0</v>
          </cell>
          <cell r="D132" t="str">
            <v xml:space="preserve">  MCFD</v>
          </cell>
          <cell r="E132" t="str">
            <v>UNAV</v>
          </cell>
          <cell r="F132" t="str">
            <v xml:space="preserve"> S</v>
          </cell>
          <cell r="G132">
            <v>36796.261805555558</v>
          </cell>
          <cell r="H132" t="str">
            <v>VOLR</v>
          </cell>
        </row>
        <row r="133">
          <cell r="A133">
            <v>16314</v>
          </cell>
          <cell r="B133" t="e">
            <v>#NAME?</v>
          </cell>
          <cell r="C133">
            <v>0</v>
          </cell>
          <cell r="D133" t="str">
            <v xml:space="preserve">  MCFD</v>
          </cell>
          <cell r="E133" t="str">
            <v>UNAV</v>
          </cell>
          <cell r="F133" t="str">
            <v xml:space="preserve"> S</v>
          </cell>
          <cell r="G133">
            <v>36796.261805555558</v>
          </cell>
          <cell r="H133" t="str">
            <v>VOLR</v>
          </cell>
        </row>
        <row r="134">
          <cell r="A134">
            <v>16315</v>
          </cell>
          <cell r="B134" t="e">
            <v>#NAME?</v>
          </cell>
          <cell r="C134">
            <v>0</v>
          </cell>
          <cell r="D134" t="str">
            <v xml:space="preserve">  MCFD</v>
          </cell>
          <cell r="E134" t="str">
            <v>UNAV</v>
          </cell>
          <cell r="F134" t="str">
            <v xml:space="preserve"> S</v>
          </cell>
          <cell r="G134">
            <v>36796.261805555558</v>
          </cell>
          <cell r="H134" t="str">
            <v>VOLR</v>
          </cell>
        </row>
        <row r="135">
          <cell r="A135">
            <v>16316</v>
          </cell>
          <cell r="B135" t="e">
            <v>#NAME?</v>
          </cell>
          <cell r="C135">
            <v>0</v>
          </cell>
          <cell r="D135" t="str">
            <v xml:space="preserve">  MCFD</v>
          </cell>
          <cell r="E135" t="str">
            <v>UNAV</v>
          </cell>
          <cell r="F135" t="str">
            <v xml:space="preserve"> S</v>
          </cell>
          <cell r="G135">
            <v>36796.261805555558</v>
          </cell>
          <cell r="H135" t="str">
            <v>VOLR</v>
          </cell>
        </row>
        <row r="136">
          <cell r="A136">
            <v>16317</v>
          </cell>
          <cell r="B136" t="e">
            <v>#NAME?</v>
          </cell>
          <cell r="C136">
            <v>0</v>
          </cell>
          <cell r="D136" t="str">
            <v xml:space="preserve">  MCFD</v>
          </cell>
          <cell r="E136" t="str">
            <v>UNAV</v>
          </cell>
          <cell r="F136" t="str">
            <v xml:space="preserve"> S</v>
          </cell>
          <cell r="G136">
            <v>36796.261805555558</v>
          </cell>
          <cell r="H136" t="str">
            <v>VOLR</v>
          </cell>
        </row>
        <row r="137">
          <cell r="A137">
            <v>16318</v>
          </cell>
          <cell r="B137" t="e">
            <v>#NAME?</v>
          </cell>
          <cell r="C137">
            <v>0</v>
          </cell>
          <cell r="D137" t="str">
            <v xml:space="preserve">  MCFD</v>
          </cell>
          <cell r="E137" t="str">
            <v>UNAV</v>
          </cell>
          <cell r="F137" t="str">
            <v xml:space="preserve"> S</v>
          </cell>
          <cell r="G137">
            <v>36796.261805555558</v>
          </cell>
          <cell r="H137" t="str">
            <v>VOLR</v>
          </cell>
        </row>
        <row r="138">
          <cell r="A138">
            <v>16319</v>
          </cell>
          <cell r="B138" t="e">
            <v>#NAME?</v>
          </cell>
          <cell r="C138">
            <v>0</v>
          </cell>
          <cell r="D138" t="str">
            <v xml:space="preserve">  MCFD</v>
          </cell>
          <cell r="E138" t="str">
            <v>UNAV</v>
          </cell>
          <cell r="F138" t="str">
            <v xml:space="preserve"> S</v>
          </cell>
          <cell r="G138">
            <v>36796.261805555558</v>
          </cell>
          <cell r="H138" t="str">
            <v>VOLR</v>
          </cell>
        </row>
        <row r="139">
          <cell r="A139">
            <v>16320</v>
          </cell>
          <cell r="B139" t="e">
            <v>#NAME?</v>
          </cell>
          <cell r="C139">
            <v>0</v>
          </cell>
          <cell r="D139" t="str">
            <v xml:space="preserve">  MCFD</v>
          </cell>
          <cell r="E139" t="str">
            <v>UNAV</v>
          </cell>
          <cell r="F139" t="str">
            <v xml:space="preserve"> S</v>
          </cell>
          <cell r="G139">
            <v>36796.261805555558</v>
          </cell>
          <cell r="H139" t="str">
            <v>VOLR</v>
          </cell>
        </row>
        <row r="140">
          <cell r="A140">
            <v>16321</v>
          </cell>
          <cell r="B140" t="e">
            <v>#NAME?</v>
          </cell>
          <cell r="C140">
            <v>0</v>
          </cell>
          <cell r="D140" t="str">
            <v xml:space="preserve">  MCFD</v>
          </cell>
          <cell r="E140" t="str">
            <v>UNAV</v>
          </cell>
          <cell r="F140" t="str">
            <v xml:space="preserve"> S</v>
          </cell>
          <cell r="G140">
            <v>36796.261805555558</v>
          </cell>
          <cell r="H140" t="str">
            <v>VOLR</v>
          </cell>
        </row>
        <row r="141">
          <cell r="A141">
            <v>16322</v>
          </cell>
          <cell r="B141" t="e">
            <v>#NAME?</v>
          </cell>
          <cell r="C141">
            <v>0</v>
          </cell>
          <cell r="D141" t="str">
            <v xml:space="preserve">  MCFD</v>
          </cell>
          <cell r="E141" t="str">
            <v>UNAV</v>
          </cell>
          <cell r="F141" t="str">
            <v xml:space="preserve"> S</v>
          </cell>
          <cell r="G141">
            <v>36796.261805555558</v>
          </cell>
          <cell r="H141" t="str">
            <v>VOLR</v>
          </cell>
        </row>
        <row r="142">
          <cell r="A142">
            <v>16323</v>
          </cell>
          <cell r="B142" t="e">
            <v>#NAME?</v>
          </cell>
          <cell r="C142">
            <v>0</v>
          </cell>
          <cell r="D142" t="str">
            <v xml:space="preserve">  MCFD</v>
          </cell>
          <cell r="E142" t="str">
            <v>UNAV</v>
          </cell>
          <cell r="F142" t="str">
            <v xml:space="preserve"> S</v>
          </cell>
          <cell r="G142">
            <v>36796.261805555558</v>
          </cell>
          <cell r="H142" t="str">
            <v>VOLR</v>
          </cell>
        </row>
        <row r="143">
          <cell r="A143">
            <v>16324</v>
          </cell>
          <cell r="B143" t="e">
            <v>#NAME?</v>
          </cell>
          <cell r="C143">
            <v>0</v>
          </cell>
          <cell r="D143" t="str">
            <v xml:space="preserve">  MCFD</v>
          </cell>
          <cell r="E143" t="str">
            <v>UNAV</v>
          </cell>
          <cell r="F143" t="str">
            <v xml:space="preserve"> S</v>
          </cell>
          <cell r="G143">
            <v>36796.261805555558</v>
          </cell>
          <cell r="H143" t="str">
            <v>VOLR</v>
          </cell>
        </row>
        <row r="144">
          <cell r="A144">
            <v>16326</v>
          </cell>
          <cell r="B144" t="e">
            <v>#NAME?</v>
          </cell>
          <cell r="C144">
            <v>0</v>
          </cell>
          <cell r="D144" t="str">
            <v xml:space="preserve">  MCFD</v>
          </cell>
          <cell r="E144" t="str">
            <v>UNAV</v>
          </cell>
          <cell r="F144" t="str">
            <v xml:space="preserve"> S</v>
          </cell>
          <cell r="G144">
            <v>36796.261805555558</v>
          </cell>
          <cell r="H144" t="str">
            <v>VOLR</v>
          </cell>
        </row>
        <row r="145">
          <cell r="A145">
            <v>16328</v>
          </cell>
          <cell r="B145" t="e">
            <v>#NAME?</v>
          </cell>
          <cell r="C145">
            <v>0</v>
          </cell>
          <cell r="D145" t="str">
            <v xml:space="preserve">  MCFD</v>
          </cell>
          <cell r="E145" t="str">
            <v>UNAV</v>
          </cell>
          <cell r="F145" t="str">
            <v xml:space="preserve"> S</v>
          </cell>
          <cell r="G145">
            <v>36796.261805555558</v>
          </cell>
          <cell r="H145" t="str">
            <v>VOLR</v>
          </cell>
        </row>
        <row r="146">
          <cell r="A146">
            <v>16330</v>
          </cell>
          <cell r="B146" t="e">
            <v>#NAME?</v>
          </cell>
          <cell r="C146">
            <v>0</v>
          </cell>
          <cell r="D146" t="str">
            <v xml:space="preserve">  MCFD</v>
          </cell>
          <cell r="E146" t="str">
            <v>UNAV</v>
          </cell>
          <cell r="F146" t="str">
            <v xml:space="preserve"> S</v>
          </cell>
          <cell r="G146">
            <v>36796.261805555558</v>
          </cell>
          <cell r="H146" t="str">
            <v>VOLR</v>
          </cell>
        </row>
        <row r="147">
          <cell r="A147">
            <v>16331</v>
          </cell>
          <cell r="B147" t="e">
            <v>#NAME?</v>
          </cell>
          <cell r="C147">
            <v>3887</v>
          </cell>
          <cell r="D147" t="str">
            <v xml:space="preserve">  MCFD</v>
          </cell>
          <cell r="E147" t="str">
            <v xml:space="preserve">    </v>
          </cell>
          <cell r="F147" t="str">
            <v xml:space="preserve"> S</v>
          </cell>
          <cell r="G147">
            <v>36796.228472222225</v>
          </cell>
          <cell r="H147" t="str">
            <v>VOLR</v>
          </cell>
        </row>
        <row r="148">
          <cell r="A148">
            <v>16332</v>
          </cell>
          <cell r="B148" t="e">
            <v>#NAME?</v>
          </cell>
          <cell r="C148">
            <v>0</v>
          </cell>
          <cell r="D148" t="str">
            <v xml:space="preserve">  MCFD</v>
          </cell>
          <cell r="E148" t="str">
            <v>UNAV</v>
          </cell>
          <cell r="F148" t="str">
            <v xml:space="preserve"> S</v>
          </cell>
          <cell r="G148">
            <v>36796.261805555558</v>
          </cell>
          <cell r="H148" t="str">
            <v>VOLR</v>
          </cell>
        </row>
        <row r="149">
          <cell r="A149">
            <v>16333</v>
          </cell>
          <cell r="B149" t="e">
            <v>#NAME?</v>
          </cell>
          <cell r="C149">
            <v>0</v>
          </cell>
          <cell r="D149" t="str">
            <v xml:space="preserve">  MCFD</v>
          </cell>
          <cell r="E149" t="str">
            <v>UNAV</v>
          </cell>
          <cell r="F149" t="str">
            <v xml:space="preserve"> S</v>
          </cell>
          <cell r="G149">
            <v>36796.261805555558</v>
          </cell>
          <cell r="H149" t="str">
            <v>VOLR</v>
          </cell>
        </row>
        <row r="150">
          <cell r="A150">
            <v>16334</v>
          </cell>
          <cell r="B150" t="e">
            <v>#NAME?</v>
          </cell>
          <cell r="C150">
            <v>0</v>
          </cell>
          <cell r="D150" t="str">
            <v xml:space="preserve">  MCFD</v>
          </cell>
          <cell r="E150" t="str">
            <v>UNAV</v>
          </cell>
          <cell r="F150" t="str">
            <v xml:space="preserve"> S</v>
          </cell>
          <cell r="G150">
            <v>36796.261805555558</v>
          </cell>
          <cell r="H150" t="str">
            <v>VOLR</v>
          </cell>
        </row>
        <row r="151">
          <cell r="A151">
            <v>16335</v>
          </cell>
          <cell r="B151" t="e">
            <v>#NAME?</v>
          </cell>
          <cell r="C151">
            <v>66164</v>
          </cell>
          <cell r="D151" t="str">
            <v xml:space="preserve">  MCFD</v>
          </cell>
          <cell r="E151" t="str">
            <v xml:space="preserve">    </v>
          </cell>
          <cell r="F151" t="str">
            <v xml:space="preserve"> S</v>
          </cell>
          <cell r="G151">
            <v>36796.256249999999</v>
          </cell>
          <cell r="H151" t="str">
            <v>VOLR</v>
          </cell>
        </row>
        <row r="152">
          <cell r="A152">
            <v>16336</v>
          </cell>
          <cell r="B152" t="e">
            <v>#NAME?</v>
          </cell>
          <cell r="C152">
            <v>0</v>
          </cell>
          <cell r="D152" t="str">
            <v xml:space="preserve">  MCFD</v>
          </cell>
          <cell r="E152" t="str">
            <v>UNAV</v>
          </cell>
          <cell r="F152" t="str">
            <v xml:space="preserve"> S</v>
          </cell>
          <cell r="G152">
            <v>36796.261805555558</v>
          </cell>
          <cell r="H152" t="str">
            <v>VOLR</v>
          </cell>
        </row>
        <row r="153">
          <cell r="A153">
            <v>16337</v>
          </cell>
          <cell r="B153" t="e">
            <v>#NAME?</v>
          </cell>
          <cell r="C153">
            <v>0</v>
          </cell>
          <cell r="D153" t="str">
            <v xml:space="preserve">  MCFD</v>
          </cell>
          <cell r="E153" t="str">
            <v>UNAV</v>
          </cell>
          <cell r="F153" t="str">
            <v xml:space="preserve"> S</v>
          </cell>
          <cell r="G153">
            <v>36796.261805555558</v>
          </cell>
          <cell r="H153" t="str">
            <v>VOLR</v>
          </cell>
        </row>
        <row r="154">
          <cell r="A154">
            <v>16338</v>
          </cell>
          <cell r="B154" t="e">
            <v>#NAME?</v>
          </cell>
          <cell r="C154">
            <v>15855</v>
          </cell>
          <cell r="D154" t="str">
            <v xml:space="preserve">  MCFD</v>
          </cell>
          <cell r="E154" t="str">
            <v xml:space="preserve">    </v>
          </cell>
          <cell r="F154" t="str">
            <v xml:space="preserve"> S</v>
          </cell>
          <cell r="G154">
            <v>36796.260416666664</v>
          </cell>
          <cell r="H154" t="str">
            <v>VOLR</v>
          </cell>
        </row>
        <row r="155">
          <cell r="A155">
            <v>16339</v>
          </cell>
          <cell r="B155" t="e">
            <v>#NAME?</v>
          </cell>
          <cell r="C155">
            <v>0</v>
          </cell>
          <cell r="D155" t="str">
            <v xml:space="preserve">  MCFD</v>
          </cell>
          <cell r="E155" t="str">
            <v>UNAV</v>
          </cell>
          <cell r="F155" t="str">
            <v xml:space="preserve"> S</v>
          </cell>
          <cell r="G155">
            <v>36796.261805555558</v>
          </cell>
          <cell r="H155" t="str">
            <v>VOLR</v>
          </cell>
        </row>
        <row r="156">
          <cell r="A156">
            <v>16340</v>
          </cell>
          <cell r="B156" t="e">
            <v>#NAME?</v>
          </cell>
          <cell r="C156">
            <v>0</v>
          </cell>
          <cell r="D156" t="str">
            <v xml:space="preserve">  MCFD</v>
          </cell>
          <cell r="E156" t="str">
            <v>UNAV</v>
          </cell>
          <cell r="F156" t="str">
            <v xml:space="preserve"> S</v>
          </cell>
          <cell r="G156">
            <v>36796.261805555558</v>
          </cell>
          <cell r="H156" t="str">
            <v>VOLR</v>
          </cell>
        </row>
        <row r="157">
          <cell r="A157">
            <v>16341</v>
          </cell>
          <cell r="B157" t="e">
            <v>#NAME?</v>
          </cell>
          <cell r="C157">
            <v>0</v>
          </cell>
          <cell r="D157" t="str">
            <v xml:space="preserve">  MCFD</v>
          </cell>
          <cell r="E157" t="str">
            <v>UNAV</v>
          </cell>
          <cell r="F157" t="str">
            <v xml:space="preserve"> S</v>
          </cell>
          <cell r="G157">
            <v>36796.261805555558</v>
          </cell>
          <cell r="H157" t="str">
            <v>VOLR</v>
          </cell>
        </row>
        <row r="158">
          <cell r="A158">
            <v>16342</v>
          </cell>
          <cell r="B158" t="e">
            <v>#NAME?</v>
          </cell>
          <cell r="C158">
            <v>0</v>
          </cell>
          <cell r="D158" t="str">
            <v xml:space="preserve">  MCFD</v>
          </cell>
          <cell r="E158" t="str">
            <v>UNAV</v>
          </cell>
          <cell r="F158" t="str">
            <v xml:space="preserve"> S</v>
          </cell>
          <cell r="G158">
            <v>36796.261805555558</v>
          </cell>
          <cell r="H158" t="str">
            <v>VOLR</v>
          </cell>
        </row>
        <row r="159">
          <cell r="A159">
            <v>16343</v>
          </cell>
          <cell r="B159" t="e">
            <v>#NAME?</v>
          </cell>
          <cell r="C159">
            <v>0</v>
          </cell>
          <cell r="D159" t="str">
            <v xml:space="preserve">  MCFD</v>
          </cell>
          <cell r="E159" t="str">
            <v>UNAV</v>
          </cell>
          <cell r="F159" t="str">
            <v xml:space="preserve"> S</v>
          </cell>
          <cell r="G159">
            <v>36796.261805555558</v>
          </cell>
          <cell r="H159" t="str">
            <v>VOLR</v>
          </cell>
        </row>
        <row r="160">
          <cell r="A160">
            <v>16344</v>
          </cell>
          <cell r="B160" t="e">
            <v>#NAME?</v>
          </cell>
          <cell r="C160">
            <v>0</v>
          </cell>
          <cell r="D160" t="str">
            <v xml:space="preserve">  MCFD</v>
          </cell>
          <cell r="E160" t="str">
            <v>UNAV</v>
          </cell>
          <cell r="F160" t="str">
            <v xml:space="preserve"> S</v>
          </cell>
          <cell r="G160">
            <v>36796.261805555558</v>
          </cell>
          <cell r="H160" t="str">
            <v>VOLR</v>
          </cell>
        </row>
        <row r="161">
          <cell r="A161">
            <v>16345</v>
          </cell>
          <cell r="B161" t="e">
            <v>#NAME?</v>
          </cell>
          <cell r="C161">
            <v>0</v>
          </cell>
          <cell r="D161" t="str">
            <v xml:space="preserve">  MCFD</v>
          </cell>
          <cell r="E161" t="str">
            <v>UNAV</v>
          </cell>
          <cell r="F161" t="str">
            <v xml:space="preserve"> S</v>
          </cell>
          <cell r="G161">
            <v>36796.261805555558</v>
          </cell>
          <cell r="H161" t="str">
            <v>VOLR</v>
          </cell>
        </row>
        <row r="162">
          <cell r="A162">
            <v>16346</v>
          </cell>
          <cell r="B162" t="e">
            <v>#NAME?</v>
          </cell>
          <cell r="C162">
            <v>0</v>
          </cell>
          <cell r="D162" t="str">
            <v xml:space="preserve">  MCFD</v>
          </cell>
          <cell r="E162" t="str">
            <v>UNAV</v>
          </cell>
          <cell r="F162" t="str">
            <v xml:space="preserve"> S</v>
          </cell>
          <cell r="G162">
            <v>36796.261805555558</v>
          </cell>
          <cell r="H162" t="str">
            <v>VOLR</v>
          </cell>
        </row>
        <row r="163">
          <cell r="A163">
            <v>16347</v>
          </cell>
          <cell r="B163" t="e">
            <v>#NAME?</v>
          </cell>
          <cell r="C163">
            <v>0</v>
          </cell>
          <cell r="D163" t="str">
            <v xml:space="preserve">  MCFD</v>
          </cell>
          <cell r="E163" t="str">
            <v xml:space="preserve">    </v>
          </cell>
          <cell r="F163" t="str">
            <v xml:space="preserve"> S</v>
          </cell>
          <cell r="G163">
            <v>36796.257638888892</v>
          </cell>
          <cell r="H163" t="str">
            <v>VOLR</v>
          </cell>
        </row>
        <row r="164">
          <cell r="A164">
            <v>16348</v>
          </cell>
          <cell r="B164" t="e">
            <v>#NAME?</v>
          </cell>
          <cell r="C164">
            <v>0</v>
          </cell>
          <cell r="D164" t="str">
            <v xml:space="preserve">  MCFD</v>
          </cell>
          <cell r="E164" t="str">
            <v>UNAV</v>
          </cell>
          <cell r="F164" t="str">
            <v xml:space="preserve"> S</v>
          </cell>
          <cell r="G164">
            <v>36796.261805555558</v>
          </cell>
          <cell r="H164" t="str">
            <v>VOLR</v>
          </cell>
        </row>
        <row r="165">
          <cell r="A165">
            <v>16350</v>
          </cell>
          <cell r="B165" t="e">
            <v>#NAME?</v>
          </cell>
          <cell r="C165">
            <v>9532</v>
          </cell>
          <cell r="D165" t="str">
            <v xml:space="preserve">  MCFD</v>
          </cell>
          <cell r="E165" t="str">
            <v xml:space="preserve">    </v>
          </cell>
          <cell r="F165" t="str">
            <v xml:space="preserve"> S</v>
          </cell>
          <cell r="G165">
            <v>36796.259722222225</v>
          </cell>
          <cell r="H165" t="str">
            <v>VOLR</v>
          </cell>
        </row>
        <row r="166">
          <cell r="A166">
            <v>16351</v>
          </cell>
          <cell r="B166" t="e">
            <v>#NAME?</v>
          </cell>
          <cell r="C166">
            <v>0</v>
          </cell>
          <cell r="D166" t="str">
            <v xml:space="preserve">  MCFD</v>
          </cell>
          <cell r="E166" t="str">
            <v xml:space="preserve">    </v>
          </cell>
          <cell r="F166" t="str">
            <v xml:space="preserve"> S</v>
          </cell>
          <cell r="G166">
            <v>36796.255555555559</v>
          </cell>
          <cell r="H166" t="str">
            <v>VOLR</v>
          </cell>
        </row>
        <row r="167">
          <cell r="A167">
            <v>16352</v>
          </cell>
          <cell r="B167" t="e">
            <v>#NAME?</v>
          </cell>
          <cell r="C167">
            <v>0</v>
          </cell>
          <cell r="D167" t="str">
            <v xml:space="preserve">  MCFD</v>
          </cell>
          <cell r="E167" t="str">
            <v xml:space="preserve">    </v>
          </cell>
          <cell r="F167" t="str">
            <v xml:space="preserve"> S</v>
          </cell>
          <cell r="G167">
            <v>36796.246527777781</v>
          </cell>
          <cell r="H167" t="str">
            <v>VOLR</v>
          </cell>
        </row>
        <row r="168">
          <cell r="A168">
            <v>16353</v>
          </cell>
          <cell r="B168" t="e">
            <v>#NAME?</v>
          </cell>
          <cell r="C168">
            <v>0</v>
          </cell>
          <cell r="D168" t="str">
            <v xml:space="preserve">  MCFD</v>
          </cell>
          <cell r="E168" t="str">
            <v>UNAV</v>
          </cell>
          <cell r="F168" t="str">
            <v xml:space="preserve"> S</v>
          </cell>
          <cell r="G168">
            <v>36796.261805555558</v>
          </cell>
          <cell r="H168" t="str">
            <v>VOLR</v>
          </cell>
        </row>
        <row r="169">
          <cell r="A169">
            <v>16354</v>
          </cell>
          <cell r="B169" t="e">
            <v>#NAME?</v>
          </cell>
          <cell r="C169">
            <v>27791</v>
          </cell>
          <cell r="D169" t="str">
            <v xml:space="preserve">  MCFD</v>
          </cell>
          <cell r="E169" t="str">
            <v xml:space="preserve">    </v>
          </cell>
          <cell r="F169" t="str">
            <v xml:space="preserve"> S</v>
          </cell>
          <cell r="G169">
            <v>36796.258333333331</v>
          </cell>
          <cell r="H169" t="str">
            <v>VOLR</v>
          </cell>
        </row>
        <row r="170">
          <cell r="A170">
            <v>16355</v>
          </cell>
          <cell r="B170" t="e">
            <v>#NAME?</v>
          </cell>
          <cell r="C170">
            <v>9225</v>
          </cell>
          <cell r="D170" t="str">
            <v xml:space="preserve">  MCFD</v>
          </cell>
          <cell r="E170" t="str">
            <v xml:space="preserve">    </v>
          </cell>
          <cell r="F170" t="str">
            <v xml:space="preserve"> S</v>
          </cell>
          <cell r="G170">
            <v>36796.256249999999</v>
          </cell>
          <cell r="H170" t="str">
            <v>VOLR</v>
          </cell>
        </row>
        <row r="171">
          <cell r="A171">
            <v>16357</v>
          </cell>
          <cell r="B171" t="e">
            <v>#NAME?</v>
          </cell>
          <cell r="C171">
            <v>0</v>
          </cell>
          <cell r="D171" t="str">
            <v xml:space="preserve">  MCFD</v>
          </cell>
          <cell r="E171" t="str">
            <v>UNAV</v>
          </cell>
          <cell r="F171" t="str">
            <v xml:space="preserve"> S</v>
          </cell>
          <cell r="G171">
            <v>36796.261805555558</v>
          </cell>
          <cell r="H171" t="str">
            <v>VOLR</v>
          </cell>
        </row>
        <row r="172">
          <cell r="A172">
            <v>16359</v>
          </cell>
          <cell r="B172" t="e">
            <v>#NAME?</v>
          </cell>
          <cell r="C172">
            <v>0</v>
          </cell>
          <cell r="D172" t="str">
            <v xml:space="preserve">  MCFD</v>
          </cell>
          <cell r="E172" t="str">
            <v>UNAV</v>
          </cell>
          <cell r="F172" t="str">
            <v xml:space="preserve"> S</v>
          </cell>
          <cell r="G172">
            <v>36796.261805555558</v>
          </cell>
          <cell r="H172" t="str">
            <v>VOLR</v>
          </cell>
        </row>
        <row r="173">
          <cell r="A173">
            <v>16360</v>
          </cell>
          <cell r="B173" t="e">
            <v>#NAME?</v>
          </cell>
          <cell r="C173">
            <v>0</v>
          </cell>
          <cell r="D173" t="str">
            <v xml:space="preserve">  MCFD</v>
          </cell>
          <cell r="E173" t="str">
            <v>UNAV</v>
          </cell>
          <cell r="F173" t="str">
            <v xml:space="preserve"> S</v>
          </cell>
          <cell r="G173">
            <v>36796.261805555558</v>
          </cell>
          <cell r="H173" t="str">
            <v>VOLR</v>
          </cell>
        </row>
        <row r="174">
          <cell r="A174">
            <v>16361</v>
          </cell>
          <cell r="B174" t="e">
            <v>#NAME?</v>
          </cell>
          <cell r="C174">
            <v>0</v>
          </cell>
          <cell r="D174" t="str">
            <v xml:space="preserve">  MCFD</v>
          </cell>
          <cell r="E174" t="str">
            <v>UNAV</v>
          </cell>
          <cell r="F174" t="str">
            <v xml:space="preserve"> S</v>
          </cell>
          <cell r="G174">
            <v>36796.261805555558</v>
          </cell>
          <cell r="H174" t="str">
            <v>VOLR</v>
          </cell>
        </row>
        <row r="175">
          <cell r="A175">
            <v>16362</v>
          </cell>
          <cell r="B175" t="e">
            <v>#NAME?</v>
          </cell>
          <cell r="C175">
            <v>0</v>
          </cell>
          <cell r="D175" t="str">
            <v xml:space="preserve">  MCFD</v>
          </cell>
          <cell r="E175" t="str">
            <v xml:space="preserve">    </v>
          </cell>
          <cell r="F175" t="str">
            <v xml:space="preserve"> S</v>
          </cell>
          <cell r="G175">
            <v>36796.261805555558</v>
          </cell>
          <cell r="H175" t="str">
            <v>VOLR</v>
          </cell>
        </row>
        <row r="176">
          <cell r="A176">
            <v>16363</v>
          </cell>
          <cell r="B176" t="e">
            <v>#NAME?</v>
          </cell>
          <cell r="C176">
            <v>0</v>
          </cell>
          <cell r="D176" t="str">
            <v xml:space="preserve">  MCFD</v>
          </cell>
          <cell r="E176" t="str">
            <v>UNAV</v>
          </cell>
          <cell r="F176" t="str">
            <v xml:space="preserve"> S</v>
          </cell>
          <cell r="G176">
            <v>36796.261805555558</v>
          </cell>
          <cell r="H176" t="str">
            <v>VOLR</v>
          </cell>
        </row>
        <row r="177">
          <cell r="A177">
            <v>16365</v>
          </cell>
          <cell r="B177" t="e">
            <v>#NAME?</v>
          </cell>
          <cell r="C177">
            <v>0</v>
          </cell>
          <cell r="D177" t="str">
            <v xml:space="preserve">  MCFD</v>
          </cell>
          <cell r="E177" t="str">
            <v>UNAV</v>
          </cell>
          <cell r="F177" t="str">
            <v xml:space="preserve"> S</v>
          </cell>
          <cell r="G177">
            <v>36796.261805555558</v>
          </cell>
          <cell r="H177" t="str">
            <v>VOLR</v>
          </cell>
        </row>
        <row r="178">
          <cell r="A178">
            <v>16366</v>
          </cell>
          <cell r="B178" t="e">
            <v>#NAME?</v>
          </cell>
          <cell r="C178">
            <v>1326</v>
          </cell>
          <cell r="D178" t="str">
            <v xml:space="preserve">  MCFD</v>
          </cell>
          <cell r="E178" t="str">
            <v xml:space="preserve">    </v>
          </cell>
          <cell r="F178" t="str">
            <v xml:space="preserve"> S</v>
          </cell>
          <cell r="G178">
            <v>36796.255555555559</v>
          </cell>
          <cell r="H178" t="str">
            <v>VOLR</v>
          </cell>
        </row>
        <row r="179">
          <cell r="A179">
            <v>16369</v>
          </cell>
          <cell r="B179" t="e">
            <v>#NAME?</v>
          </cell>
          <cell r="C179">
            <v>0</v>
          </cell>
          <cell r="D179" t="str">
            <v xml:space="preserve">  MCFD</v>
          </cell>
          <cell r="E179" t="str">
            <v>UNAV</v>
          </cell>
          <cell r="F179" t="str">
            <v xml:space="preserve"> S</v>
          </cell>
          <cell r="G179">
            <v>36796.261805555558</v>
          </cell>
          <cell r="H179" t="str">
            <v>VOLR</v>
          </cell>
        </row>
        <row r="180">
          <cell r="A180">
            <v>20679</v>
          </cell>
          <cell r="B180" t="e">
            <v>#NAME?</v>
          </cell>
          <cell r="C180">
            <v>0</v>
          </cell>
          <cell r="D180" t="str">
            <v xml:space="preserve">  MCFD</v>
          </cell>
          <cell r="E180" t="str">
            <v xml:space="preserve">    </v>
          </cell>
          <cell r="F180" t="str">
            <v xml:space="preserve"> S</v>
          </cell>
          <cell r="G180">
            <v>36796.255555555559</v>
          </cell>
          <cell r="H180" t="str">
            <v>VOLR</v>
          </cell>
        </row>
        <row r="181">
          <cell r="A181">
            <v>26001</v>
          </cell>
          <cell r="B181" t="e">
            <v>#NAME?</v>
          </cell>
          <cell r="C181">
            <v>3061</v>
          </cell>
          <cell r="D181" t="str">
            <v xml:space="preserve">  MCFD</v>
          </cell>
          <cell r="E181" t="str">
            <v xml:space="preserve">    </v>
          </cell>
          <cell r="F181" t="str">
            <v xml:space="preserve"> S</v>
          </cell>
          <cell r="G181">
            <v>36796.251388888886</v>
          </cell>
          <cell r="H181" t="str">
            <v>VOLR</v>
          </cell>
        </row>
        <row r="182">
          <cell r="A182">
            <v>26002</v>
          </cell>
          <cell r="B182" t="e">
            <v>#NAME?</v>
          </cell>
          <cell r="C182">
            <v>4660</v>
          </cell>
          <cell r="D182" t="str">
            <v xml:space="preserve">  MCFD</v>
          </cell>
          <cell r="E182" t="str">
            <v xml:space="preserve">    </v>
          </cell>
          <cell r="F182" t="str">
            <v xml:space="preserve"> S</v>
          </cell>
          <cell r="G182">
            <v>36796.256249999999</v>
          </cell>
          <cell r="H182" t="str">
            <v>VOLR</v>
          </cell>
        </row>
        <row r="183">
          <cell r="A183">
            <v>26005</v>
          </cell>
          <cell r="B183" t="e">
            <v>#NAME?</v>
          </cell>
          <cell r="C183">
            <v>0</v>
          </cell>
          <cell r="D183" t="str">
            <v xml:space="preserve">  MCFD</v>
          </cell>
          <cell r="E183" t="str">
            <v xml:space="preserve">    </v>
          </cell>
          <cell r="F183" t="str">
            <v xml:space="preserve"> S</v>
          </cell>
          <cell r="G183">
            <v>36796.258333333331</v>
          </cell>
          <cell r="H183" t="str">
            <v>VOLR</v>
          </cell>
        </row>
        <row r="184">
          <cell r="A184">
            <v>26006</v>
          </cell>
          <cell r="B184" t="e">
            <v>#NAME?</v>
          </cell>
          <cell r="C184">
            <v>9433</v>
          </cell>
          <cell r="D184" t="str">
            <v xml:space="preserve">  MCFD</v>
          </cell>
          <cell r="E184" t="str">
            <v xml:space="preserve">    </v>
          </cell>
          <cell r="F184" t="str">
            <v xml:space="preserve"> S</v>
          </cell>
          <cell r="G184">
            <v>36796.255555555559</v>
          </cell>
          <cell r="H184" t="str">
            <v>VOLR</v>
          </cell>
        </row>
        <row r="185">
          <cell r="A185">
            <v>26007</v>
          </cell>
          <cell r="B185" t="e">
            <v>#NAME?</v>
          </cell>
          <cell r="C185">
            <v>0</v>
          </cell>
          <cell r="D185" t="str">
            <v xml:space="preserve">  MCFD</v>
          </cell>
          <cell r="E185" t="str">
            <v>UNAV</v>
          </cell>
          <cell r="F185" t="str">
            <v xml:space="preserve"> S</v>
          </cell>
          <cell r="G185">
            <v>36796.261805555558</v>
          </cell>
          <cell r="H185" t="str">
            <v>VOLR</v>
          </cell>
        </row>
        <row r="186">
          <cell r="A186">
            <v>26008</v>
          </cell>
          <cell r="B186" t="e">
            <v>#NAME?</v>
          </cell>
          <cell r="C186">
            <v>4975</v>
          </cell>
          <cell r="D186" t="str">
            <v xml:space="preserve">  MCFD</v>
          </cell>
          <cell r="E186" t="str">
            <v xml:space="preserve">    </v>
          </cell>
          <cell r="F186" t="str">
            <v xml:space="preserve"> S</v>
          </cell>
          <cell r="G186">
            <v>36796.254861111112</v>
          </cell>
          <cell r="H186" t="str">
            <v>VOLR</v>
          </cell>
        </row>
        <row r="187">
          <cell r="A187">
            <v>26009</v>
          </cell>
          <cell r="B187" t="e">
            <v>#NAME?</v>
          </cell>
          <cell r="C187">
            <v>0</v>
          </cell>
          <cell r="D187" t="str">
            <v xml:space="preserve">  MCFD</v>
          </cell>
          <cell r="E187" t="str">
            <v xml:space="preserve">    </v>
          </cell>
          <cell r="F187" t="str">
            <v xml:space="preserve"> S</v>
          </cell>
          <cell r="G187">
            <v>36796.25277777778</v>
          </cell>
          <cell r="H187" t="str">
            <v>VOLR</v>
          </cell>
        </row>
        <row r="188">
          <cell r="A188">
            <v>26011</v>
          </cell>
          <cell r="B188" t="e">
            <v>#NAME?</v>
          </cell>
          <cell r="C188">
            <v>0</v>
          </cell>
          <cell r="D188" t="str">
            <v xml:space="preserve">  MCFD</v>
          </cell>
          <cell r="E188" t="str">
            <v>UNAV</v>
          </cell>
          <cell r="F188" t="str">
            <v xml:space="preserve"> S</v>
          </cell>
          <cell r="G188">
            <v>36796.261805555558</v>
          </cell>
          <cell r="H188" t="str">
            <v>VOLR</v>
          </cell>
        </row>
        <row r="189">
          <cell r="A189">
            <v>26013</v>
          </cell>
          <cell r="B189" t="e">
            <v>#NAME?</v>
          </cell>
          <cell r="C189">
            <v>0</v>
          </cell>
          <cell r="D189" t="str">
            <v xml:space="preserve">  MCFD</v>
          </cell>
          <cell r="E189" t="str">
            <v>UNAV</v>
          </cell>
          <cell r="F189" t="str">
            <v xml:space="preserve"> S</v>
          </cell>
          <cell r="G189">
            <v>36796.261805555558</v>
          </cell>
          <cell r="H189" t="str">
            <v>VOLR</v>
          </cell>
        </row>
        <row r="190">
          <cell r="A190">
            <v>26014</v>
          </cell>
          <cell r="B190" t="e">
            <v>#NAME?</v>
          </cell>
          <cell r="C190">
            <v>0</v>
          </cell>
          <cell r="D190" t="str">
            <v xml:space="preserve">  MCFD</v>
          </cell>
          <cell r="E190" t="str">
            <v xml:space="preserve">    </v>
          </cell>
          <cell r="F190" t="str">
            <v xml:space="preserve"> S</v>
          </cell>
          <cell r="G190">
            <v>36796.255555555559</v>
          </cell>
          <cell r="H190" t="str">
            <v>VOLR</v>
          </cell>
        </row>
        <row r="191">
          <cell r="A191">
            <v>26015</v>
          </cell>
          <cell r="B191" t="e">
            <v>#NAME?</v>
          </cell>
          <cell r="C191">
            <v>0</v>
          </cell>
          <cell r="D191" t="str">
            <v xml:space="preserve">  MCFD</v>
          </cell>
          <cell r="E191" t="str">
            <v>UNAV</v>
          </cell>
          <cell r="F191" t="str">
            <v xml:space="preserve"> S</v>
          </cell>
          <cell r="G191">
            <v>36796.261805555558</v>
          </cell>
          <cell r="H191" t="str">
            <v>VOLR</v>
          </cell>
        </row>
        <row r="192">
          <cell r="A192">
            <v>26016</v>
          </cell>
          <cell r="B192" t="e">
            <v>#NAME?</v>
          </cell>
          <cell r="C192">
            <v>0</v>
          </cell>
          <cell r="D192" t="str">
            <v xml:space="preserve">  MCFD</v>
          </cell>
          <cell r="E192" t="str">
            <v>UNAV</v>
          </cell>
          <cell r="F192" t="str">
            <v xml:space="preserve"> S</v>
          </cell>
          <cell r="G192">
            <v>36796.261805555558</v>
          </cell>
          <cell r="H192" t="str">
            <v>VOLR</v>
          </cell>
        </row>
        <row r="193">
          <cell r="A193">
            <v>26018</v>
          </cell>
          <cell r="B193" t="e">
            <v>#NAME?</v>
          </cell>
          <cell r="C193">
            <v>0</v>
          </cell>
          <cell r="D193" t="str">
            <v xml:space="preserve">  MCFD</v>
          </cell>
          <cell r="E193" t="str">
            <v xml:space="preserve">    </v>
          </cell>
          <cell r="F193" t="str">
            <v xml:space="preserve"> S</v>
          </cell>
          <cell r="G193">
            <v>36796.255555555559</v>
          </cell>
          <cell r="H193" t="str">
            <v>VOLR</v>
          </cell>
        </row>
        <row r="194">
          <cell r="A194">
            <v>26021</v>
          </cell>
          <cell r="B194" t="e">
            <v>#NAME?</v>
          </cell>
          <cell r="C194">
            <v>12769</v>
          </cell>
          <cell r="D194" t="str">
            <v xml:space="preserve">  MCFD</v>
          </cell>
          <cell r="E194" t="str">
            <v xml:space="preserve">    </v>
          </cell>
          <cell r="F194" t="str">
            <v xml:space="preserve"> S</v>
          </cell>
          <cell r="G194">
            <v>36796.255555555559</v>
          </cell>
          <cell r="H194" t="str">
            <v>VOLR</v>
          </cell>
        </row>
        <row r="195">
          <cell r="A195">
            <v>26022</v>
          </cell>
          <cell r="B195" t="e">
            <v>#NAME?</v>
          </cell>
          <cell r="C195">
            <v>0</v>
          </cell>
          <cell r="D195" t="str">
            <v xml:space="preserve">  MCFD</v>
          </cell>
          <cell r="E195" t="str">
            <v>UNAV</v>
          </cell>
          <cell r="F195" t="str">
            <v xml:space="preserve"> S</v>
          </cell>
          <cell r="G195">
            <v>36796.261805555558</v>
          </cell>
          <cell r="H195" t="str">
            <v>VOLR</v>
          </cell>
        </row>
        <row r="196">
          <cell r="A196">
            <v>26023</v>
          </cell>
          <cell r="B196" t="e">
            <v>#NAME?</v>
          </cell>
          <cell r="C196">
            <v>7531</v>
          </cell>
          <cell r="D196" t="str">
            <v xml:space="preserve">  MCFD</v>
          </cell>
          <cell r="E196" t="str">
            <v xml:space="preserve">    </v>
          </cell>
          <cell r="F196" t="str">
            <v xml:space="preserve"> S</v>
          </cell>
          <cell r="G196">
            <v>36796.261805555558</v>
          </cell>
          <cell r="H196" t="str">
            <v>VOLR</v>
          </cell>
        </row>
        <row r="197">
          <cell r="A197">
            <v>26025</v>
          </cell>
          <cell r="B197" t="e">
            <v>#NAME?</v>
          </cell>
          <cell r="C197">
            <v>0</v>
          </cell>
          <cell r="D197" t="str">
            <v xml:space="preserve">  MCFD</v>
          </cell>
          <cell r="E197" t="str">
            <v xml:space="preserve">    </v>
          </cell>
          <cell r="F197" t="str">
            <v xml:space="preserve"> S</v>
          </cell>
          <cell r="G197">
            <v>36796.229166666664</v>
          </cell>
          <cell r="H197" t="str">
            <v>VOLR</v>
          </cell>
        </row>
        <row r="198">
          <cell r="A198">
            <v>26026</v>
          </cell>
          <cell r="B198" t="e">
            <v>#NAME?</v>
          </cell>
          <cell r="C198">
            <v>20357</v>
          </cell>
          <cell r="D198" t="str">
            <v xml:space="preserve">  MCFD</v>
          </cell>
          <cell r="E198" t="str">
            <v xml:space="preserve">    </v>
          </cell>
          <cell r="F198" t="str">
            <v xml:space="preserve"> S</v>
          </cell>
          <cell r="G198">
            <v>36796.256249999999</v>
          </cell>
          <cell r="H198" t="str">
            <v>VOLR</v>
          </cell>
        </row>
        <row r="199">
          <cell r="A199">
            <v>26030</v>
          </cell>
          <cell r="B199" t="e">
            <v>#NAME?</v>
          </cell>
          <cell r="C199">
            <v>0</v>
          </cell>
          <cell r="D199" t="str">
            <v xml:space="preserve">  MCFD</v>
          </cell>
          <cell r="E199" t="str">
            <v>UNAV</v>
          </cell>
          <cell r="F199" t="str">
            <v xml:space="preserve"> S</v>
          </cell>
          <cell r="G199">
            <v>36796.261805555558</v>
          </cell>
          <cell r="H199" t="str">
            <v>VOLR</v>
          </cell>
        </row>
        <row r="200">
          <cell r="A200">
            <v>26032</v>
          </cell>
          <cell r="B200" t="e">
            <v>#NAME?</v>
          </cell>
          <cell r="C200">
            <v>0</v>
          </cell>
          <cell r="D200" t="str">
            <v xml:space="preserve">  MCFD</v>
          </cell>
          <cell r="E200" t="str">
            <v>UNAV</v>
          </cell>
          <cell r="F200" t="str">
            <v xml:space="preserve"> S</v>
          </cell>
          <cell r="G200">
            <v>36796.261805555558</v>
          </cell>
          <cell r="H200" t="str">
            <v>VOLR</v>
          </cell>
        </row>
        <row r="201">
          <cell r="A201">
            <v>26033</v>
          </cell>
          <cell r="B201" t="e">
            <v>#NAME?</v>
          </cell>
          <cell r="C201">
            <v>12937</v>
          </cell>
          <cell r="D201" t="str">
            <v xml:space="preserve">  MCFD</v>
          </cell>
          <cell r="E201" t="str">
            <v xml:space="preserve">    </v>
          </cell>
          <cell r="F201" t="str">
            <v xml:space="preserve"> S</v>
          </cell>
          <cell r="G201">
            <v>36796.261805555558</v>
          </cell>
          <cell r="H201" t="str">
            <v>VOLR</v>
          </cell>
        </row>
        <row r="202">
          <cell r="A202">
            <v>26034</v>
          </cell>
          <cell r="B202" t="e">
            <v>#NAME?</v>
          </cell>
          <cell r="C202">
            <v>0</v>
          </cell>
          <cell r="D202" t="str">
            <v xml:space="preserve">  MCFD</v>
          </cell>
          <cell r="E202" t="str">
            <v>UNAV</v>
          </cell>
          <cell r="F202" t="str">
            <v xml:space="preserve"> S</v>
          </cell>
          <cell r="G202">
            <v>36796.261805555558</v>
          </cell>
          <cell r="H202" t="str">
            <v>VOLR</v>
          </cell>
        </row>
        <row r="203">
          <cell r="A203">
            <v>26035</v>
          </cell>
          <cell r="B203" t="e">
            <v>#NAME?</v>
          </cell>
          <cell r="C203">
            <v>41100</v>
          </cell>
          <cell r="D203" t="str">
            <v xml:space="preserve">  MCFD</v>
          </cell>
          <cell r="E203" t="str">
            <v xml:space="preserve">    </v>
          </cell>
          <cell r="F203" t="str">
            <v xml:space="preserve"> S</v>
          </cell>
          <cell r="G203">
            <v>36796.259722222225</v>
          </cell>
          <cell r="H203" t="str">
            <v>VOLR</v>
          </cell>
        </row>
        <row r="204">
          <cell r="A204">
            <v>26037</v>
          </cell>
          <cell r="B204" t="e">
            <v>#NAME?</v>
          </cell>
          <cell r="C204">
            <v>0</v>
          </cell>
          <cell r="D204" t="str">
            <v xml:space="preserve">  MCFD</v>
          </cell>
          <cell r="E204" t="str">
            <v>UNAV</v>
          </cell>
          <cell r="F204" t="str">
            <v xml:space="preserve"> S</v>
          </cell>
          <cell r="G204">
            <v>36796.261805555558</v>
          </cell>
          <cell r="H204" t="str">
            <v>VOLR</v>
          </cell>
        </row>
        <row r="205">
          <cell r="A205">
            <v>26038</v>
          </cell>
          <cell r="B205" t="e">
            <v>#NAME?</v>
          </cell>
          <cell r="C205">
            <v>0</v>
          </cell>
          <cell r="D205" t="str">
            <v xml:space="preserve">  MCFD</v>
          </cell>
          <cell r="E205" t="str">
            <v>UNAV</v>
          </cell>
          <cell r="F205" t="str">
            <v xml:space="preserve"> S</v>
          </cell>
          <cell r="G205">
            <v>36796.261805555558</v>
          </cell>
          <cell r="H205" t="str">
            <v>VOLR</v>
          </cell>
        </row>
        <row r="206">
          <cell r="A206">
            <v>26039</v>
          </cell>
          <cell r="B206" t="e">
            <v>#NAME?</v>
          </cell>
          <cell r="C206">
            <v>0</v>
          </cell>
          <cell r="D206" t="str">
            <v xml:space="preserve">  MCFD</v>
          </cell>
          <cell r="E206" t="str">
            <v>UNAV</v>
          </cell>
          <cell r="F206" t="str">
            <v xml:space="preserve"> S</v>
          </cell>
          <cell r="G206">
            <v>36796.261805555558</v>
          </cell>
          <cell r="H206" t="str">
            <v>VOLR</v>
          </cell>
        </row>
        <row r="207">
          <cell r="A207">
            <v>26040</v>
          </cell>
          <cell r="B207" t="e">
            <v>#NAME?</v>
          </cell>
          <cell r="C207">
            <v>0</v>
          </cell>
          <cell r="D207" t="str">
            <v xml:space="preserve">  MCFD</v>
          </cell>
          <cell r="E207" t="str">
            <v>UNAV</v>
          </cell>
          <cell r="F207" t="str">
            <v xml:space="preserve"> S</v>
          </cell>
          <cell r="G207">
            <v>36796.261805555558</v>
          </cell>
          <cell r="H207" t="str">
            <v>VOLR</v>
          </cell>
        </row>
        <row r="208">
          <cell r="A208">
            <v>26042</v>
          </cell>
          <cell r="B208" t="e">
            <v>#NAME?</v>
          </cell>
          <cell r="C208">
            <v>0</v>
          </cell>
          <cell r="D208" t="str">
            <v xml:space="preserve">  MCFD</v>
          </cell>
          <cell r="E208" t="str">
            <v>UNAV</v>
          </cell>
          <cell r="F208" t="str">
            <v xml:space="preserve"> S</v>
          </cell>
          <cell r="G208">
            <v>36796.261805555558</v>
          </cell>
          <cell r="H208" t="str">
            <v>VOLR</v>
          </cell>
        </row>
        <row r="209">
          <cell r="A209">
            <v>26043</v>
          </cell>
          <cell r="B209" t="e">
            <v>#NAME?</v>
          </cell>
          <cell r="C209">
            <v>0</v>
          </cell>
          <cell r="D209" t="str">
            <v xml:space="preserve">  MCFD</v>
          </cell>
          <cell r="E209" t="str">
            <v>UNAV</v>
          </cell>
          <cell r="F209" t="str">
            <v xml:space="preserve"> S</v>
          </cell>
          <cell r="G209">
            <v>36796.261805555558</v>
          </cell>
          <cell r="H209" t="str">
            <v>VOLR</v>
          </cell>
        </row>
        <row r="210">
          <cell r="A210">
            <v>26044</v>
          </cell>
          <cell r="B210" t="e">
            <v>#NAME?</v>
          </cell>
          <cell r="C210">
            <v>0</v>
          </cell>
          <cell r="D210" t="str">
            <v xml:space="preserve">  MCFD</v>
          </cell>
          <cell r="E210" t="str">
            <v xml:space="preserve">    </v>
          </cell>
          <cell r="F210" t="str">
            <v xml:space="preserve"> S</v>
          </cell>
          <cell r="G210">
            <v>36796.255555555559</v>
          </cell>
          <cell r="H210" t="str">
            <v>VOLR</v>
          </cell>
        </row>
        <row r="211">
          <cell r="A211">
            <v>26045</v>
          </cell>
          <cell r="B211" t="e">
            <v>#NAME?</v>
          </cell>
          <cell r="C211">
            <v>5524</v>
          </cell>
          <cell r="D211" t="str">
            <v xml:space="preserve">  MCFD</v>
          </cell>
          <cell r="E211" t="str">
            <v xml:space="preserve">    </v>
          </cell>
          <cell r="F211" t="str">
            <v xml:space="preserve"> S</v>
          </cell>
          <cell r="G211">
            <v>36796.256944444445</v>
          </cell>
          <cell r="H211" t="str">
            <v>VOLR</v>
          </cell>
        </row>
        <row r="212">
          <cell r="A212">
            <v>26046</v>
          </cell>
          <cell r="B212" t="e">
            <v>#NAME?</v>
          </cell>
          <cell r="C212">
            <v>0</v>
          </cell>
          <cell r="D212" t="str">
            <v xml:space="preserve">  MCFD</v>
          </cell>
          <cell r="E212" t="str">
            <v xml:space="preserve">    </v>
          </cell>
          <cell r="F212" t="str">
            <v xml:space="preserve"> S</v>
          </cell>
          <cell r="G212">
            <v>36796.261805555558</v>
          </cell>
          <cell r="H212" t="str">
            <v>VOLR</v>
          </cell>
        </row>
        <row r="213">
          <cell r="A213">
            <v>26049</v>
          </cell>
          <cell r="B213" t="e">
            <v>#NAME?</v>
          </cell>
          <cell r="C213">
            <v>0</v>
          </cell>
          <cell r="D213" t="str">
            <v xml:space="preserve">  MCFD</v>
          </cell>
          <cell r="E213" t="str">
            <v xml:space="preserve">    </v>
          </cell>
          <cell r="F213" t="str">
            <v xml:space="preserve"> S</v>
          </cell>
          <cell r="G213">
            <v>36796.255555555559</v>
          </cell>
          <cell r="H213" t="str">
            <v>VOLR</v>
          </cell>
        </row>
        <row r="214">
          <cell r="A214">
            <v>26050</v>
          </cell>
          <cell r="B214" t="e">
            <v>#NAME?</v>
          </cell>
          <cell r="C214">
            <v>0</v>
          </cell>
          <cell r="D214" t="str">
            <v xml:space="preserve">  MCFD</v>
          </cell>
          <cell r="E214" t="str">
            <v>UNAV</v>
          </cell>
          <cell r="F214" t="str">
            <v xml:space="preserve"> S</v>
          </cell>
          <cell r="G214">
            <v>36796.261805555558</v>
          </cell>
          <cell r="H214" t="str">
            <v>VOLR</v>
          </cell>
        </row>
        <row r="215">
          <cell r="A215">
            <v>26051</v>
          </cell>
          <cell r="B215" t="e">
            <v>#NAME?</v>
          </cell>
          <cell r="C215">
            <v>0</v>
          </cell>
          <cell r="D215" t="str">
            <v xml:space="preserve">  MCFD</v>
          </cell>
          <cell r="E215" t="str">
            <v>UNAV</v>
          </cell>
          <cell r="F215" t="str">
            <v xml:space="preserve"> S</v>
          </cell>
          <cell r="G215">
            <v>36796.261805555558</v>
          </cell>
          <cell r="H215" t="str">
            <v>VOLR</v>
          </cell>
        </row>
        <row r="216">
          <cell r="A216">
            <v>26055</v>
          </cell>
          <cell r="B216" t="e">
            <v>#NAME?</v>
          </cell>
          <cell r="C216">
            <v>0</v>
          </cell>
          <cell r="D216" t="str">
            <v xml:space="preserve">  MCFD</v>
          </cell>
          <cell r="E216" t="str">
            <v>COMM</v>
          </cell>
          <cell r="F216" t="str">
            <v xml:space="preserve"> S</v>
          </cell>
          <cell r="G216">
            <v>36795.476388888892</v>
          </cell>
          <cell r="H216" t="str">
            <v>VOLR</v>
          </cell>
        </row>
        <row r="217">
          <cell r="A217">
            <v>26056</v>
          </cell>
          <cell r="B217" t="e">
            <v>#NAME?</v>
          </cell>
          <cell r="C217">
            <v>0</v>
          </cell>
          <cell r="D217" t="str">
            <v xml:space="preserve">  MCFD</v>
          </cell>
          <cell r="E217" t="str">
            <v>UNAV</v>
          </cell>
          <cell r="F217" t="str">
            <v xml:space="preserve"> S</v>
          </cell>
          <cell r="G217">
            <v>36796.261805555558</v>
          </cell>
          <cell r="H217" t="str">
            <v>VOLR</v>
          </cell>
        </row>
        <row r="218">
          <cell r="A218">
            <v>26058</v>
          </cell>
          <cell r="B218" t="e">
            <v>#NAME?</v>
          </cell>
          <cell r="C218">
            <v>7502</v>
          </cell>
          <cell r="D218" t="str">
            <v xml:space="preserve">  MCFD</v>
          </cell>
          <cell r="E218" t="str">
            <v xml:space="preserve">    </v>
          </cell>
          <cell r="F218" t="str">
            <v xml:space="preserve"> S</v>
          </cell>
          <cell r="G218">
            <v>36796.255555555559</v>
          </cell>
          <cell r="H218" t="str">
            <v>VOLR</v>
          </cell>
        </row>
        <row r="219">
          <cell r="A219">
            <v>26059</v>
          </cell>
          <cell r="B219" t="e">
            <v>#NAME?</v>
          </cell>
          <cell r="C219">
            <v>17440</v>
          </cell>
          <cell r="D219" t="str">
            <v xml:space="preserve">  MCFD</v>
          </cell>
          <cell r="E219" t="str">
            <v xml:space="preserve">    </v>
          </cell>
          <cell r="F219" t="str">
            <v xml:space="preserve"> S</v>
          </cell>
          <cell r="G219">
            <v>36796.255555555559</v>
          </cell>
          <cell r="H219" t="str">
            <v>VOLR</v>
          </cell>
        </row>
        <row r="220">
          <cell r="A220">
            <v>26061</v>
          </cell>
          <cell r="B220" t="e">
            <v>#NAME?</v>
          </cell>
          <cell r="C220">
            <v>0</v>
          </cell>
          <cell r="D220" t="str">
            <v xml:space="preserve">  MCFD</v>
          </cell>
          <cell r="E220" t="str">
            <v>UNAV</v>
          </cell>
          <cell r="F220" t="str">
            <v xml:space="preserve"> S</v>
          </cell>
          <cell r="G220">
            <v>36796.261805555558</v>
          </cell>
          <cell r="H220" t="str">
            <v>VOLR</v>
          </cell>
        </row>
        <row r="221">
          <cell r="A221">
            <v>26063</v>
          </cell>
          <cell r="B221" t="e">
            <v>#NAME?</v>
          </cell>
          <cell r="C221">
            <v>0</v>
          </cell>
          <cell r="D221" t="str">
            <v xml:space="preserve">  MCFD</v>
          </cell>
          <cell r="E221" t="str">
            <v>UNAV</v>
          </cell>
          <cell r="F221" t="str">
            <v xml:space="preserve"> S</v>
          </cell>
          <cell r="G221">
            <v>36796.261805555558</v>
          </cell>
          <cell r="H221" t="str">
            <v>VOLR</v>
          </cell>
        </row>
        <row r="222">
          <cell r="A222">
            <v>26065</v>
          </cell>
          <cell r="B222" t="e">
            <v>#NAME?</v>
          </cell>
          <cell r="C222">
            <v>0</v>
          </cell>
          <cell r="D222" t="str">
            <v xml:space="preserve">  MCFD</v>
          </cell>
          <cell r="E222" t="str">
            <v>UNAV</v>
          </cell>
          <cell r="F222" t="str">
            <v xml:space="preserve"> S</v>
          </cell>
          <cell r="G222">
            <v>36796.261805555558</v>
          </cell>
          <cell r="H222" t="str">
            <v>VOLR</v>
          </cell>
        </row>
        <row r="223">
          <cell r="A223">
            <v>26068</v>
          </cell>
          <cell r="B223" t="e">
            <v>#NAME?</v>
          </cell>
          <cell r="C223">
            <v>0</v>
          </cell>
          <cell r="D223" t="str">
            <v xml:space="preserve">  MCFD</v>
          </cell>
          <cell r="E223" t="str">
            <v>UNAV</v>
          </cell>
          <cell r="F223" t="str">
            <v xml:space="preserve"> S</v>
          </cell>
          <cell r="G223">
            <v>36796.261805555558</v>
          </cell>
          <cell r="H223" t="str">
            <v>VOLR</v>
          </cell>
        </row>
        <row r="224">
          <cell r="A224">
            <v>26069</v>
          </cell>
          <cell r="B224" t="e">
            <v>#NAME?</v>
          </cell>
          <cell r="C224">
            <v>0</v>
          </cell>
          <cell r="D224" t="str">
            <v xml:space="preserve">  MCFD</v>
          </cell>
          <cell r="E224" t="str">
            <v>COMM</v>
          </cell>
          <cell r="F224" t="str">
            <v xml:space="preserve"> S</v>
          </cell>
          <cell r="G224">
            <v>36795.410416666666</v>
          </cell>
          <cell r="H224" t="str">
            <v>VOLR</v>
          </cell>
        </row>
        <row r="225">
          <cell r="A225">
            <v>26070</v>
          </cell>
          <cell r="B225" t="e">
            <v>#NAME?</v>
          </cell>
          <cell r="C225">
            <v>0</v>
          </cell>
          <cell r="D225" t="str">
            <v xml:space="preserve">  MCFD</v>
          </cell>
          <cell r="E225" t="str">
            <v>UNAV</v>
          </cell>
          <cell r="F225" t="str">
            <v xml:space="preserve"> S</v>
          </cell>
          <cell r="G225">
            <v>36796.261805555558</v>
          </cell>
          <cell r="H225" t="str">
            <v>VOLR</v>
          </cell>
        </row>
        <row r="226">
          <cell r="A226">
            <v>26071</v>
          </cell>
          <cell r="B226" t="e">
            <v>#NAME?</v>
          </cell>
          <cell r="C226">
            <v>0</v>
          </cell>
          <cell r="D226" t="str">
            <v xml:space="preserve">  MCFD</v>
          </cell>
          <cell r="E226" t="str">
            <v xml:space="preserve">    </v>
          </cell>
          <cell r="F226" t="str">
            <v xml:space="preserve"> S</v>
          </cell>
          <cell r="G226">
            <v>36796.256944444445</v>
          </cell>
          <cell r="H226" t="str">
            <v>VOLR</v>
          </cell>
        </row>
        <row r="227">
          <cell r="A227">
            <v>26073</v>
          </cell>
          <cell r="B227" t="e">
            <v>#NAME?</v>
          </cell>
          <cell r="C227">
            <v>30115</v>
          </cell>
          <cell r="D227" t="str">
            <v xml:space="preserve">  MCFD</v>
          </cell>
          <cell r="E227" t="str">
            <v xml:space="preserve">    </v>
          </cell>
          <cell r="F227" t="str">
            <v xml:space="preserve"> S</v>
          </cell>
          <cell r="G227">
            <v>36796.256249999999</v>
          </cell>
          <cell r="H227" t="str">
            <v>VOLR</v>
          </cell>
        </row>
        <row r="228">
          <cell r="A228">
            <v>26075</v>
          </cell>
          <cell r="B228" t="e">
            <v>#NAME?</v>
          </cell>
          <cell r="C228">
            <v>0</v>
          </cell>
          <cell r="D228" t="str">
            <v xml:space="preserve">  MCFD</v>
          </cell>
          <cell r="E228" t="str">
            <v>UNAV</v>
          </cell>
          <cell r="F228" t="str">
            <v xml:space="preserve"> S</v>
          </cell>
          <cell r="G228">
            <v>36796.261805555558</v>
          </cell>
          <cell r="H228" t="str">
            <v>VOLR</v>
          </cell>
        </row>
        <row r="229">
          <cell r="A229">
            <v>26076</v>
          </cell>
          <cell r="B229" t="e">
            <v>#NAME?</v>
          </cell>
          <cell r="C229">
            <v>0</v>
          </cell>
          <cell r="D229" t="str">
            <v xml:space="preserve">  MCFD</v>
          </cell>
          <cell r="E229" t="str">
            <v>UNAV</v>
          </cell>
          <cell r="F229" t="str">
            <v xml:space="preserve"> S</v>
          </cell>
          <cell r="G229">
            <v>36796.261805555558</v>
          </cell>
          <cell r="H229" t="str">
            <v>VOLR</v>
          </cell>
        </row>
        <row r="230">
          <cell r="A230">
            <v>26077</v>
          </cell>
          <cell r="B230" t="e">
            <v>#NAME?</v>
          </cell>
          <cell r="C230">
            <v>0</v>
          </cell>
          <cell r="D230" t="str">
            <v xml:space="preserve">  MCFD</v>
          </cell>
          <cell r="E230" t="str">
            <v>COMM</v>
          </cell>
          <cell r="F230" t="str">
            <v xml:space="preserve"> S</v>
          </cell>
          <cell r="G230">
            <v>36795.369444444441</v>
          </cell>
          <cell r="H230" t="str">
            <v>VOLR</v>
          </cell>
        </row>
        <row r="231">
          <cell r="A231">
            <v>26077</v>
          </cell>
          <cell r="B231" t="e">
            <v>#NAME?</v>
          </cell>
          <cell r="C231">
            <v>0</v>
          </cell>
          <cell r="D231" t="str">
            <v xml:space="preserve">  MCFD</v>
          </cell>
          <cell r="E231" t="str">
            <v>COMM</v>
          </cell>
          <cell r="F231" t="str">
            <v xml:space="preserve"> S</v>
          </cell>
          <cell r="G231">
            <v>36795.369444444441</v>
          </cell>
          <cell r="H231" t="str">
            <v>VOLR</v>
          </cell>
        </row>
        <row r="232">
          <cell r="A232">
            <v>26079</v>
          </cell>
          <cell r="B232" t="e">
            <v>#NAME?</v>
          </cell>
          <cell r="C232">
            <v>20998</v>
          </cell>
          <cell r="D232" t="str">
            <v xml:space="preserve">  MCFD</v>
          </cell>
          <cell r="E232" t="str">
            <v xml:space="preserve">    </v>
          </cell>
          <cell r="F232" t="str">
            <v xml:space="preserve"> S</v>
          </cell>
          <cell r="G232">
            <v>36796.256249999999</v>
          </cell>
          <cell r="H232" t="str">
            <v>VOLR</v>
          </cell>
        </row>
        <row r="233">
          <cell r="A233">
            <v>26080</v>
          </cell>
          <cell r="B233" t="e">
            <v>#NAME?</v>
          </cell>
          <cell r="C233">
            <v>13734</v>
          </cell>
          <cell r="D233" t="str">
            <v xml:space="preserve">  MCFD</v>
          </cell>
          <cell r="E233" t="str">
            <v xml:space="preserve">    </v>
          </cell>
          <cell r="F233" t="str">
            <v xml:space="preserve"> S</v>
          </cell>
          <cell r="G233">
            <v>36796.256249999999</v>
          </cell>
          <cell r="H233" t="str">
            <v>VOLR</v>
          </cell>
        </row>
        <row r="234">
          <cell r="A234">
            <v>26081</v>
          </cell>
          <cell r="B234" t="e">
            <v>#NAME?</v>
          </cell>
          <cell r="C234">
            <v>15042</v>
          </cell>
          <cell r="D234" t="str">
            <v xml:space="preserve">  MCFD</v>
          </cell>
          <cell r="E234" t="str">
            <v xml:space="preserve">    </v>
          </cell>
          <cell r="F234" t="str">
            <v xml:space="preserve"> S</v>
          </cell>
          <cell r="G234">
            <v>36796.256249999999</v>
          </cell>
          <cell r="H234" t="str">
            <v>VOLR</v>
          </cell>
        </row>
        <row r="235">
          <cell r="A235">
            <v>26082</v>
          </cell>
          <cell r="B235" t="e">
            <v>#NAME?</v>
          </cell>
          <cell r="C235">
            <v>0</v>
          </cell>
          <cell r="D235" t="str">
            <v xml:space="preserve">  MCFD</v>
          </cell>
          <cell r="E235" t="str">
            <v xml:space="preserve">    </v>
          </cell>
          <cell r="F235" t="str">
            <v xml:space="preserve"> S</v>
          </cell>
          <cell r="G235">
            <v>36796.255555555559</v>
          </cell>
          <cell r="H235" t="str">
            <v>VOLR</v>
          </cell>
        </row>
        <row r="236">
          <cell r="A236">
            <v>26083</v>
          </cell>
          <cell r="B236" t="e">
            <v>#NAME?</v>
          </cell>
          <cell r="C236">
            <v>4889</v>
          </cell>
          <cell r="D236" t="str">
            <v xml:space="preserve">  MCFD</v>
          </cell>
          <cell r="E236" t="str">
            <v xml:space="preserve">    </v>
          </cell>
          <cell r="F236" t="str">
            <v xml:space="preserve"> S</v>
          </cell>
          <cell r="G236">
            <v>36796.260416666664</v>
          </cell>
          <cell r="H236" t="str">
            <v>VOLR</v>
          </cell>
        </row>
        <row r="237">
          <cell r="A237">
            <v>26084</v>
          </cell>
          <cell r="B237" t="e">
            <v>#NAME?</v>
          </cell>
          <cell r="C237">
            <v>12760</v>
          </cell>
          <cell r="D237" t="str">
            <v xml:space="preserve">  MCFD</v>
          </cell>
          <cell r="E237" t="str">
            <v xml:space="preserve">    </v>
          </cell>
          <cell r="F237" t="str">
            <v xml:space="preserve"> S</v>
          </cell>
          <cell r="G237">
            <v>36796.255555555559</v>
          </cell>
          <cell r="H237" t="str">
            <v>VOLR</v>
          </cell>
        </row>
        <row r="238">
          <cell r="A238">
            <v>26085</v>
          </cell>
          <cell r="B238" t="e">
            <v>#NAME?</v>
          </cell>
          <cell r="C238">
            <v>0</v>
          </cell>
          <cell r="D238" t="str">
            <v xml:space="preserve">  MCFD</v>
          </cell>
          <cell r="E238" t="str">
            <v>UNAV</v>
          </cell>
          <cell r="F238" t="str">
            <v xml:space="preserve"> S</v>
          </cell>
          <cell r="G238">
            <v>36796.261805555558</v>
          </cell>
          <cell r="H238" t="str">
            <v>VOLR</v>
          </cell>
        </row>
        <row r="239">
          <cell r="A239">
            <v>26088</v>
          </cell>
          <cell r="B239" t="e">
            <v>#NAME?</v>
          </cell>
          <cell r="C239">
            <v>29274</v>
          </cell>
          <cell r="D239" t="str">
            <v xml:space="preserve">  MCFD</v>
          </cell>
          <cell r="E239" t="str">
            <v xml:space="preserve">    </v>
          </cell>
          <cell r="F239" t="str">
            <v xml:space="preserve"> S</v>
          </cell>
          <cell r="G239">
            <v>36796.256249999999</v>
          </cell>
          <cell r="H239" t="str">
            <v>VOLR</v>
          </cell>
        </row>
        <row r="240">
          <cell r="A240">
            <v>26090</v>
          </cell>
          <cell r="B240" t="e">
            <v>#NAME?</v>
          </cell>
          <cell r="C240">
            <v>0</v>
          </cell>
          <cell r="D240" t="str">
            <v xml:space="preserve">  MCFD</v>
          </cell>
          <cell r="E240" t="str">
            <v>UNAV</v>
          </cell>
          <cell r="F240" t="str">
            <v xml:space="preserve"> S</v>
          </cell>
          <cell r="G240">
            <v>36796.261805555558</v>
          </cell>
          <cell r="H240" t="str">
            <v>VOLR</v>
          </cell>
        </row>
        <row r="241">
          <cell r="A241">
            <v>26091</v>
          </cell>
          <cell r="B241" t="e">
            <v>#NAME?</v>
          </cell>
          <cell r="C241">
            <v>19218</v>
          </cell>
          <cell r="D241" t="str">
            <v xml:space="preserve">  MCFD</v>
          </cell>
          <cell r="E241" t="str">
            <v xml:space="preserve">    </v>
          </cell>
          <cell r="F241" t="str">
            <v xml:space="preserve"> S</v>
          </cell>
          <cell r="G241">
            <v>36796.256944444445</v>
          </cell>
          <cell r="H241" t="str">
            <v>VOLR</v>
          </cell>
        </row>
        <row r="242">
          <cell r="A242">
            <v>26092</v>
          </cell>
          <cell r="B242" t="e">
            <v>#NAME?</v>
          </cell>
          <cell r="C242">
            <v>0</v>
          </cell>
          <cell r="D242" t="str">
            <v xml:space="preserve">  MCFD</v>
          </cell>
          <cell r="E242" t="str">
            <v>COMM</v>
          </cell>
          <cell r="F242" t="str">
            <v xml:space="preserve"> S</v>
          </cell>
          <cell r="G242">
            <v>36795.369444444441</v>
          </cell>
          <cell r="H242" t="str">
            <v>VOLR</v>
          </cell>
        </row>
        <row r="243">
          <cell r="A243">
            <v>26093</v>
          </cell>
          <cell r="B243" t="e">
            <v>#NAME?</v>
          </cell>
          <cell r="C243">
            <v>0</v>
          </cell>
          <cell r="D243" t="str">
            <v xml:space="preserve">  MCFD</v>
          </cell>
          <cell r="E243" t="str">
            <v xml:space="preserve">    </v>
          </cell>
          <cell r="F243" t="str">
            <v xml:space="preserve"> S</v>
          </cell>
          <cell r="G243">
            <v>36796.256249999999</v>
          </cell>
          <cell r="H243" t="str">
            <v>VOLR</v>
          </cell>
        </row>
        <row r="244">
          <cell r="A244">
            <v>26095</v>
          </cell>
          <cell r="B244" t="e">
            <v>#NAME?</v>
          </cell>
          <cell r="C244">
            <v>0</v>
          </cell>
          <cell r="D244" t="str">
            <v xml:space="preserve">  MCFD</v>
          </cell>
          <cell r="E244" t="str">
            <v>UNAV</v>
          </cell>
          <cell r="F244" t="str">
            <v xml:space="preserve"> S</v>
          </cell>
          <cell r="G244">
            <v>36796.261805555558</v>
          </cell>
          <cell r="H244" t="str">
            <v>VOLR</v>
          </cell>
        </row>
        <row r="245">
          <cell r="A245">
            <v>26098</v>
          </cell>
          <cell r="B245" t="e">
            <v>#NAME?</v>
          </cell>
          <cell r="C245">
            <v>0</v>
          </cell>
          <cell r="D245" t="str">
            <v xml:space="preserve">  MCFD</v>
          </cell>
          <cell r="E245" t="str">
            <v>UNAV</v>
          </cell>
          <cell r="F245" t="str">
            <v xml:space="preserve"> S</v>
          </cell>
          <cell r="G245">
            <v>36796.261805555558</v>
          </cell>
          <cell r="H245" t="str">
            <v>VOLR</v>
          </cell>
        </row>
        <row r="246">
          <cell r="A246">
            <v>26099</v>
          </cell>
          <cell r="B246" t="e">
            <v>#NAME?</v>
          </cell>
          <cell r="C246">
            <v>0</v>
          </cell>
          <cell r="D246" t="str">
            <v xml:space="preserve">  MCFD</v>
          </cell>
          <cell r="E246" t="str">
            <v>UNAV</v>
          </cell>
          <cell r="F246" t="str">
            <v xml:space="preserve"> S</v>
          </cell>
          <cell r="G246">
            <v>36796.261805555558</v>
          </cell>
          <cell r="H246" t="str">
            <v>VOLR</v>
          </cell>
        </row>
        <row r="247">
          <cell r="A247">
            <v>26101</v>
          </cell>
          <cell r="B247" t="e">
            <v>#NAME?</v>
          </cell>
          <cell r="C247">
            <v>0</v>
          </cell>
          <cell r="D247" t="str">
            <v xml:space="preserve">  MCFD</v>
          </cell>
          <cell r="E247" t="str">
            <v xml:space="preserve">    </v>
          </cell>
          <cell r="F247" t="str">
            <v xml:space="preserve"> S</v>
          </cell>
          <cell r="G247">
            <v>36796.260416666664</v>
          </cell>
          <cell r="H247" t="str">
            <v>VOLR</v>
          </cell>
        </row>
        <row r="248">
          <cell r="A248">
            <v>26102</v>
          </cell>
          <cell r="B248" t="e">
            <v>#NAME?</v>
          </cell>
          <cell r="C248">
            <v>0</v>
          </cell>
          <cell r="D248" t="str">
            <v xml:space="preserve">  MCFD</v>
          </cell>
          <cell r="E248" t="str">
            <v>UNAV</v>
          </cell>
          <cell r="F248" t="str">
            <v xml:space="preserve"> S</v>
          </cell>
          <cell r="G248">
            <v>36796.261805555558</v>
          </cell>
          <cell r="H248" t="str">
            <v>VOLR</v>
          </cell>
        </row>
        <row r="249">
          <cell r="A249">
            <v>26106</v>
          </cell>
          <cell r="B249" t="e">
            <v>#NAME?</v>
          </cell>
          <cell r="C249">
            <v>58518</v>
          </cell>
          <cell r="D249" t="str">
            <v xml:space="preserve">  MCFD</v>
          </cell>
          <cell r="E249" t="str">
            <v xml:space="preserve">    </v>
          </cell>
          <cell r="F249" t="str">
            <v xml:space="preserve"> S</v>
          </cell>
          <cell r="G249">
            <v>36796.259722222225</v>
          </cell>
          <cell r="H249" t="str">
            <v>VOLR</v>
          </cell>
        </row>
        <row r="250">
          <cell r="A250">
            <v>26107</v>
          </cell>
          <cell r="B250" t="e">
            <v>#NAME?</v>
          </cell>
          <cell r="C250">
            <v>0</v>
          </cell>
          <cell r="D250" t="str">
            <v xml:space="preserve">  MCFD</v>
          </cell>
          <cell r="E250" t="str">
            <v xml:space="preserve">    </v>
          </cell>
          <cell r="F250" t="str">
            <v xml:space="preserve"> S</v>
          </cell>
          <cell r="G250">
            <v>36796.255555555559</v>
          </cell>
          <cell r="H250" t="str">
            <v>VOLR</v>
          </cell>
        </row>
        <row r="251">
          <cell r="A251">
            <v>26108</v>
          </cell>
          <cell r="B251" t="e">
            <v>#NAME?</v>
          </cell>
          <cell r="C251">
            <v>0</v>
          </cell>
          <cell r="D251" t="str">
            <v xml:space="preserve">  MCFD</v>
          </cell>
          <cell r="E251" t="str">
            <v>UNAV</v>
          </cell>
          <cell r="F251" t="str">
            <v xml:space="preserve"> S</v>
          </cell>
          <cell r="G251">
            <v>36796.261805555558</v>
          </cell>
          <cell r="H251" t="str">
            <v>VOLR</v>
          </cell>
        </row>
        <row r="252">
          <cell r="A252">
            <v>26109</v>
          </cell>
          <cell r="B252" t="e">
            <v>#NAME?</v>
          </cell>
          <cell r="C252">
            <v>0</v>
          </cell>
          <cell r="D252" t="str">
            <v xml:space="preserve">  MCFD</v>
          </cell>
          <cell r="E252" t="str">
            <v>UNAV</v>
          </cell>
          <cell r="F252" t="str">
            <v xml:space="preserve"> S</v>
          </cell>
          <cell r="G252">
            <v>36796.261805555558</v>
          </cell>
          <cell r="H252" t="str">
            <v>VOLR</v>
          </cell>
        </row>
        <row r="253">
          <cell r="A253">
            <v>26113</v>
          </cell>
          <cell r="B253" t="e">
            <v>#NAME?</v>
          </cell>
          <cell r="C253">
            <v>0</v>
          </cell>
          <cell r="D253" t="str">
            <v xml:space="preserve">  MCFD</v>
          </cell>
          <cell r="E253" t="str">
            <v>UNAV</v>
          </cell>
          <cell r="F253" t="str">
            <v xml:space="preserve"> S</v>
          </cell>
          <cell r="G253">
            <v>36796.261805555558</v>
          </cell>
          <cell r="H253" t="str">
            <v>VOLR</v>
          </cell>
        </row>
        <row r="254">
          <cell r="A254">
            <v>26114</v>
          </cell>
          <cell r="B254" t="e">
            <v>#NAME?</v>
          </cell>
          <cell r="C254">
            <v>7771</v>
          </cell>
          <cell r="D254" t="str">
            <v xml:space="preserve">  MCFD</v>
          </cell>
          <cell r="E254" t="str">
            <v xml:space="preserve">    </v>
          </cell>
          <cell r="F254" t="str">
            <v xml:space="preserve"> S</v>
          </cell>
          <cell r="G254">
            <v>36796.252083333333</v>
          </cell>
          <cell r="H254" t="str">
            <v>VOLR</v>
          </cell>
        </row>
        <row r="255">
          <cell r="A255">
            <v>26116</v>
          </cell>
          <cell r="B255" t="e">
            <v>#NAME?</v>
          </cell>
          <cell r="C255">
            <v>0</v>
          </cell>
          <cell r="D255" t="str">
            <v xml:space="preserve">  MCFD</v>
          </cell>
          <cell r="E255" t="str">
            <v>UNAV</v>
          </cell>
          <cell r="F255" t="str">
            <v xml:space="preserve"> S</v>
          </cell>
          <cell r="G255">
            <v>36796.261805555558</v>
          </cell>
          <cell r="H255" t="str">
            <v>VOLR</v>
          </cell>
        </row>
        <row r="256">
          <cell r="A256">
            <v>26118</v>
          </cell>
          <cell r="B256" t="e">
            <v>#NAME?</v>
          </cell>
          <cell r="C256">
            <v>0</v>
          </cell>
          <cell r="D256" t="str">
            <v xml:space="preserve">  MCFD</v>
          </cell>
          <cell r="E256" t="str">
            <v>UNAV</v>
          </cell>
          <cell r="F256" t="str">
            <v xml:space="preserve"> S</v>
          </cell>
          <cell r="G256">
            <v>36796.261805555558</v>
          </cell>
          <cell r="H256" t="str">
            <v>VOLR</v>
          </cell>
        </row>
        <row r="257">
          <cell r="A257">
            <v>26120</v>
          </cell>
          <cell r="B257" t="e">
            <v>#NAME?</v>
          </cell>
          <cell r="C257">
            <v>0</v>
          </cell>
          <cell r="D257" t="str">
            <v xml:space="preserve">  MCFD</v>
          </cell>
          <cell r="E257" t="str">
            <v>UNAV</v>
          </cell>
          <cell r="F257" t="str">
            <v xml:space="preserve"> S</v>
          </cell>
          <cell r="G257">
            <v>36796.261805555558</v>
          </cell>
          <cell r="H257" t="str">
            <v>VOLR</v>
          </cell>
        </row>
        <row r="258">
          <cell r="A258">
            <v>26123</v>
          </cell>
          <cell r="B258" t="e">
            <v>#NAME?</v>
          </cell>
          <cell r="C258">
            <v>0</v>
          </cell>
          <cell r="D258" t="str">
            <v xml:space="preserve">  MCFD</v>
          </cell>
          <cell r="E258" t="str">
            <v xml:space="preserve">    </v>
          </cell>
          <cell r="F258" t="str">
            <v xml:space="preserve"> S</v>
          </cell>
          <cell r="G258">
            <v>36796.261111111111</v>
          </cell>
          <cell r="H258" t="str">
            <v>VOLR</v>
          </cell>
        </row>
        <row r="259">
          <cell r="A259">
            <v>26124</v>
          </cell>
          <cell r="B259" t="e">
            <v>#NAME?</v>
          </cell>
          <cell r="C259">
            <v>8871</v>
          </cell>
          <cell r="D259" t="str">
            <v xml:space="preserve">  MCFD</v>
          </cell>
          <cell r="E259" t="str">
            <v xml:space="preserve">    </v>
          </cell>
          <cell r="F259" t="str">
            <v xml:space="preserve"> S</v>
          </cell>
          <cell r="G259">
            <v>36796.260416666664</v>
          </cell>
          <cell r="H259" t="str">
            <v>VOLR</v>
          </cell>
        </row>
        <row r="260">
          <cell r="A260">
            <v>26126</v>
          </cell>
          <cell r="B260" t="e">
            <v>#NAME?</v>
          </cell>
          <cell r="C260">
            <v>43073</v>
          </cell>
          <cell r="D260" t="str">
            <v xml:space="preserve">  MCFD</v>
          </cell>
          <cell r="E260" t="str">
            <v xml:space="preserve">    </v>
          </cell>
          <cell r="F260" t="str">
            <v xml:space="preserve"> S</v>
          </cell>
          <cell r="G260">
            <v>36796.255555555559</v>
          </cell>
          <cell r="H260" t="str">
            <v>VOLR</v>
          </cell>
        </row>
        <row r="261">
          <cell r="A261">
            <v>26127</v>
          </cell>
          <cell r="B261" t="e">
            <v>#NAME?</v>
          </cell>
          <cell r="C261">
            <v>64495</v>
          </cell>
          <cell r="D261" t="str">
            <v xml:space="preserve">  MCFD</v>
          </cell>
          <cell r="E261" t="str">
            <v xml:space="preserve">    </v>
          </cell>
          <cell r="F261" t="str">
            <v xml:space="preserve"> S</v>
          </cell>
          <cell r="G261">
            <v>36796.255555555559</v>
          </cell>
          <cell r="H261" t="str">
            <v>VOLR</v>
          </cell>
        </row>
        <row r="262">
          <cell r="A262">
            <v>26129</v>
          </cell>
          <cell r="B262" t="e">
            <v>#NAME?</v>
          </cell>
          <cell r="C262">
            <v>59362</v>
          </cell>
          <cell r="D262" t="str">
            <v xml:space="preserve">  MCFD</v>
          </cell>
          <cell r="E262" t="str">
            <v xml:space="preserve">    </v>
          </cell>
          <cell r="F262" t="str">
            <v xml:space="preserve"> S</v>
          </cell>
          <cell r="G262">
            <v>36796.255555555559</v>
          </cell>
          <cell r="H262" t="str">
            <v>VOLR</v>
          </cell>
        </row>
        <row r="263">
          <cell r="A263">
            <v>26130</v>
          </cell>
          <cell r="B263" t="e">
            <v>#NAME?</v>
          </cell>
          <cell r="C263">
            <v>0</v>
          </cell>
          <cell r="D263" t="str">
            <v xml:space="preserve">  MCFD</v>
          </cell>
          <cell r="E263" t="str">
            <v xml:space="preserve">    </v>
          </cell>
          <cell r="F263" t="str">
            <v xml:space="preserve"> S</v>
          </cell>
          <cell r="G263">
            <v>36796.255555555559</v>
          </cell>
          <cell r="H263" t="str">
            <v>VOLR</v>
          </cell>
        </row>
        <row r="264">
          <cell r="A264">
            <v>26131</v>
          </cell>
          <cell r="B264" t="e">
            <v>#NAME?</v>
          </cell>
          <cell r="C264">
            <v>0</v>
          </cell>
          <cell r="D264" t="str">
            <v xml:space="preserve">  MCFD</v>
          </cell>
          <cell r="E264" t="str">
            <v>UNAV</v>
          </cell>
          <cell r="F264" t="str">
            <v xml:space="preserve"> S</v>
          </cell>
          <cell r="G264">
            <v>36796.261805555558</v>
          </cell>
          <cell r="H264" t="str">
            <v>VOLR</v>
          </cell>
        </row>
        <row r="265">
          <cell r="A265">
            <v>26133</v>
          </cell>
          <cell r="B265" t="e">
            <v>#NAME?</v>
          </cell>
          <cell r="C265">
            <v>0</v>
          </cell>
          <cell r="D265" t="str">
            <v xml:space="preserve">  MCFD</v>
          </cell>
          <cell r="E265" t="str">
            <v>UNAV</v>
          </cell>
          <cell r="F265" t="str">
            <v xml:space="preserve"> S</v>
          </cell>
          <cell r="G265">
            <v>36796.261805555558</v>
          </cell>
          <cell r="H265" t="str">
            <v>VOLR</v>
          </cell>
        </row>
        <row r="266">
          <cell r="A266">
            <v>26135</v>
          </cell>
          <cell r="B266" t="e">
            <v>#NAME?</v>
          </cell>
          <cell r="C266">
            <v>582</v>
          </cell>
          <cell r="D266" t="str">
            <v xml:space="preserve">  MCFD</v>
          </cell>
          <cell r="E266" t="str">
            <v xml:space="preserve">    </v>
          </cell>
          <cell r="F266" t="str">
            <v xml:space="preserve"> S</v>
          </cell>
          <cell r="G266">
            <v>36796.256249999999</v>
          </cell>
          <cell r="H266" t="str">
            <v>VOLR</v>
          </cell>
        </row>
        <row r="267">
          <cell r="A267">
            <v>26136</v>
          </cell>
          <cell r="B267" t="e">
            <v>#NAME?</v>
          </cell>
          <cell r="C267">
            <v>0</v>
          </cell>
          <cell r="D267" t="str">
            <v xml:space="preserve">  MCFD</v>
          </cell>
          <cell r="E267" t="str">
            <v xml:space="preserve">    </v>
          </cell>
          <cell r="F267" t="str">
            <v xml:space="preserve"> S</v>
          </cell>
          <cell r="G267">
            <v>36796.258333333331</v>
          </cell>
          <cell r="H267" t="str">
            <v>VOLR</v>
          </cell>
        </row>
        <row r="268">
          <cell r="A268">
            <v>26137</v>
          </cell>
          <cell r="B268" t="e">
            <v>#NAME?</v>
          </cell>
          <cell r="C268">
            <v>0</v>
          </cell>
          <cell r="D268" t="str">
            <v xml:space="preserve">  MCFD</v>
          </cell>
          <cell r="E268" t="str">
            <v>UNAV</v>
          </cell>
          <cell r="F268" t="str">
            <v xml:space="preserve"> S</v>
          </cell>
          <cell r="G268">
            <v>36796.261805555558</v>
          </cell>
          <cell r="H268" t="str">
            <v>VOLR</v>
          </cell>
        </row>
        <row r="269">
          <cell r="A269">
            <v>26138</v>
          </cell>
          <cell r="B269" t="e">
            <v>#NAME?</v>
          </cell>
          <cell r="C269">
            <v>0</v>
          </cell>
          <cell r="D269" t="str">
            <v xml:space="preserve">  MCFD</v>
          </cell>
          <cell r="E269" t="str">
            <v>UNAV</v>
          </cell>
          <cell r="F269" t="str">
            <v xml:space="preserve"> S</v>
          </cell>
          <cell r="G269">
            <v>36796.261805555558</v>
          </cell>
          <cell r="H269" t="str">
            <v>VOLR</v>
          </cell>
        </row>
        <row r="270">
          <cell r="A270">
            <v>26139</v>
          </cell>
          <cell r="B270" t="e">
            <v>#NAME?</v>
          </cell>
          <cell r="C270">
            <v>0</v>
          </cell>
          <cell r="D270" t="str">
            <v xml:space="preserve">  MCFD</v>
          </cell>
          <cell r="E270" t="str">
            <v>UNAV</v>
          </cell>
          <cell r="F270" t="str">
            <v xml:space="preserve"> S</v>
          </cell>
          <cell r="G270">
            <v>36796.261805555558</v>
          </cell>
          <cell r="H270" t="str">
            <v>VOLR</v>
          </cell>
        </row>
        <row r="271">
          <cell r="A271">
            <v>26140</v>
          </cell>
          <cell r="B271" t="e">
            <v>#NAME?</v>
          </cell>
          <cell r="C271">
            <v>0</v>
          </cell>
          <cell r="D271" t="str">
            <v xml:space="preserve">  MCFD</v>
          </cell>
          <cell r="E271" t="str">
            <v>UNAV</v>
          </cell>
          <cell r="F271" t="str">
            <v xml:space="preserve"> S</v>
          </cell>
          <cell r="G271">
            <v>36796.261805555558</v>
          </cell>
          <cell r="H271" t="str">
            <v>VOLR</v>
          </cell>
        </row>
        <row r="272">
          <cell r="A272">
            <v>26143</v>
          </cell>
          <cell r="B272" t="e">
            <v>#NAME?</v>
          </cell>
          <cell r="C272">
            <v>0</v>
          </cell>
          <cell r="D272" t="str">
            <v xml:space="preserve">  MCFD</v>
          </cell>
          <cell r="E272" t="str">
            <v>UNAV</v>
          </cell>
          <cell r="F272" t="str">
            <v xml:space="preserve"> S</v>
          </cell>
          <cell r="G272">
            <v>36796.261805555558</v>
          </cell>
          <cell r="H272" t="str">
            <v>VOLR</v>
          </cell>
        </row>
        <row r="273">
          <cell r="A273">
            <v>26144</v>
          </cell>
          <cell r="B273" t="e">
            <v>#NAME?</v>
          </cell>
          <cell r="C273">
            <v>0</v>
          </cell>
          <cell r="D273" t="str">
            <v xml:space="preserve">  MCFD</v>
          </cell>
          <cell r="E273" t="str">
            <v>UNAV</v>
          </cell>
          <cell r="F273" t="str">
            <v xml:space="preserve"> S</v>
          </cell>
          <cell r="G273">
            <v>36796.261805555558</v>
          </cell>
          <cell r="H273" t="str">
            <v>VOLR</v>
          </cell>
        </row>
        <row r="274">
          <cell r="A274">
            <v>26146</v>
          </cell>
          <cell r="B274" t="e">
            <v>#NAME?</v>
          </cell>
          <cell r="C274">
            <v>0</v>
          </cell>
          <cell r="D274" t="str">
            <v xml:space="preserve">  MCFD</v>
          </cell>
          <cell r="E274" t="str">
            <v xml:space="preserve">    </v>
          </cell>
          <cell r="F274" t="str">
            <v xml:space="preserve"> S</v>
          </cell>
          <cell r="G274">
            <v>36796.259027777778</v>
          </cell>
          <cell r="H274" t="str">
            <v>VOLR</v>
          </cell>
        </row>
        <row r="275">
          <cell r="A275">
            <v>26147</v>
          </cell>
          <cell r="B275" t="e">
            <v>#NAME?</v>
          </cell>
          <cell r="C275">
            <v>0</v>
          </cell>
          <cell r="D275" t="str">
            <v xml:space="preserve">  MCFD</v>
          </cell>
          <cell r="E275" t="str">
            <v xml:space="preserve">    </v>
          </cell>
          <cell r="F275" t="str">
            <v xml:space="preserve"> S</v>
          </cell>
          <cell r="G275">
            <v>36796.261111111111</v>
          </cell>
          <cell r="H275" t="str">
            <v>VOLR</v>
          </cell>
        </row>
        <row r="276">
          <cell r="A276">
            <v>26148</v>
          </cell>
          <cell r="B276" t="e">
            <v>#NAME?</v>
          </cell>
          <cell r="C276">
            <v>0</v>
          </cell>
          <cell r="D276" t="str">
            <v xml:space="preserve">  MCFD</v>
          </cell>
          <cell r="E276" t="str">
            <v>UNAV</v>
          </cell>
          <cell r="F276" t="str">
            <v xml:space="preserve"> S</v>
          </cell>
          <cell r="G276">
            <v>36796.261805555558</v>
          </cell>
          <cell r="H276" t="str">
            <v>VOLR</v>
          </cell>
        </row>
        <row r="277">
          <cell r="A277">
            <v>26149</v>
          </cell>
          <cell r="B277" t="e">
            <v>#NAME?</v>
          </cell>
          <cell r="C277">
            <v>0</v>
          </cell>
          <cell r="D277" t="str">
            <v xml:space="preserve">  MCFD</v>
          </cell>
          <cell r="E277" t="str">
            <v>UNAV</v>
          </cell>
          <cell r="F277" t="str">
            <v xml:space="preserve"> S</v>
          </cell>
          <cell r="G277">
            <v>36796.261805555558</v>
          </cell>
          <cell r="H277" t="str">
            <v>VOLR</v>
          </cell>
        </row>
        <row r="278">
          <cell r="A278">
            <v>26150</v>
          </cell>
          <cell r="B278" t="e">
            <v>#NAME?</v>
          </cell>
          <cell r="C278">
            <v>0</v>
          </cell>
          <cell r="D278" t="str">
            <v xml:space="preserve">  MCFD</v>
          </cell>
          <cell r="E278" t="str">
            <v xml:space="preserve">    </v>
          </cell>
          <cell r="F278" t="str">
            <v xml:space="preserve"> S</v>
          </cell>
          <cell r="G278">
            <v>36796.257638888892</v>
          </cell>
          <cell r="H278" t="str">
            <v>VOLR</v>
          </cell>
        </row>
        <row r="279">
          <cell r="A279">
            <v>26151</v>
          </cell>
          <cell r="B279" t="e">
            <v>#NAME?</v>
          </cell>
          <cell r="C279">
            <v>0</v>
          </cell>
          <cell r="D279" t="str">
            <v xml:space="preserve">  MCFD</v>
          </cell>
          <cell r="E279" t="str">
            <v>UNAV</v>
          </cell>
          <cell r="F279" t="str">
            <v xml:space="preserve"> S</v>
          </cell>
          <cell r="G279">
            <v>36796.261805555558</v>
          </cell>
          <cell r="H279" t="str">
            <v>VOLR</v>
          </cell>
        </row>
        <row r="280">
          <cell r="A280">
            <v>26152</v>
          </cell>
          <cell r="B280" t="e">
            <v>#NAME?</v>
          </cell>
          <cell r="C280">
            <v>0</v>
          </cell>
          <cell r="D280" t="str">
            <v xml:space="preserve">  MCFD</v>
          </cell>
          <cell r="E280" t="str">
            <v>UNAV</v>
          </cell>
          <cell r="F280" t="str">
            <v xml:space="preserve"> S</v>
          </cell>
          <cell r="G280">
            <v>36796.261805555558</v>
          </cell>
          <cell r="H280" t="str">
            <v>VOLR</v>
          </cell>
        </row>
        <row r="281">
          <cell r="A281">
            <v>26153</v>
          </cell>
          <cell r="B281" t="e">
            <v>#NAME?</v>
          </cell>
          <cell r="C281">
            <v>40903</v>
          </cell>
          <cell r="D281" t="str">
            <v xml:space="preserve">  MCFD</v>
          </cell>
          <cell r="E281" t="str">
            <v xml:space="preserve">    </v>
          </cell>
          <cell r="F281" t="str">
            <v xml:space="preserve"> S</v>
          </cell>
          <cell r="G281">
            <v>36796.261805555558</v>
          </cell>
          <cell r="H281" t="str">
            <v>VOLR</v>
          </cell>
        </row>
        <row r="282">
          <cell r="A282">
            <v>26154</v>
          </cell>
          <cell r="B282" t="e">
            <v>#NAME?</v>
          </cell>
          <cell r="C282">
            <v>0</v>
          </cell>
          <cell r="D282" t="str">
            <v xml:space="preserve">  MCFD</v>
          </cell>
          <cell r="E282" t="str">
            <v xml:space="preserve">    </v>
          </cell>
          <cell r="F282" t="str">
            <v xml:space="preserve"> S</v>
          </cell>
          <cell r="G282">
            <v>36796.256249999999</v>
          </cell>
          <cell r="H282" t="str">
            <v>VOLR</v>
          </cell>
        </row>
        <row r="283">
          <cell r="A283">
            <v>26155</v>
          </cell>
          <cell r="B283" t="e">
            <v>#NAME?</v>
          </cell>
          <cell r="C283">
            <v>0</v>
          </cell>
          <cell r="D283" t="str">
            <v xml:space="preserve">  MCFD</v>
          </cell>
          <cell r="E283" t="str">
            <v>UNAV</v>
          </cell>
          <cell r="F283" t="str">
            <v xml:space="preserve"> S</v>
          </cell>
          <cell r="G283">
            <v>36796.261805555558</v>
          </cell>
          <cell r="H283" t="str">
            <v>VOLR</v>
          </cell>
        </row>
        <row r="284">
          <cell r="A284">
            <v>26156</v>
          </cell>
          <cell r="B284" t="e">
            <v>#NAME?</v>
          </cell>
          <cell r="C284">
            <v>0</v>
          </cell>
          <cell r="D284" t="str">
            <v xml:space="preserve">  MCFD</v>
          </cell>
          <cell r="E284" t="str">
            <v xml:space="preserve">    </v>
          </cell>
          <cell r="F284" t="str">
            <v xml:space="preserve"> S</v>
          </cell>
          <cell r="G284">
            <v>36796.259722222225</v>
          </cell>
          <cell r="H284" t="str">
            <v>VOLR</v>
          </cell>
        </row>
        <row r="285">
          <cell r="A285">
            <v>26157</v>
          </cell>
          <cell r="B285" t="e">
            <v>#NAME?</v>
          </cell>
          <cell r="C285">
            <v>4832</v>
          </cell>
          <cell r="D285" t="str">
            <v xml:space="preserve">  MCFD</v>
          </cell>
          <cell r="E285" t="str">
            <v xml:space="preserve">    </v>
          </cell>
          <cell r="F285" t="str">
            <v xml:space="preserve"> S</v>
          </cell>
          <cell r="G285">
            <v>36796.260416666664</v>
          </cell>
          <cell r="H285" t="str">
            <v>VOLR</v>
          </cell>
        </row>
        <row r="286">
          <cell r="A286">
            <v>26158</v>
          </cell>
          <cell r="B286" t="e">
            <v>#NAME?</v>
          </cell>
          <cell r="C286">
            <v>11222</v>
          </cell>
          <cell r="D286" t="str">
            <v xml:space="preserve">  MCFD</v>
          </cell>
          <cell r="E286" t="str">
            <v xml:space="preserve">    </v>
          </cell>
          <cell r="F286" t="str">
            <v xml:space="preserve"> S</v>
          </cell>
          <cell r="G286">
            <v>36796.259027777778</v>
          </cell>
          <cell r="H286" t="str">
            <v>VOLR</v>
          </cell>
        </row>
        <row r="287">
          <cell r="A287">
            <v>26159</v>
          </cell>
          <cell r="B287" t="e">
            <v>#NAME?</v>
          </cell>
          <cell r="C287">
            <v>0</v>
          </cell>
          <cell r="D287" t="str">
            <v xml:space="preserve">  MCFD</v>
          </cell>
          <cell r="E287" t="str">
            <v>UNAV</v>
          </cell>
          <cell r="F287" t="str">
            <v xml:space="preserve"> S</v>
          </cell>
          <cell r="G287">
            <v>36796.261805555558</v>
          </cell>
          <cell r="H287" t="str">
            <v>VOLR</v>
          </cell>
        </row>
        <row r="288">
          <cell r="A288">
            <v>26160</v>
          </cell>
          <cell r="B288" t="e">
            <v>#NAME?</v>
          </cell>
          <cell r="C288">
            <v>1325</v>
          </cell>
          <cell r="D288" t="str">
            <v xml:space="preserve">  MCFD</v>
          </cell>
          <cell r="E288" t="str">
            <v xml:space="preserve">    </v>
          </cell>
          <cell r="F288" t="str">
            <v xml:space="preserve"> S</v>
          </cell>
          <cell r="G288">
            <v>36796.255555555559</v>
          </cell>
          <cell r="H288" t="str">
            <v>VOLR</v>
          </cell>
        </row>
        <row r="289">
          <cell r="A289">
            <v>26161</v>
          </cell>
          <cell r="B289" t="e">
            <v>#NAME?</v>
          </cell>
          <cell r="C289">
            <v>0</v>
          </cell>
          <cell r="D289" t="str">
            <v xml:space="preserve">  MCFD</v>
          </cell>
          <cell r="E289" t="str">
            <v>UNAV</v>
          </cell>
          <cell r="F289" t="str">
            <v xml:space="preserve"> S</v>
          </cell>
          <cell r="G289">
            <v>36796.261805555558</v>
          </cell>
          <cell r="H289" t="str">
            <v>VOLR</v>
          </cell>
        </row>
        <row r="290">
          <cell r="A290">
            <v>26163</v>
          </cell>
          <cell r="B290" t="e">
            <v>#NAME?</v>
          </cell>
          <cell r="C290">
            <v>0</v>
          </cell>
          <cell r="D290" t="str">
            <v xml:space="preserve">  MCFD</v>
          </cell>
          <cell r="E290" t="str">
            <v>UNAV</v>
          </cell>
          <cell r="F290" t="str">
            <v xml:space="preserve"> S</v>
          </cell>
          <cell r="G290">
            <v>36796.261805555558</v>
          </cell>
          <cell r="H290" t="str">
            <v>VOLR</v>
          </cell>
        </row>
        <row r="291">
          <cell r="A291">
            <v>26164</v>
          </cell>
          <cell r="B291" t="e">
            <v>#NAME?</v>
          </cell>
          <cell r="C291">
            <v>0</v>
          </cell>
          <cell r="D291" t="str">
            <v xml:space="preserve">  MCFD</v>
          </cell>
          <cell r="E291" t="str">
            <v xml:space="preserve">    </v>
          </cell>
          <cell r="F291" t="str">
            <v xml:space="preserve"> S</v>
          </cell>
          <cell r="G291">
            <v>36796.258333333331</v>
          </cell>
          <cell r="H291" t="str">
            <v>VOLR</v>
          </cell>
        </row>
        <row r="292">
          <cell r="A292">
            <v>26165</v>
          </cell>
          <cell r="B292" t="e">
            <v>#NAME?</v>
          </cell>
          <cell r="C292">
            <v>25854</v>
          </cell>
          <cell r="D292" t="str">
            <v xml:space="preserve">  MCFD</v>
          </cell>
          <cell r="E292" t="str">
            <v xml:space="preserve">    </v>
          </cell>
          <cell r="F292" t="str">
            <v xml:space="preserve"> S</v>
          </cell>
          <cell r="G292">
            <v>36796.258333333331</v>
          </cell>
          <cell r="H292" t="str">
            <v>VOLR</v>
          </cell>
        </row>
        <row r="293">
          <cell r="A293">
            <v>26166</v>
          </cell>
          <cell r="B293" t="e">
            <v>#NAME?</v>
          </cell>
          <cell r="C293">
            <v>4666</v>
          </cell>
          <cell r="D293" t="str">
            <v xml:space="preserve">  MCFD</v>
          </cell>
          <cell r="E293" t="str">
            <v xml:space="preserve">    </v>
          </cell>
          <cell r="F293" t="str">
            <v xml:space="preserve"> S</v>
          </cell>
          <cell r="G293">
            <v>36796.256249999999</v>
          </cell>
          <cell r="H293" t="str">
            <v>VOLR</v>
          </cell>
        </row>
        <row r="294">
          <cell r="A294">
            <v>26167</v>
          </cell>
          <cell r="B294" t="e">
            <v>#NAME?</v>
          </cell>
          <cell r="C294">
            <v>0</v>
          </cell>
          <cell r="D294" t="str">
            <v xml:space="preserve">  MCFD</v>
          </cell>
          <cell r="E294" t="str">
            <v xml:space="preserve">    </v>
          </cell>
          <cell r="F294" t="str">
            <v xml:space="preserve"> S</v>
          </cell>
          <cell r="G294">
            <v>36796.256249999999</v>
          </cell>
          <cell r="H294" t="str">
            <v>VOLR</v>
          </cell>
        </row>
        <row r="295">
          <cell r="A295">
            <v>26168</v>
          </cell>
          <cell r="B295" t="e">
            <v>#NAME?</v>
          </cell>
          <cell r="C295">
            <v>19673</v>
          </cell>
          <cell r="D295" t="str">
            <v xml:space="preserve">  MCFD</v>
          </cell>
          <cell r="E295" t="str">
            <v xml:space="preserve">    </v>
          </cell>
          <cell r="F295" t="str">
            <v xml:space="preserve"> S</v>
          </cell>
          <cell r="G295">
            <v>36796.256249999999</v>
          </cell>
          <cell r="H295" t="str">
            <v>VOLR</v>
          </cell>
        </row>
        <row r="296">
          <cell r="A296">
            <v>26169</v>
          </cell>
          <cell r="B296" t="e">
            <v>#NAME?</v>
          </cell>
          <cell r="C296">
            <v>0</v>
          </cell>
          <cell r="D296" t="str">
            <v xml:space="preserve">  MCFD</v>
          </cell>
          <cell r="E296" t="str">
            <v xml:space="preserve">    </v>
          </cell>
          <cell r="F296" t="str">
            <v xml:space="preserve"> S</v>
          </cell>
          <cell r="G296">
            <v>36796.253472222219</v>
          </cell>
          <cell r="H296" t="str">
            <v>VOLR</v>
          </cell>
        </row>
        <row r="297">
          <cell r="A297">
            <v>26170</v>
          </cell>
          <cell r="B297" t="e">
            <v>#NAME?</v>
          </cell>
          <cell r="C297">
            <v>0</v>
          </cell>
          <cell r="D297" t="str">
            <v xml:space="preserve">  MCFD</v>
          </cell>
          <cell r="E297" t="str">
            <v>UNAV</v>
          </cell>
          <cell r="F297" t="str">
            <v xml:space="preserve"> S</v>
          </cell>
          <cell r="G297">
            <v>36796.261805555558</v>
          </cell>
          <cell r="H297" t="str">
            <v>VOLR</v>
          </cell>
        </row>
        <row r="298">
          <cell r="A298">
            <v>26171</v>
          </cell>
          <cell r="B298" t="e">
            <v>#NAME?</v>
          </cell>
          <cell r="C298">
            <v>0</v>
          </cell>
          <cell r="D298" t="str">
            <v xml:space="preserve">  MCFD</v>
          </cell>
          <cell r="E298" t="str">
            <v>UNAV</v>
          </cell>
          <cell r="F298" t="str">
            <v xml:space="preserve"> S</v>
          </cell>
          <cell r="G298">
            <v>36796.261805555558</v>
          </cell>
          <cell r="H298" t="str">
            <v>VOLR</v>
          </cell>
        </row>
        <row r="299">
          <cell r="A299">
            <v>26172</v>
          </cell>
          <cell r="B299" t="e">
            <v>#NAME?</v>
          </cell>
          <cell r="C299">
            <v>0</v>
          </cell>
          <cell r="D299" t="str">
            <v xml:space="preserve">  MCFD</v>
          </cell>
          <cell r="E299" t="str">
            <v>UNAV</v>
          </cell>
          <cell r="F299" t="str">
            <v xml:space="preserve"> S</v>
          </cell>
          <cell r="G299">
            <v>36796.261805555558</v>
          </cell>
          <cell r="H299" t="str">
            <v>VOLR</v>
          </cell>
        </row>
        <row r="300">
          <cell r="A300">
            <v>26173</v>
          </cell>
          <cell r="B300" t="e">
            <v>#NAME?</v>
          </cell>
          <cell r="C300">
            <v>0</v>
          </cell>
          <cell r="D300" t="str">
            <v xml:space="preserve">  MCFD</v>
          </cell>
          <cell r="E300" t="str">
            <v>UNAV</v>
          </cell>
          <cell r="F300" t="str">
            <v xml:space="preserve"> S</v>
          </cell>
          <cell r="G300">
            <v>36796.261805555558</v>
          </cell>
          <cell r="H300" t="str">
            <v>VOLR</v>
          </cell>
        </row>
        <row r="301">
          <cell r="A301">
            <v>26174</v>
          </cell>
          <cell r="B301" t="e">
            <v>#NAME?</v>
          </cell>
          <cell r="C301">
            <v>0</v>
          </cell>
          <cell r="D301" t="str">
            <v xml:space="preserve">  MCFD</v>
          </cell>
          <cell r="E301" t="str">
            <v>UNAV</v>
          </cell>
          <cell r="F301" t="str">
            <v xml:space="preserve"> S</v>
          </cell>
          <cell r="G301">
            <v>36796.261805555558</v>
          </cell>
          <cell r="H301" t="str">
            <v>VOLR</v>
          </cell>
        </row>
        <row r="302">
          <cell r="A302">
            <v>26175</v>
          </cell>
          <cell r="B302" t="e">
            <v>#NAME?</v>
          </cell>
          <cell r="C302">
            <v>0</v>
          </cell>
          <cell r="D302" t="str">
            <v xml:space="preserve">  MCFD</v>
          </cell>
          <cell r="E302" t="str">
            <v>UNAV</v>
          </cell>
          <cell r="F302" t="str">
            <v xml:space="preserve"> S</v>
          </cell>
          <cell r="G302">
            <v>36796.261805555558</v>
          </cell>
          <cell r="H302" t="str">
            <v>VOLR</v>
          </cell>
        </row>
        <row r="303">
          <cell r="A303">
            <v>26176</v>
          </cell>
          <cell r="B303" t="e">
            <v>#NAME?</v>
          </cell>
          <cell r="C303">
            <v>0</v>
          </cell>
          <cell r="D303" t="str">
            <v xml:space="preserve">  MCFD</v>
          </cell>
          <cell r="E303" t="str">
            <v xml:space="preserve">    </v>
          </cell>
          <cell r="F303" t="str">
            <v xml:space="preserve"> S</v>
          </cell>
          <cell r="G303">
            <v>36796.260416666664</v>
          </cell>
          <cell r="H303" t="str">
            <v>VOLR</v>
          </cell>
        </row>
        <row r="304">
          <cell r="A304">
            <v>26177</v>
          </cell>
          <cell r="B304" t="e">
            <v>#NAME?</v>
          </cell>
          <cell r="C304">
            <v>0</v>
          </cell>
          <cell r="D304" t="str">
            <v xml:space="preserve">  MCFD</v>
          </cell>
          <cell r="E304" t="str">
            <v>UNAV</v>
          </cell>
          <cell r="F304" t="str">
            <v xml:space="preserve"> S</v>
          </cell>
          <cell r="G304">
            <v>36796.261805555558</v>
          </cell>
          <cell r="H304" t="str">
            <v>VOLR</v>
          </cell>
        </row>
        <row r="305">
          <cell r="A305">
            <v>26178</v>
          </cell>
          <cell r="B305" t="e">
            <v>#NAME?</v>
          </cell>
          <cell r="C305">
            <v>0</v>
          </cell>
          <cell r="D305" t="str">
            <v xml:space="preserve">  MCFD</v>
          </cell>
          <cell r="E305" t="str">
            <v>UNAV</v>
          </cell>
          <cell r="F305" t="str">
            <v xml:space="preserve"> S</v>
          </cell>
          <cell r="G305">
            <v>36796.261805555558</v>
          </cell>
          <cell r="H305" t="str">
            <v>VOLR</v>
          </cell>
        </row>
        <row r="306">
          <cell r="A306">
            <v>26179</v>
          </cell>
          <cell r="B306" t="e">
            <v>#NAME?</v>
          </cell>
          <cell r="C306">
            <v>0</v>
          </cell>
          <cell r="D306" t="str">
            <v xml:space="preserve">  MCFD</v>
          </cell>
          <cell r="E306" t="str">
            <v xml:space="preserve">    </v>
          </cell>
          <cell r="F306" t="str">
            <v xml:space="preserve"> S</v>
          </cell>
          <cell r="G306">
            <v>36796.256249999999</v>
          </cell>
          <cell r="H306" t="str">
            <v>VOLR</v>
          </cell>
        </row>
        <row r="307">
          <cell r="A307">
            <v>26180</v>
          </cell>
          <cell r="B307" t="e">
            <v>#NAME?</v>
          </cell>
          <cell r="C307">
            <v>0</v>
          </cell>
          <cell r="D307" t="str">
            <v xml:space="preserve">  MCFD</v>
          </cell>
          <cell r="E307" t="str">
            <v xml:space="preserve">    </v>
          </cell>
          <cell r="F307" t="str">
            <v xml:space="preserve"> S</v>
          </cell>
          <cell r="G307">
            <v>36796.251388888886</v>
          </cell>
          <cell r="H307" t="str">
            <v>VOLR</v>
          </cell>
        </row>
        <row r="308">
          <cell r="A308">
            <v>26181</v>
          </cell>
          <cell r="B308" t="e">
            <v>#NAME?</v>
          </cell>
          <cell r="C308">
            <v>0</v>
          </cell>
          <cell r="D308" t="str">
            <v xml:space="preserve">  MCFD</v>
          </cell>
          <cell r="E308" t="str">
            <v>UNAV</v>
          </cell>
          <cell r="F308" t="str">
            <v xml:space="preserve"> S</v>
          </cell>
          <cell r="G308">
            <v>36796.261805555558</v>
          </cell>
          <cell r="H308" t="str">
            <v>VOLR</v>
          </cell>
        </row>
        <row r="309">
          <cell r="A309">
            <v>26184</v>
          </cell>
          <cell r="B309" t="e">
            <v>#NAME?</v>
          </cell>
          <cell r="C309">
            <v>23457</v>
          </cell>
          <cell r="D309" t="str">
            <v xml:space="preserve">  MCFD</v>
          </cell>
          <cell r="E309" t="str">
            <v xml:space="preserve">    </v>
          </cell>
          <cell r="F309" t="str">
            <v xml:space="preserve"> S</v>
          </cell>
          <cell r="G309">
            <v>36796.256944444445</v>
          </cell>
          <cell r="H309" t="str">
            <v>VOLR</v>
          </cell>
        </row>
        <row r="310">
          <cell r="A310">
            <v>26185</v>
          </cell>
          <cell r="B310" t="e">
            <v>#NAME?</v>
          </cell>
          <cell r="C310">
            <v>4012</v>
          </cell>
          <cell r="D310" t="str">
            <v xml:space="preserve">  MCFD</v>
          </cell>
          <cell r="E310" t="str">
            <v xml:space="preserve">    </v>
          </cell>
          <cell r="F310" t="str">
            <v xml:space="preserve"> S</v>
          </cell>
          <cell r="G310">
            <v>36796.255555555559</v>
          </cell>
          <cell r="H310" t="str">
            <v>VOLR</v>
          </cell>
        </row>
        <row r="311">
          <cell r="A311">
            <v>26186</v>
          </cell>
          <cell r="B311" t="e">
            <v>#NAME?</v>
          </cell>
          <cell r="C311">
            <v>1283</v>
          </cell>
          <cell r="D311" t="str">
            <v xml:space="preserve">  MCFD</v>
          </cell>
          <cell r="E311" t="str">
            <v xml:space="preserve">    </v>
          </cell>
          <cell r="F311" t="str">
            <v xml:space="preserve"> S</v>
          </cell>
          <cell r="G311">
            <v>36796.257638888892</v>
          </cell>
          <cell r="H311" t="str">
            <v>VOLR</v>
          </cell>
        </row>
        <row r="312">
          <cell r="A312">
            <v>26187</v>
          </cell>
          <cell r="B312" t="e">
            <v>#NAME?</v>
          </cell>
          <cell r="C312">
            <v>0</v>
          </cell>
          <cell r="D312" t="str">
            <v xml:space="preserve">  MCFD</v>
          </cell>
          <cell r="E312" t="str">
            <v xml:space="preserve">    </v>
          </cell>
          <cell r="F312" t="str">
            <v xml:space="preserve"> S</v>
          </cell>
          <cell r="G312">
            <v>36796.260416666664</v>
          </cell>
          <cell r="H312" t="str">
            <v>VOLR</v>
          </cell>
        </row>
        <row r="313">
          <cell r="A313">
            <v>26188</v>
          </cell>
          <cell r="B313" t="e">
            <v>#NAME?</v>
          </cell>
          <cell r="C313">
            <v>8628</v>
          </cell>
          <cell r="D313" t="str">
            <v xml:space="preserve">  MCFD</v>
          </cell>
          <cell r="E313" t="str">
            <v xml:space="preserve">    </v>
          </cell>
          <cell r="F313" t="str">
            <v xml:space="preserve"> S</v>
          </cell>
          <cell r="G313">
            <v>36796.260416666664</v>
          </cell>
          <cell r="H313" t="str">
            <v>VOLR</v>
          </cell>
        </row>
        <row r="314">
          <cell r="A314">
            <v>26189</v>
          </cell>
          <cell r="B314" t="e">
            <v>#NAME?</v>
          </cell>
          <cell r="C314">
            <v>0</v>
          </cell>
          <cell r="D314" t="str">
            <v xml:space="preserve">  MCFD</v>
          </cell>
          <cell r="E314" t="str">
            <v>COMM</v>
          </cell>
          <cell r="F314" t="str">
            <v xml:space="preserve"> S</v>
          </cell>
          <cell r="G314">
            <v>36796.229166666664</v>
          </cell>
          <cell r="H314" t="str">
            <v>VOLR</v>
          </cell>
        </row>
        <row r="315">
          <cell r="A315">
            <v>26190</v>
          </cell>
          <cell r="B315" t="e">
            <v>#NAME?</v>
          </cell>
          <cell r="C315">
            <v>9820</v>
          </cell>
          <cell r="D315" t="str">
            <v xml:space="preserve">  MCFD</v>
          </cell>
          <cell r="E315" t="str">
            <v xml:space="preserve">    </v>
          </cell>
          <cell r="F315" t="str">
            <v xml:space="preserve"> S</v>
          </cell>
          <cell r="G315">
            <v>36796.260416666664</v>
          </cell>
          <cell r="H315" t="str">
            <v>VOLR</v>
          </cell>
        </row>
        <row r="316">
          <cell r="A316">
            <v>26191</v>
          </cell>
          <cell r="B316" t="e">
            <v>#NAME?</v>
          </cell>
          <cell r="C316">
            <v>19701</v>
          </cell>
          <cell r="D316" t="str">
            <v xml:space="preserve">  MCFD</v>
          </cell>
          <cell r="E316" t="str">
            <v xml:space="preserve">    </v>
          </cell>
          <cell r="F316" t="str">
            <v xml:space="preserve"> S</v>
          </cell>
          <cell r="G316">
            <v>36796.255555555559</v>
          </cell>
          <cell r="H316" t="str">
            <v>VOLR</v>
          </cell>
        </row>
        <row r="317">
          <cell r="A317">
            <v>26192</v>
          </cell>
          <cell r="B317" t="e">
            <v>#NAME?</v>
          </cell>
          <cell r="C317">
            <v>0</v>
          </cell>
          <cell r="D317" t="str">
            <v xml:space="preserve">  MCFD</v>
          </cell>
          <cell r="E317" t="str">
            <v>UNAV</v>
          </cell>
          <cell r="F317" t="str">
            <v xml:space="preserve"> S</v>
          </cell>
          <cell r="G317">
            <v>36796.261805555558</v>
          </cell>
          <cell r="H317" t="str">
            <v>VOLR</v>
          </cell>
        </row>
        <row r="318">
          <cell r="A318">
            <v>26194</v>
          </cell>
          <cell r="B318" t="e">
            <v>#NAME?</v>
          </cell>
          <cell r="C318">
            <v>0</v>
          </cell>
          <cell r="D318" t="str">
            <v xml:space="preserve">  MCFD</v>
          </cell>
          <cell r="E318" t="str">
            <v>COMM</v>
          </cell>
          <cell r="F318" t="str">
            <v xml:space="preserve"> S</v>
          </cell>
          <cell r="G318">
            <v>36795.635416666664</v>
          </cell>
          <cell r="H318" t="str">
            <v>VOLR</v>
          </cell>
        </row>
        <row r="319">
          <cell r="A319">
            <v>26196</v>
          </cell>
          <cell r="B319" t="e">
            <v>#NAME?</v>
          </cell>
          <cell r="C319">
            <v>0</v>
          </cell>
          <cell r="D319" t="str">
            <v xml:space="preserve">  MCFD</v>
          </cell>
          <cell r="E319" t="str">
            <v>UNAV</v>
          </cell>
          <cell r="F319" t="str">
            <v xml:space="preserve"> S</v>
          </cell>
          <cell r="G319">
            <v>36796.261805555558</v>
          </cell>
          <cell r="H319" t="str">
            <v>VOLR</v>
          </cell>
        </row>
        <row r="320">
          <cell r="A320">
            <v>26197</v>
          </cell>
          <cell r="B320" t="e">
            <v>#NAME?</v>
          </cell>
          <cell r="C320">
            <v>0</v>
          </cell>
          <cell r="D320" t="str">
            <v xml:space="preserve">  MCFD</v>
          </cell>
          <cell r="E320" t="str">
            <v>UNAV</v>
          </cell>
          <cell r="F320" t="str">
            <v xml:space="preserve"> S</v>
          </cell>
          <cell r="G320">
            <v>36796.261805555558</v>
          </cell>
          <cell r="H320" t="str">
            <v>VOLR</v>
          </cell>
        </row>
        <row r="321">
          <cell r="A321">
            <v>26198</v>
          </cell>
          <cell r="B321" t="e">
            <v>#NAME?</v>
          </cell>
          <cell r="C321">
            <v>8994</v>
          </cell>
          <cell r="D321" t="str">
            <v xml:space="preserve">  MCFD</v>
          </cell>
          <cell r="E321" t="str">
            <v xml:space="preserve">    </v>
          </cell>
          <cell r="F321" t="str">
            <v xml:space="preserve"> S</v>
          </cell>
          <cell r="G321">
            <v>36796.258333333331</v>
          </cell>
          <cell r="H321" t="str">
            <v>VOLR</v>
          </cell>
        </row>
        <row r="322">
          <cell r="A322">
            <v>26199</v>
          </cell>
          <cell r="B322" t="e">
            <v>#NAME?</v>
          </cell>
          <cell r="C322">
            <v>0</v>
          </cell>
          <cell r="D322" t="str">
            <v xml:space="preserve">  MCFD</v>
          </cell>
          <cell r="E322" t="str">
            <v xml:space="preserve">    </v>
          </cell>
          <cell r="F322" t="str">
            <v xml:space="preserve"> S</v>
          </cell>
          <cell r="G322">
            <v>36796.261111111111</v>
          </cell>
          <cell r="H322" t="str">
            <v>VOLR</v>
          </cell>
        </row>
        <row r="323">
          <cell r="A323">
            <v>26200</v>
          </cell>
          <cell r="B323" t="e">
            <v>#NAME?</v>
          </cell>
          <cell r="C323">
            <v>0</v>
          </cell>
          <cell r="D323" t="str">
            <v xml:space="preserve">  MCFD</v>
          </cell>
          <cell r="E323" t="str">
            <v>UNAV</v>
          </cell>
          <cell r="F323" t="str">
            <v xml:space="preserve"> S</v>
          </cell>
          <cell r="G323">
            <v>36796.261805555558</v>
          </cell>
          <cell r="H323" t="str">
            <v>VOLR</v>
          </cell>
        </row>
        <row r="324">
          <cell r="A324">
            <v>26201</v>
          </cell>
          <cell r="B324" t="e">
            <v>#NAME?</v>
          </cell>
          <cell r="C324">
            <v>0</v>
          </cell>
          <cell r="D324" t="str">
            <v xml:space="preserve">  MCFD</v>
          </cell>
          <cell r="E324" t="str">
            <v>UNAV</v>
          </cell>
          <cell r="F324" t="str">
            <v xml:space="preserve"> S</v>
          </cell>
          <cell r="G324">
            <v>36796.261805555558</v>
          </cell>
          <cell r="H324" t="str">
            <v>VOLR</v>
          </cell>
        </row>
        <row r="325">
          <cell r="A325">
            <v>26202</v>
          </cell>
          <cell r="B325" t="e">
            <v>#NAME?</v>
          </cell>
          <cell r="C325">
            <v>0</v>
          </cell>
          <cell r="D325" t="str">
            <v xml:space="preserve">  MCFD</v>
          </cell>
          <cell r="E325" t="str">
            <v xml:space="preserve">    </v>
          </cell>
          <cell r="F325" t="str">
            <v xml:space="preserve"> S</v>
          </cell>
          <cell r="G325">
            <v>36796.245833333334</v>
          </cell>
          <cell r="H325" t="str">
            <v>VOLR</v>
          </cell>
        </row>
        <row r="326">
          <cell r="A326">
            <v>26203</v>
          </cell>
          <cell r="B326" t="e">
            <v>#NAME?</v>
          </cell>
          <cell r="C326">
            <v>34522</v>
          </cell>
          <cell r="D326" t="str">
            <v xml:space="preserve">  MCFD</v>
          </cell>
          <cell r="E326" t="str">
            <v xml:space="preserve">    </v>
          </cell>
          <cell r="F326" t="str">
            <v xml:space="preserve"> S</v>
          </cell>
          <cell r="G326">
            <v>36796.259722222225</v>
          </cell>
          <cell r="H326" t="str">
            <v>VOLR</v>
          </cell>
        </row>
        <row r="327">
          <cell r="A327">
            <v>26204</v>
          </cell>
          <cell r="B327" t="e">
            <v>#NAME?</v>
          </cell>
          <cell r="C327">
            <v>9803</v>
          </cell>
          <cell r="D327" t="str">
            <v xml:space="preserve">  MCFD</v>
          </cell>
          <cell r="E327" t="str">
            <v xml:space="preserve">    </v>
          </cell>
          <cell r="F327" t="str">
            <v xml:space="preserve"> S</v>
          </cell>
          <cell r="G327">
            <v>36796.256249999999</v>
          </cell>
          <cell r="H327" t="str">
            <v>VOLR</v>
          </cell>
        </row>
        <row r="328">
          <cell r="A328">
            <v>26205</v>
          </cell>
          <cell r="B328" t="e">
            <v>#NAME?</v>
          </cell>
          <cell r="C328">
            <v>0</v>
          </cell>
          <cell r="D328" t="str">
            <v xml:space="preserve">  MCFD</v>
          </cell>
          <cell r="E328" t="str">
            <v xml:space="preserve">    </v>
          </cell>
          <cell r="F328" t="str">
            <v xml:space="preserve"> S</v>
          </cell>
          <cell r="G328">
            <v>36796.255555555559</v>
          </cell>
          <cell r="H328" t="str">
            <v>VOLR</v>
          </cell>
        </row>
        <row r="329">
          <cell r="A329">
            <v>26206</v>
          </cell>
          <cell r="B329" t="e">
            <v>#NAME?</v>
          </cell>
          <cell r="C329">
            <v>0</v>
          </cell>
          <cell r="D329" t="str">
            <v xml:space="preserve">  MCFD</v>
          </cell>
          <cell r="E329" t="str">
            <v>UNAV</v>
          </cell>
          <cell r="F329" t="str">
            <v xml:space="preserve"> S</v>
          </cell>
          <cell r="G329">
            <v>36796.261805555558</v>
          </cell>
          <cell r="H329" t="str">
            <v>VOLR</v>
          </cell>
        </row>
        <row r="330">
          <cell r="A330">
            <v>26207</v>
          </cell>
          <cell r="B330" t="e">
            <v>#NAME?</v>
          </cell>
          <cell r="C330">
            <v>0</v>
          </cell>
          <cell r="D330" t="str">
            <v xml:space="preserve">  MCFD</v>
          </cell>
          <cell r="E330" t="str">
            <v>UNAV</v>
          </cell>
          <cell r="F330" t="str">
            <v xml:space="preserve"> S</v>
          </cell>
          <cell r="G330">
            <v>36796.261805555558</v>
          </cell>
          <cell r="H330" t="str">
            <v>VOLR</v>
          </cell>
        </row>
        <row r="331">
          <cell r="A331">
            <v>26208</v>
          </cell>
          <cell r="B331" t="e">
            <v>#NAME?</v>
          </cell>
          <cell r="C331">
            <v>0</v>
          </cell>
          <cell r="D331" t="str">
            <v xml:space="preserve">  MCFD</v>
          </cell>
          <cell r="E331" t="str">
            <v>UNAV</v>
          </cell>
          <cell r="F331" t="str">
            <v xml:space="preserve"> S</v>
          </cell>
          <cell r="G331">
            <v>36796.261805555558</v>
          </cell>
          <cell r="H331" t="str">
            <v>VOLR</v>
          </cell>
        </row>
        <row r="332">
          <cell r="A332">
            <v>26209</v>
          </cell>
          <cell r="B332" t="e">
            <v>#NAME?</v>
          </cell>
          <cell r="C332">
            <v>0</v>
          </cell>
          <cell r="D332" t="str">
            <v xml:space="preserve">  MCFD</v>
          </cell>
          <cell r="E332" t="str">
            <v>UNAV</v>
          </cell>
          <cell r="F332" t="str">
            <v xml:space="preserve"> S</v>
          </cell>
          <cell r="G332">
            <v>36796.261805555558</v>
          </cell>
          <cell r="H332" t="str">
            <v>VOLR</v>
          </cell>
        </row>
        <row r="333">
          <cell r="A333">
            <v>26210</v>
          </cell>
          <cell r="B333" t="e">
            <v>#NAME?</v>
          </cell>
          <cell r="C333">
            <v>0</v>
          </cell>
          <cell r="D333" t="str">
            <v xml:space="preserve">  MCFD</v>
          </cell>
          <cell r="E333" t="str">
            <v>UNAV</v>
          </cell>
          <cell r="F333" t="str">
            <v xml:space="preserve"> S</v>
          </cell>
          <cell r="G333">
            <v>36796.261805555558</v>
          </cell>
          <cell r="H333" t="str">
            <v>VOLR</v>
          </cell>
        </row>
        <row r="334">
          <cell r="A334">
            <v>26212</v>
          </cell>
          <cell r="B334" t="e">
            <v>#NAME?</v>
          </cell>
          <cell r="C334">
            <v>0</v>
          </cell>
          <cell r="D334" t="str">
            <v xml:space="preserve">  MCFD</v>
          </cell>
          <cell r="E334" t="str">
            <v xml:space="preserve">    </v>
          </cell>
          <cell r="F334" t="str">
            <v xml:space="preserve"> S</v>
          </cell>
          <cell r="G334">
            <v>36796.259027777778</v>
          </cell>
          <cell r="H334" t="str">
            <v>VOLR</v>
          </cell>
        </row>
        <row r="335">
          <cell r="A335">
            <v>26213</v>
          </cell>
          <cell r="B335" t="e">
            <v>#NAME?</v>
          </cell>
          <cell r="C335">
            <v>0</v>
          </cell>
          <cell r="D335" t="str">
            <v xml:space="preserve">  MCFD</v>
          </cell>
          <cell r="E335" t="str">
            <v xml:space="preserve">    </v>
          </cell>
          <cell r="F335" t="str">
            <v xml:space="preserve"> S</v>
          </cell>
          <cell r="G335">
            <v>36796.257638888892</v>
          </cell>
          <cell r="H335" t="str">
            <v>VOLR</v>
          </cell>
        </row>
        <row r="336">
          <cell r="A336">
            <v>26215</v>
          </cell>
          <cell r="B336" t="e">
            <v>#NAME?</v>
          </cell>
          <cell r="C336">
            <v>36030</v>
          </cell>
          <cell r="D336" t="str">
            <v xml:space="preserve">  MCFD</v>
          </cell>
          <cell r="E336" t="str">
            <v xml:space="preserve">    </v>
          </cell>
          <cell r="F336" t="str">
            <v xml:space="preserve"> S</v>
          </cell>
          <cell r="G336">
            <v>36796.256249999999</v>
          </cell>
          <cell r="H336" t="str">
            <v>VOLR</v>
          </cell>
        </row>
        <row r="337">
          <cell r="A337">
            <v>26218</v>
          </cell>
          <cell r="B337" t="e">
            <v>#NAME?</v>
          </cell>
          <cell r="C337">
            <v>0</v>
          </cell>
          <cell r="D337" t="str">
            <v xml:space="preserve">  MCFD</v>
          </cell>
          <cell r="E337" t="str">
            <v>UNAV</v>
          </cell>
          <cell r="F337" t="str">
            <v xml:space="preserve"> S</v>
          </cell>
          <cell r="G337">
            <v>36796.261805555558</v>
          </cell>
          <cell r="H337" t="str">
            <v>VOLR</v>
          </cell>
        </row>
        <row r="338">
          <cell r="A338">
            <v>46001</v>
          </cell>
          <cell r="B338" t="e">
            <v>#NAME?</v>
          </cell>
          <cell r="C338">
            <v>0</v>
          </cell>
          <cell r="D338" t="str">
            <v xml:space="preserve">  MCFD</v>
          </cell>
          <cell r="E338" t="str">
            <v>UNAV</v>
          </cell>
          <cell r="F338" t="str">
            <v xml:space="preserve"> S</v>
          </cell>
          <cell r="G338">
            <v>36796.261805555558</v>
          </cell>
          <cell r="H338" t="str">
            <v>VOLR</v>
          </cell>
        </row>
        <row r="339">
          <cell r="A339">
            <v>46010</v>
          </cell>
          <cell r="B339" t="e">
            <v>#NAME?</v>
          </cell>
          <cell r="C339">
            <v>0</v>
          </cell>
          <cell r="D339" t="str">
            <v xml:space="preserve">  MCFD</v>
          </cell>
          <cell r="E339" t="str">
            <v xml:space="preserve">    </v>
          </cell>
          <cell r="F339" t="str">
            <v xml:space="preserve"> S</v>
          </cell>
          <cell r="G339">
            <v>36796.261805555558</v>
          </cell>
          <cell r="H339" t="str">
            <v>VOLR</v>
          </cell>
        </row>
        <row r="340">
          <cell r="A340">
            <v>46011</v>
          </cell>
          <cell r="B340" t="e">
            <v>#NAME?</v>
          </cell>
          <cell r="C340">
            <v>0</v>
          </cell>
          <cell r="D340" t="str">
            <v xml:space="preserve">  MCFD</v>
          </cell>
          <cell r="E340" t="str">
            <v>UNAV</v>
          </cell>
          <cell r="F340" t="str">
            <v xml:space="preserve"> S</v>
          </cell>
          <cell r="G340">
            <v>36796.261805555558</v>
          </cell>
          <cell r="H340" t="str">
            <v>VOLR</v>
          </cell>
        </row>
        <row r="341">
          <cell r="A341">
            <v>46012</v>
          </cell>
          <cell r="B341" t="e">
            <v>#NAME?</v>
          </cell>
          <cell r="C341">
            <v>812</v>
          </cell>
          <cell r="D341" t="str">
            <v xml:space="preserve">  MCFD</v>
          </cell>
          <cell r="E341" t="str">
            <v xml:space="preserve">    </v>
          </cell>
          <cell r="F341" t="str">
            <v xml:space="preserve"> S</v>
          </cell>
          <cell r="G341">
            <v>36796.256944444445</v>
          </cell>
          <cell r="H341" t="str">
            <v>VOLR</v>
          </cell>
        </row>
        <row r="342">
          <cell r="A342">
            <v>46013</v>
          </cell>
          <cell r="B342" t="e">
            <v>#NAME?</v>
          </cell>
          <cell r="C342">
            <v>0</v>
          </cell>
          <cell r="D342" t="str">
            <v xml:space="preserve">  MCFD</v>
          </cell>
          <cell r="E342" t="str">
            <v>UNAV</v>
          </cell>
          <cell r="F342" t="str">
            <v xml:space="preserve"> S</v>
          </cell>
          <cell r="G342">
            <v>36796.261805555558</v>
          </cell>
          <cell r="H342" t="str">
            <v>VOLR</v>
          </cell>
        </row>
        <row r="343">
          <cell r="A343">
            <v>46016</v>
          </cell>
          <cell r="B343" t="e">
            <v>#NAME?</v>
          </cell>
          <cell r="C343">
            <v>0</v>
          </cell>
          <cell r="D343" t="str">
            <v xml:space="preserve">  MCFD</v>
          </cell>
          <cell r="E343" t="str">
            <v>UNAV</v>
          </cell>
          <cell r="F343" t="str">
            <v xml:space="preserve"> S</v>
          </cell>
          <cell r="G343">
            <v>36796.261805555558</v>
          </cell>
          <cell r="H343" t="str">
            <v>VOLR</v>
          </cell>
        </row>
        <row r="344">
          <cell r="A344">
            <v>46017</v>
          </cell>
          <cell r="B344" t="e">
            <v>#NAME?</v>
          </cell>
          <cell r="C344">
            <v>0</v>
          </cell>
          <cell r="D344" t="str">
            <v xml:space="preserve">  MCFD</v>
          </cell>
          <cell r="E344" t="str">
            <v>UNAV</v>
          </cell>
          <cell r="F344" t="str">
            <v xml:space="preserve"> S</v>
          </cell>
          <cell r="G344">
            <v>36796.261805555558</v>
          </cell>
          <cell r="H344" t="str">
            <v>VOLR</v>
          </cell>
        </row>
        <row r="345">
          <cell r="A345">
            <v>46024</v>
          </cell>
          <cell r="B345" t="e">
            <v>#NAME?</v>
          </cell>
          <cell r="C345">
            <v>0</v>
          </cell>
          <cell r="D345" t="str">
            <v xml:space="preserve">  MCFD</v>
          </cell>
          <cell r="E345" t="str">
            <v xml:space="preserve">    </v>
          </cell>
          <cell r="F345" t="str">
            <v xml:space="preserve"> S</v>
          </cell>
          <cell r="G345">
            <v>36796.256944444445</v>
          </cell>
          <cell r="H345" t="str">
            <v>VOLR</v>
          </cell>
        </row>
        <row r="346">
          <cell r="A346">
            <v>46025</v>
          </cell>
          <cell r="B346" t="e">
            <v>#NAME?</v>
          </cell>
          <cell r="C346">
            <v>0</v>
          </cell>
          <cell r="D346" t="str">
            <v xml:space="preserve">  MCFD</v>
          </cell>
          <cell r="E346" t="str">
            <v>UNAV</v>
          </cell>
          <cell r="F346" t="str">
            <v xml:space="preserve"> S</v>
          </cell>
          <cell r="G346">
            <v>36796.261805555558</v>
          </cell>
          <cell r="H346" t="str">
            <v>VOLR</v>
          </cell>
        </row>
        <row r="347">
          <cell r="A347">
            <v>46026</v>
          </cell>
          <cell r="B347" t="e">
            <v>#NAME?</v>
          </cell>
          <cell r="C347">
            <v>0</v>
          </cell>
          <cell r="D347" t="str">
            <v xml:space="preserve">  MCFD</v>
          </cell>
          <cell r="E347" t="str">
            <v>UNAV</v>
          </cell>
          <cell r="F347" t="str">
            <v xml:space="preserve"> S</v>
          </cell>
          <cell r="G347">
            <v>36796.261805555558</v>
          </cell>
          <cell r="H347" t="str">
            <v>VOLR</v>
          </cell>
        </row>
        <row r="348">
          <cell r="A348">
            <v>46027</v>
          </cell>
          <cell r="B348" t="e">
            <v>#NAME?</v>
          </cell>
          <cell r="C348">
            <v>0</v>
          </cell>
          <cell r="D348" t="str">
            <v xml:space="preserve">  MCFD</v>
          </cell>
          <cell r="E348" t="str">
            <v xml:space="preserve">    </v>
          </cell>
          <cell r="F348" t="str">
            <v xml:space="preserve"> S</v>
          </cell>
          <cell r="G348">
            <v>36796.260416666664</v>
          </cell>
          <cell r="H348" t="str">
            <v>VOLR</v>
          </cell>
        </row>
        <row r="349">
          <cell r="A349">
            <v>46028</v>
          </cell>
          <cell r="B349" t="e">
            <v>#NAME?</v>
          </cell>
          <cell r="C349">
            <v>0</v>
          </cell>
          <cell r="D349" t="str">
            <v xml:space="preserve">  MCFD</v>
          </cell>
          <cell r="E349" t="str">
            <v>UNAV</v>
          </cell>
          <cell r="F349" t="str">
            <v xml:space="preserve"> S</v>
          </cell>
          <cell r="G349">
            <v>36796.261805555558</v>
          </cell>
          <cell r="H349" t="str">
            <v>VOLR</v>
          </cell>
        </row>
        <row r="350">
          <cell r="A350">
            <v>46029</v>
          </cell>
          <cell r="B350" t="e">
            <v>#NAME?</v>
          </cell>
          <cell r="C350">
            <v>0</v>
          </cell>
          <cell r="D350" t="str">
            <v xml:space="preserve">  MCFD</v>
          </cell>
          <cell r="E350" t="str">
            <v>UNAV</v>
          </cell>
          <cell r="F350" t="str">
            <v xml:space="preserve"> S</v>
          </cell>
          <cell r="G350">
            <v>36796.261805555558</v>
          </cell>
          <cell r="H350" t="str">
            <v>VOLR</v>
          </cell>
        </row>
        <row r="351">
          <cell r="A351">
            <v>46030</v>
          </cell>
          <cell r="B351" t="e">
            <v>#NAME?</v>
          </cell>
          <cell r="C351">
            <v>0</v>
          </cell>
          <cell r="D351" t="str">
            <v xml:space="preserve">  MCFD</v>
          </cell>
          <cell r="E351" t="str">
            <v>UNAV</v>
          </cell>
          <cell r="F351" t="str">
            <v xml:space="preserve"> S</v>
          </cell>
          <cell r="G351">
            <v>36796.261805555558</v>
          </cell>
          <cell r="H351" t="str">
            <v>VOLR</v>
          </cell>
        </row>
        <row r="352">
          <cell r="A352">
            <v>46031</v>
          </cell>
          <cell r="B352" t="e">
            <v>#NAME?</v>
          </cell>
          <cell r="C352">
            <v>0</v>
          </cell>
          <cell r="D352" t="str">
            <v xml:space="preserve">  MCFD</v>
          </cell>
          <cell r="E352" t="str">
            <v>UNAV</v>
          </cell>
          <cell r="F352" t="str">
            <v xml:space="preserve"> S</v>
          </cell>
          <cell r="G352">
            <v>36796.261805555558</v>
          </cell>
          <cell r="H352" t="str">
            <v>VOLR</v>
          </cell>
        </row>
        <row r="353">
          <cell r="A353">
            <v>46032</v>
          </cell>
          <cell r="B353" t="e">
            <v>#NAME?</v>
          </cell>
          <cell r="C353">
            <v>0</v>
          </cell>
          <cell r="D353" t="str">
            <v xml:space="preserve">  MCFD</v>
          </cell>
          <cell r="E353" t="str">
            <v>UNAV</v>
          </cell>
          <cell r="F353" t="str">
            <v xml:space="preserve"> S</v>
          </cell>
          <cell r="G353">
            <v>36796.261805555558</v>
          </cell>
          <cell r="H353" t="str">
            <v>VOLR</v>
          </cell>
        </row>
        <row r="354">
          <cell r="A354">
            <v>46034</v>
          </cell>
          <cell r="B354" t="e">
            <v>#NAME?</v>
          </cell>
          <cell r="C354">
            <v>0</v>
          </cell>
          <cell r="D354" t="str">
            <v xml:space="preserve">  MCFD</v>
          </cell>
          <cell r="E354" t="str">
            <v>UNAV</v>
          </cell>
          <cell r="F354" t="str">
            <v xml:space="preserve"> S</v>
          </cell>
          <cell r="G354">
            <v>36796.261805555558</v>
          </cell>
          <cell r="H354" t="str">
            <v>VOLR</v>
          </cell>
        </row>
        <row r="355">
          <cell r="A355">
            <v>46035</v>
          </cell>
          <cell r="B355" t="e">
            <v>#NAME?</v>
          </cell>
          <cell r="C355">
            <v>0</v>
          </cell>
          <cell r="D355" t="str">
            <v xml:space="preserve">  MCFD</v>
          </cell>
          <cell r="E355" t="str">
            <v xml:space="preserve">    </v>
          </cell>
          <cell r="F355" t="str">
            <v xml:space="preserve"> S</v>
          </cell>
          <cell r="G355">
            <v>36796.261805555558</v>
          </cell>
          <cell r="H355" t="str">
            <v>VOLR</v>
          </cell>
        </row>
        <row r="356">
          <cell r="A356">
            <v>46037</v>
          </cell>
          <cell r="B356" t="e">
            <v>#NAME?</v>
          </cell>
          <cell r="C356">
            <v>0</v>
          </cell>
          <cell r="D356" t="str">
            <v xml:space="preserve">  MCFD</v>
          </cell>
          <cell r="E356" t="str">
            <v>UNAV</v>
          </cell>
          <cell r="F356" t="str">
            <v xml:space="preserve"> S</v>
          </cell>
          <cell r="G356">
            <v>36796.261805555558</v>
          </cell>
          <cell r="H356" t="str">
            <v>VOLR</v>
          </cell>
        </row>
        <row r="357">
          <cell r="A357">
            <v>46038</v>
          </cell>
          <cell r="B357" t="e">
            <v>#NAME?</v>
          </cell>
          <cell r="C357">
            <v>0</v>
          </cell>
          <cell r="D357" t="str">
            <v xml:space="preserve">  MCFD</v>
          </cell>
          <cell r="E357" t="str">
            <v>UNAV</v>
          </cell>
          <cell r="F357" t="str">
            <v xml:space="preserve"> S</v>
          </cell>
          <cell r="G357">
            <v>36796.261805555558</v>
          </cell>
          <cell r="H357" t="str">
            <v>VOLR</v>
          </cell>
        </row>
        <row r="358">
          <cell r="A358">
            <v>46042</v>
          </cell>
          <cell r="B358" t="e">
            <v>#NAME?</v>
          </cell>
          <cell r="C358">
            <v>0</v>
          </cell>
          <cell r="D358" t="str">
            <v xml:space="preserve">  MCFD</v>
          </cell>
          <cell r="E358" t="str">
            <v>UNAV</v>
          </cell>
          <cell r="F358" t="str">
            <v xml:space="preserve"> S</v>
          </cell>
          <cell r="G358">
            <v>36796.261805555558</v>
          </cell>
          <cell r="H358" t="str">
            <v>VOLR</v>
          </cell>
        </row>
        <row r="359">
          <cell r="A359">
            <v>56000</v>
          </cell>
          <cell r="B359" t="e">
            <v>#NAME?</v>
          </cell>
          <cell r="C359">
            <v>0</v>
          </cell>
          <cell r="D359" t="str">
            <v xml:space="preserve">  MCFD</v>
          </cell>
          <cell r="E359" t="str">
            <v>UNAV</v>
          </cell>
          <cell r="F359" t="str">
            <v xml:space="preserve"> S</v>
          </cell>
          <cell r="G359">
            <v>36796.261805555558</v>
          </cell>
          <cell r="H359" t="str">
            <v>VOLR</v>
          </cell>
        </row>
        <row r="360">
          <cell r="A360">
            <v>56006</v>
          </cell>
          <cell r="B360" t="e">
            <v>#NAME?</v>
          </cell>
          <cell r="C360">
            <v>52181</v>
          </cell>
          <cell r="D360" t="str">
            <v xml:space="preserve">  MCFD</v>
          </cell>
          <cell r="E360" t="str">
            <v xml:space="preserve">    </v>
          </cell>
          <cell r="F360" t="str">
            <v xml:space="preserve"> S</v>
          </cell>
          <cell r="G360">
            <v>36796.256249999999</v>
          </cell>
          <cell r="H360" t="str">
            <v>VOLR</v>
          </cell>
        </row>
        <row r="361">
          <cell r="A361">
            <v>56006</v>
          </cell>
          <cell r="B361" t="e">
            <v>#NAME?</v>
          </cell>
          <cell r="C361">
            <v>52181</v>
          </cell>
          <cell r="D361" t="str">
            <v xml:space="preserve">  MCFD</v>
          </cell>
          <cell r="E361" t="str">
            <v xml:space="preserve">    </v>
          </cell>
          <cell r="F361" t="str">
            <v xml:space="preserve"> S</v>
          </cell>
          <cell r="G361">
            <v>36796.256249999999</v>
          </cell>
          <cell r="H361" t="str">
            <v>VOLR</v>
          </cell>
        </row>
        <row r="362">
          <cell r="A362">
            <v>56007</v>
          </cell>
          <cell r="B362" t="e">
            <v>#NAME?</v>
          </cell>
          <cell r="C362">
            <v>0</v>
          </cell>
          <cell r="D362" t="str">
            <v xml:space="preserve">  MCFD</v>
          </cell>
          <cell r="E362" t="str">
            <v>UNAV</v>
          </cell>
          <cell r="F362" t="str">
            <v xml:space="preserve"> S</v>
          </cell>
          <cell r="G362">
            <v>36796.261805555558</v>
          </cell>
          <cell r="H362" t="str">
            <v>VOLR</v>
          </cell>
        </row>
        <row r="363">
          <cell r="A363">
            <v>56015</v>
          </cell>
          <cell r="B363" t="e">
            <v>#NAME?</v>
          </cell>
          <cell r="C363">
            <v>0</v>
          </cell>
          <cell r="D363" t="str">
            <v xml:space="preserve">  MCFD</v>
          </cell>
          <cell r="E363" t="str">
            <v xml:space="preserve">    </v>
          </cell>
          <cell r="F363" t="str">
            <v xml:space="preserve"> S</v>
          </cell>
          <cell r="G363">
            <v>36796.259722222225</v>
          </cell>
          <cell r="H363" t="str">
            <v>VOLR</v>
          </cell>
        </row>
        <row r="364">
          <cell r="A364">
            <v>56020</v>
          </cell>
          <cell r="B364" t="e">
            <v>#NAME?</v>
          </cell>
          <cell r="C364">
            <v>0</v>
          </cell>
          <cell r="D364" t="str">
            <v xml:space="preserve">  MCFD</v>
          </cell>
          <cell r="E364" t="str">
            <v>UNAV</v>
          </cell>
          <cell r="F364" t="str">
            <v xml:space="preserve"> S</v>
          </cell>
          <cell r="G364">
            <v>36796.261805555558</v>
          </cell>
          <cell r="H364" t="str">
            <v>VOLR</v>
          </cell>
        </row>
        <row r="365">
          <cell r="A365">
            <v>56031</v>
          </cell>
          <cell r="B365" t="e">
            <v>#NAME?</v>
          </cell>
          <cell r="C365">
            <v>0</v>
          </cell>
          <cell r="D365" t="str">
            <v xml:space="preserve">  MCFD</v>
          </cell>
          <cell r="E365" t="str">
            <v xml:space="preserve">    </v>
          </cell>
          <cell r="F365" t="str">
            <v xml:space="preserve"> S</v>
          </cell>
          <cell r="G365">
            <v>36796.256944444445</v>
          </cell>
          <cell r="H365" t="str">
            <v>VOLR</v>
          </cell>
        </row>
        <row r="366">
          <cell r="A366">
            <v>56032</v>
          </cell>
          <cell r="B366" t="e">
            <v>#NAME?</v>
          </cell>
          <cell r="C366">
            <v>62626</v>
          </cell>
          <cell r="D366" t="str">
            <v xml:space="preserve">  MCFD</v>
          </cell>
          <cell r="E366" t="str">
            <v xml:space="preserve">    </v>
          </cell>
          <cell r="F366" t="str">
            <v xml:space="preserve"> S</v>
          </cell>
          <cell r="G366">
            <v>36796.260416666664</v>
          </cell>
          <cell r="H366" t="str">
            <v>VOLR</v>
          </cell>
        </row>
        <row r="367">
          <cell r="A367">
            <v>56039</v>
          </cell>
          <cell r="B367" t="e">
            <v>#NAME?</v>
          </cell>
          <cell r="C367">
            <v>388991</v>
          </cell>
          <cell r="D367" t="str">
            <v xml:space="preserve">  MCFD</v>
          </cell>
          <cell r="E367" t="str">
            <v xml:space="preserve">    </v>
          </cell>
          <cell r="F367" t="str">
            <v xml:space="preserve"> S</v>
          </cell>
          <cell r="G367">
            <v>36796.260416666664</v>
          </cell>
          <cell r="H367" t="str">
            <v>VOLR</v>
          </cell>
        </row>
        <row r="368">
          <cell r="A368">
            <v>56040</v>
          </cell>
          <cell r="B368" t="e">
            <v>#NAME?</v>
          </cell>
          <cell r="C368">
            <v>0</v>
          </cell>
          <cell r="D368" t="str">
            <v xml:space="preserve">  MCFD</v>
          </cell>
          <cell r="E368" t="str">
            <v xml:space="preserve">    </v>
          </cell>
          <cell r="F368" t="str">
            <v xml:space="preserve"> S</v>
          </cell>
          <cell r="G368">
            <v>36796.261111111111</v>
          </cell>
          <cell r="H368" t="str">
            <v>VOLR</v>
          </cell>
        </row>
        <row r="369">
          <cell r="A369">
            <v>56041</v>
          </cell>
          <cell r="B369" t="e">
            <v>#NAME?</v>
          </cell>
          <cell r="C369">
            <v>0</v>
          </cell>
          <cell r="D369" t="str">
            <v xml:space="preserve">  MCFD</v>
          </cell>
          <cell r="E369" t="str">
            <v xml:space="preserve">    </v>
          </cell>
          <cell r="F369" t="str">
            <v xml:space="preserve"> S</v>
          </cell>
          <cell r="G369">
            <v>36796.259027777778</v>
          </cell>
          <cell r="H369" t="str">
            <v>VOLR</v>
          </cell>
        </row>
        <row r="370">
          <cell r="A370">
            <v>56042</v>
          </cell>
          <cell r="B370" t="e">
            <v>#NAME?</v>
          </cell>
          <cell r="C370">
            <v>22876</v>
          </cell>
          <cell r="D370" t="str">
            <v xml:space="preserve">  MCFD</v>
          </cell>
          <cell r="E370" t="str">
            <v xml:space="preserve">    </v>
          </cell>
          <cell r="F370" t="str">
            <v xml:space="preserve"> S</v>
          </cell>
          <cell r="G370">
            <v>36796.259027777778</v>
          </cell>
          <cell r="H370" t="str">
            <v>VOLR</v>
          </cell>
        </row>
        <row r="371">
          <cell r="A371">
            <v>56043</v>
          </cell>
          <cell r="B371" t="e">
            <v>#NAME?</v>
          </cell>
          <cell r="C371">
            <v>290460</v>
          </cell>
          <cell r="D371" t="str">
            <v xml:space="preserve">  MCFD</v>
          </cell>
          <cell r="E371" t="str">
            <v xml:space="preserve">    </v>
          </cell>
          <cell r="F371" t="str">
            <v xml:space="preserve"> S</v>
          </cell>
          <cell r="G371">
            <v>36796.255555555559</v>
          </cell>
          <cell r="H371" t="str">
            <v>VOLR</v>
          </cell>
        </row>
        <row r="372">
          <cell r="A372">
            <v>56044</v>
          </cell>
          <cell r="B372" t="e">
            <v>#NAME?</v>
          </cell>
          <cell r="C372">
            <v>0</v>
          </cell>
          <cell r="D372" t="str">
            <v xml:space="preserve">  MCFD</v>
          </cell>
          <cell r="E372" t="str">
            <v xml:space="preserve">    </v>
          </cell>
          <cell r="F372" t="str">
            <v xml:space="preserve"> S</v>
          </cell>
          <cell r="G372">
            <v>36796.256944444445</v>
          </cell>
          <cell r="H372" t="str">
            <v>VOLR</v>
          </cell>
        </row>
        <row r="373">
          <cell r="A373">
            <v>620614</v>
          </cell>
          <cell r="B373" t="e">
            <v>#NAME?</v>
          </cell>
          <cell r="C373">
            <v>0</v>
          </cell>
          <cell r="D373" t="str">
            <v xml:space="preserve">  MCFD</v>
          </cell>
          <cell r="E373" t="str">
            <v>UNAV</v>
          </cell>
          <cell r="F373" t="str">
            <v xml:space="preserve"> S</v>
          </cell>
          <cell r="G373">
            <v>36796.261805555558</v>
          </cell>
          <cell r="H373" t="str">
            <v>VOLR</v>
          </cell>
        </row>
        <row r="374">
          <cell r="A374">
            <v>621300</v>
          </cell>
          <cell r="B374" t="e">
            <v>#NAME?</v>
          </cell>
          <cell r="C374">
            <v>0</v>
          </cell>
          <cell r="D374" t="str">
            <v xml:space="preserve">  MCFD</v>
          </cell>
          <cell r="E374" t="str">
            <v>UNAV</v>
          </cell>
          <cell r="F374" t="str">
            <v xml:space="preserve"> S</v>
          </cell>
          <cell r="G374">
            <v>36796.261805555558</v>
          </cell>
          <cell r="H374" t="str">
            <v>VOLR</v>
          </cell>
        </row>
        <row r="375">
          <cell r="A375">
            <v>6101</v>
          </cell>
          <cell r="B375" t="e">
            <v>#NAME?</v>
          </cell>
          <cell r="C375">
            <v>0</v>
          </cell>
          <cell r="D375" t="str">
            <v xml:space="preserve">   MCF</v>
          </cell>
          <cell r="E375" t="str">
            <v>UNAV</v>
          </cell>
          <cell r="F375" t="str">
            <v xml:space="preserve"> S</v>
          </cell>
          <cell r="G375">
            <v>36796.261805555558</v>
          </cell>
          <cell r="H375" t="str">
            <v>TVOL</v>
          </cell>
        </row>
        <row r="376">
          <cell r="A376">
            <v>6148</v>
          </cell>
          <cell r="B376" t="e">
            <v>#NAME?</v>
          </cell>
          <cell r="C376">
            <v>13519.098599999999</v>
          </cell>
          <cell r="D376" t="str">
            <v xml:space="preserve">   MCF</v>
          </cell>
          <cell r="E376" t="str">
            <v xml:space="preserve">    </v>
          </cell>
          <cell r="F376" t="str">
            <v xml:space="preserve"> S</v>
          </cell>
          <cell r="G376">
            <v>36796.260416666664</v>
          </cell>
          <cell r="H376" t="str">
            <v>TVOL</v>
          </cell>
        </row>
        <row r="377">
          <cell r="A377">
            <v>16001</v>
          </cell>
          <cell r="B377" t="e">
            <v>#NAME?</v>
          </cell>
          <cell r="C377">
            <v>0</v>
          </cell>
          <cell r="D377" t="str">
            <v xml:space="preserve">   MCF</v>
          </cell>
          <cell r="E377" t="str">
            <v>UNAV</v>
          </cell>
          <cell r="F377" t="str">
            <v xml:space="preserve"> S</v>
          </cell>
          <cell r="G377">
            <v>36796.261805555558</v>
          </cell>
          <cell r="H377" t="str">
            <v>TVOL</v>
          </cell>
        </row>
        <row r="378">
          <cell r="A378">
            <v>16016</v>
          </cell>
          <cell r="B378" t="e">
            <v>#NAME?</v>
          </cell>
          <cell r="C378">
            <v>0</v>
          </cell>
          <cell r="D378" t="str">
            <v xml:space="preserve">   MCF</v>
          </cell>
          <cell r="E378" t="str">
            <v>UNAV</v>
          </cell>
          <cell r="F378" t="str">
            <v xml:space="preserve"> S</v>
          </cell>
          <cell r="G378">
            <v>36796.261805555558</v>
          </cell>
          <cell r="H378" t="str">
            <v>TVOL</v>
          </cell>
        </row>
        <row r="379">
          <cell r="A379">
            <v>16032</v>
          </cell>
          <cell r="B379" t="e">
            <v>#NAME?</v>
          </cell>
          <cell r="C379">
            <v>96704.382800000007</v>
          </cell>
          <cell r="D379" t="str">
            <v xml:space="preserve">   MCF</v>
          </cell>
          <cell r="E379" t="str">
            <v xml:space="preserve">    </v>
          </cell>
          <cell r="F379" t="str">
            <v xml:space="preserve"> S</v>
          </cell>
          <cell r="G379">
            <v>36796.255555555559</v>
          </cell>
          <cell r="H379" t="str">
            <v>TVOL</v>
          </cell>
        </row>
        <row r="380">
          <cell r="A380">
            <v>16036</v>
          </cell>
          <cell r="B380" t="e">
            <v>#NAME?</v>
          </cell>
          <cell r="C380">
            <v>18320.800800000001</v>
          </cell>
          <cell r="D380" t="str">
            <v xml:space="preserve">   MCF</v>
          </cell>
          <cell r="E380" t="str">
            <v xml:space="preserve">    </v>
          </cell>
          <cell r="F380" t="str">
            <v xml:space="preserve"> S</v>
          </cell>
          <cell r="G380">
            <v>36796.256249999999</v>
          </cell>
          <cell r="H380" t="str">
            <v>TVOL</v>
          </cell>
        </row>
        <row r="381">
          <cell r="A381">
            <v>16038</v>
          </cell>
          <cell r="B381" t="e">
            <v>#NAME?</v>
          </cell>
          <cell r="C381">
            <v>0</v>
          </cell>
          <cell r="D381" t="str">
            <v xml:space="preserve">   MCF</v>
          </cell>
          <cell r="E381" t="str">
            <v>UNAV</v>
          </cell>
          <cell r="F381" t="str">
            <v xml:space="preserve"> S</v>
          </cell>
          <cell r="G381">
            <v>36796.261805555558</v>
          </cell>
          <cell r="H381" t="str">
            <v>TVOL</v>
          </cell>
        </row>
        <row r="382">
          <cell r="A382">
            <v>16039</v>
          </cell>
          <cell r="B382" t="e">
            <v>#NAME?</v>
          </cell>
          <cell r="C382">
            <v>0</v>
          </cell>
          <cell r="D382" t="str">
            <v xml:space="preserve">   MCF</v>
          </cell>
          <cell r="E382" t="str">
            <v>UNAV</v>
          </cell>
          <cell r="F382" t="str">
            <v xml:space="preserve"> S</v>
          </cell>
          <cell r="G382">
            <v>36796.261805555558</v>
          </cell>
          <cell r="H382" t="str">
            <v>TVOL</v>
          </cell>
        </row>
        <row r="383">
          <cell r="A383">
            <v>16047</v>
          </cell>
          <cell r="B383" t="e">
            <v>#NAME?</v>
          </cell>
          <cell r="C383">
            <v>0</v>
          </cell>
          <cell r="D383" t="str">
            <v xml:space="preserve">   MCF</v>
          </cell>
          <cell r="E383" t="str">
            <v>UNAV</v>
          </cell>
          <cell r="F383" t="str">
            <v xml:space="preserve"> S</v>
          </cell>
          <cell r="G383">
            <v>36796.261805555558</v>
          </cell>
          <cell r="H383" t="str">
            <v>TVOL</v>
          </cell>
        </row>
        <row r="384">
          <cell r="A384">
            <v>16055</v>
          </cell>
          <cell r="B384" t="e">
            <v>#NAME?</v>
          </cell>
          <cell r="C384">
            <v>2782.6855500000001</v>
          </cell>
          <cell r="D384" t="str">
            <v xml:space="preserve">   MCF</v>
          </cell>
          <cell r="E384" t="str">
            <v xml:space="preserve">    </v>
          </cell>
          <cell r="F384" t="str">
            <v xml:space="preserve"> S</v>
          </cell>
          <cell r="G384">
            <v>36796.256249999999</v>
          </cell>
          <cell r="H384" t="str">
            <v>TVOL</v>
          </cell>
        </row>
        <row r="385">
          <cell r="A385">
            <v>16057</v>
          </cell>
          <cell r="B385" t="e">
            <v>#NAME?</v>
          </cell>
          <cell r="C385">
            <v>0</v>
          </cell>
          <cell r="D385" t="str">
            <v xml:space="preserve">   MCF</v>
          </cell>
          <cell r="E385" t="str">
            <v>UNAV</v>
          </cell>
          <cell r="F385" t="str">
            <v xml:space="preserve"> S</v>
          </cell>
          <cell r="G385">
            <v>36796.261805555558</v>
          </cell>
          <cell r="H385" t="str">
            <v>TVOL</v>
          </cell>
        </row>
        <row r="386">
          <cell r="A386">
            <v>16058</v>
          </cell>
          <cell r="B386" t="e">
            <v>#NAME?</v>
          </cell>
          <cell r="C386">
            <v>36846.656300000002</v>
          </cell>
          <cell r="D386" t="str">
            <v xml:space="preserve">   MCF</v>
          </cell>
          <cell r="E386" t="str">
            <v xml:space="preserve">    </v>
          </cell>
          <cell r="F386" t="str">
            <v xml:space="preserve"> S</v>
          </cell>
          <cell r="G386">
            <v>36796.255555555559</v>
          </cell>
          <cell r="H386" t="str">
            <v>TVOL</v>
          </cell>
        </row>
        <row r="387">
          <cell r="A387">
            <v>16059</v>
          </cell>
          <cell r="B387" t="e">
            <v>#NAME?</v>
          </cell>
          <cell r="C387">
            <v>0</v>
          </cell>
          <cell r="D387" t="str">
            <v xml:space="preserve">   MCF</v>
          </cell>
          <cell r="E387" t="str">
            <v xml:space="preserve">    </v>
          </cell>
          <cell r="F387" t="str">
            <v xml:space="preserve"> S</v>
          </cell>
          <cell r="G387">
            <v>36796.255555555559</v>
          </cell>
          <cell r="H387" t="str">
            <v>TVOL</v>
          </cell>
        </row>
        <row r="388">
          <cell r="A388">
            <v>16064</v>
          </cell>
          <cell r="B388" t="e">
            <v>#NAME?</v>
          </cell>
          <cell r="C388">
            <v>0</v>
          </cell>
          <cell r="D388" t="str">
            <v xml:space="preserve">   MCF</v>
          </cell>
          <cell r="E388" t="str">
            <v>UNAV</v>
          </cell>
          <cell r="F388" t="str">
            <v xml:space="preserve"> S</v>
          </cell>
          <cell r="G388">
            <v>36796.261805555558</v>
          </cell>
          <cell r="H388" t="str">
            <v>TVOL</v>
          </cell>
        </row>
        <row r="389">
          <cell r="A389">
            <v>16066</v>
          </cell>
          <cell r="B389" t="e">
            <v>#NAME?</v>
          </cell>
          <cell r="C389">
            <v>24684.367200000001</v>
          </cell>
          <cell r="D389" t="str">
            <v xml:space="preserve">   MCF</v>
          </cell>
          <cell r="E389" t="str">
            <v xml:space="preserve">    </v>
          </cell>
          <cell r="F389" t="str">
            <v xml:space="preserve"> S</v>
          </cell>
          <cell r="G389">
            <v>36796.261111111111</v>
          </cell>
          <cell r="H389" t="str">
            <v>TVOL</v>
          </cell>
        </row>
        <row r="390">
          <cell r="A390">
            <v>16068</v>
          </cell>
          <cell r="B390" t="e">
            <v>#NAME?</v>
          </cell>
          <cell r="C390">
            <v>0</v>
          </cell>
          <cell r="D390" t="str">
            <v xml:space="preserve">   MCF</v>
          </cell>
          <cell r="E390" t="str">
            <v xml:space="preserve">    </v>
          </cell>
          <cell r="F390" t="str">
            <v xml:space="preserve"> S</v>
          </cell>
          <cell r="G390">
            <v>36796.254166666666</v>
          </cell>
          <cell r="H390" t="str">
            <v>TVOL</v>
          </cell>
        </row>
        <row r="391">
          <cell r="A391">
            <v>16069</v>
          </cell>
          <cell r="B391" t="e">
            <v>#NAME?</v>
          </cell>
          <cell r="C391">
            <v>0</v>
          </cell>
          <cell r="D391" t="str">
            <v xml:space="preserve">   MCF</v>
          </cell>
          <cell r="E391" t="str">
            <v xml:space="preserve">    </v>
          </cell>
          <cell r="F391" t="str">
            <v xml:space="preserve"> S</v>
          </cell>
          <cell r="G391">
            <v>36796.255555555559</v>
          </cell>
          <cell r="H391" t="str">
            <v>TVOL</v>
          </cell>
        </row>
        <row r="392">
          <cell r="A392">
            <v>16070</v>
          </cell>
          <cell r="B392" t="e">
            <v>#NAME?</v>
          </cell>
          <cell r="C392">
            <v>0</v>
          </cell>
          <cell r="D392" t="str">
            <v xml:space="preserve">   MCF</v>
          </cell>
          <cell r="E392" t="str">
            <v>UNAV</v>
          </cell>
          <cell r="F392" t="str">
            <v xml:space="preserve"> S</v>
          </cell>
          <cell r="G392">
            <v>36796.261805555558</v>
          </cell>
          <cell r="H392" t="str">
            <v>TVOL</v>
          </cell>
        </row>
        <row r="393">
          <cell r="A393">
            <v>16073</v>
          </cell>
          <cell r="B393" t="e">
            <v>#NAME?</v>
          </cell>
          <cell r="C393">
            <v>0</v>
          </cell>
          <cell r="D393" t="str">
            <v xml:space="preserve">   MCF</v>
          </cell>
          <cell r="E393" t="str">
            <v>UNAV</v>
          </cell>
          <cell r="F393" t="str">
            <v xml:space="preserve"> S</v>
          </cell>
          <cell r="G393">
            <v>36796.261805555558</v>
          </cell>
          <cell r="H393" t="str">
            <v>TVOL</v>
          </cell>
        </row>
        <row r="394">
          <cell r="A394">
            <v>16078</v>
          </cell>
          <cell r="B394" t="e">
            <v>#NAME?</v>
          </cell>
          <cell r="C394">
            <v>0</v>
          </cell>
          <cell r="D394" t="str">
            <v xml:space="preserve">   MCF</v>
          </cell>
          <cell r="E394" t="str">
            <v>UNAV</v>
          </cell>
          <cell r="F394" t="str">
            <v xml:space="preserve"> S</v>
          </cell>
          <cell r="G394">
            <v>36796.261805555558</v>
          </cell>
          <cell r="H394" t="str">
            <v>TVOL</v>
          </cell>
        </row>
        <row r="395">
          <cell r="A395">
            <v>16080</v>
          </cell>
          <cell r="B395" t="e">
            <v>#NAME?</v>
          </cell>
          <cell r="C395">
            <v>0</v>
          </cell>
          <cell r="D395" t="str">
            <v xml:space="preserve">   MCF</v>
          </cell>
          <cell r="E395" t="str">
            <v>UNAV</v>
          </cell>
          <cell r="F395" t="str">
            <v xml:space="preserve"> S</v>
          </cell>
          <cell r="G395">
            <v>36796.261805555558</v>
          </cell>
          <cell r="H395" t="str">
            <v>TVOL</v>
          </cell>
        </row>
        <row r="396">
          <cell r="A396">
            <v>16083</v>
          </cell>
          <cell r="B396" t="e">
            <v>#NAME?</v>
          </cell>
          <cell r="C396">
            <v>0</v>
          </cell>
          <cell r="D396" t="str">
            <v xml:space="preserve">   MCF</v>
          </cell>
          <cell r="E396" t="str">
            <v>UNAV</v>
          </cell>
          <cell r="F396" t="str">
            <v xml:space="preserve"> S</v>
          </cell>
          <cell r="G396">
            <v>36796.261805555558</v>
          </cell>
          <cell r="H396" t="str">
            <v>TVOL</v>
          </cell>
        </row>
        <row r="397">
          <cell r="A397">
            <v>16087</v>
          </cell>
          <cell r="B397" t="e">
            <v>#NAME?</v>
          </cell>
          <cell r="C397">
            <v>0</v>
          </cell>
          <cell r="D397" t="str">
            <v xml:space="preserve">   MCF</v>
          </cell>
          <cell r="E397" t="str">
            <v>UNAV</v>
          </cell>
          <cell r="F397" t="str">
            <v xml:space="preserve"> S</v>
          </cell>
          <cell r="G397">
            <v>36796.261805555558</v>
          </cell>
          <cell r="H397" t="str">
            <v>TVOL</v>
          </cell>
        </row>
        <row r="398">
          <cell r="A398">
            <v>16088</v>
          </cell>
          <cell r="B398" t="e">
            <v>#NAME?</v>
          </cell>
          <cell r="C398">
            <v>46195.253900000003</v>
          </cell>
          <cell r="D398" t="str">
            <v xml:space="preserve">   MCF</v>
          </cell>
          <cell r="E398" t="str">
            <v xml:space="preserve">    </v>
          </cell>
          <cell r="F398" t="str">
            <v xml:space="preserve"> S</v>
          </cell>
          <cell r="G398">
            <v>36796.259722222225</v>
          </cell>
          <cell r="H398" t="str">
            <v>TVOL</v>
          </cell>
        </row>
        <row r="399">
          <cell r="A399">
            <v>16092</v>
          </cell>
          <cell r="B399" t="e">
            <v>#NAME?</v>
          </cell>
          <cell r="C399">
            <v>0</v>
          </cell>
          <cell r="D399" t="str">
            <v xml:space="preserve">   MCF</v>
          </cell>
          <cell r="E399" t="str">
            <v>UNAV</v>
          </cell>
          <cell r="F399" t="str">
            <v xml:space="preserve"> S</v>
          </cell>
          <cell r="G399">
            <v>36796.261805555558</v>
          </cell>
          <cell r="H399" t="str">
            <v>TVOL</v>
          </cell>
        </row>
        <row r="400">
          <cell r="A400">
            <v>16094</v>
          </cell>
          <cell r="B400" t="e">
            <v>#NAME?</v>
          </cell>
          <cell r="C400">
            <v>0</v>
          </cell>
          <cell r="D400" t="str">
            <v xml:space="preserve">   MCF</v>
          </cell>
          <cell r="E400" t="str">
            <v>UNAV</v>
          </cell>
          <cell r="F400" t="str">
            <v xml:space="preserve"> S</v>
          </cell>
          <cell r="G400">
            <v>36796.261805555558</v>
          </cell>
          <cell r="H400" t="str">
            <v>TVOL</v>
          </cell>
        </row>
        <row r="401">
          <cell r="A401">
            <v>16098</v>
          </cell>
          <cell r="B401" t="e">
            <v>#NAME?</v>
          </cell>
          <cell r="C401">
            <v>0</v>
          </cell>
          <cell r="D401" t="str">
            <v xml:space="preserve">   MCF</v>
          </cell>
          <cell r="E401" t="str">
            <v>UNAV</v>
          </cell>
          <cell r="F401" t="str">
            <v xml:space="preserve"> S</v>
          </cell>
          <cell r="G401">
            <v>36796.261805555558</v>
          </cell>
          <cell r="H401" t="str">
            <v>TVOL</v>
          </cell>
        </row>
        <row r="402">
          <cell r="A402">
            <v>16104</v>
          </cell>
          <cell r="B402" t="e">
            <v>#NAME?</v>
          </cell>
          <cell r="C402">
            <v>0</v>
          </cell>
          <cell r="D402" t="str">
            <v xml:space="preserve">   MCF</v>
          </cell>
          <cell r="E402" t="str">
            <v>UNAV</v>
          </cell>
          <cell r="F402" t="str">
            <v xml:space="preserve"> S</v>
          </cell>
          <cell r="G402">
            <v>36796.261805555558</v>
          </cell>
          <cell r="H402" t="str">
            <v>TVOL</v>
          </cell>
        </row>
        <row r="403">
          <cell r="A403">
            <v>16105</v>
          </cell>
          <cell r="B403" t="e">
            <v>#NAME?</v>
          </cell>
          <cell r="C403">
            <v>0</v>
          </cell>
          <cell r="D403" t="str">
            <v xml:space="preserve">   MCF</v>
          </cell>
          <cell r="E403" t="str">
            <v>UNAV</v>
          </cell>
          <cell r="F403" t="str">
            <v xml:space="preserve"> S</v>
          </cell>
          <cell r="G403">
            <v>36796.261805555558</v>
          </cell>
          <cell r="H403" t="str">
            <v>TVOL</v>
          </cell>
        </row>
        <row r="404">
          <cell r="A404">
            <v>16107</v>
          </cell>
          <cell r="B404" t="e">
            <v>#NAME?</v>
          </cell>
          <cell r="C404">
            <v>0</v>
          </cell>
          <cell r="D404" t="str">
            <v xml:space="preserve">   MCF</v>
          </cell>
          <cell r="E404" t="str">
            <v>UNAV</v>
          </cell>
          <cell r="F404" t="str">
            <v xml:space="preserve"> S</v>
          </cell>
          <cell r="G404">
            <v>36796.261805555558</v>
          </cell>
          <cell r="H404" t="str">
            <v>TVOL</v>
          </cell>
        </row>
        <row r="405">
          <cell r="A405">
            <v>16108</v>
          </cell>
          <cell r="B405" t="e">
            <v>#NAME?</v>
          </cell>
          <cell r="C405">
            <v>0</v>
          </cell>
          <cell r="D405" t="str">
            <v xml:space="preserve">   MCF</v>
          </cell>
          <cell r="E405" t="str">
            <v>UNAV</v>
          </cell>
          <cell r="F405" t="str">
            <v xml:space="preserve"> S</v>
          </cell>
          <cell r="G405">
            <v>36796.261805555558</v>
          </cell>
          <cell r="H405" t="str">
            <v>TVOL</v>
          </cell>
        </row>
        <row r="406">
          <cell r="A406">
            <v>16109</v>
          </cell>
          <cell r="B406" t="e">
            <v>#NAME?</v>
          </cell>
          <cell r="C406">
            <v>0</v>
          </cell>
          <cell r="D406" t="str">
            <v xml:space="preserve">   MCF</v>
          </cell>
          <cell r="E406" t="str">
            <v>UNAV</v>
          </cell>
          <cell r="F406" t="str">
            <v xml:space="preserve"> S</v>
          </cell>
          <cell r="G406">
            <v>36796.261805555558</v>
          </cell>
          <cell r="H406" t="str">
            <v>TVOL</v>
          </cell>
        </row>
        <row r="407">
          <cell r="A407">
            <v>16112</v>
          </cell>
          <cell r="B407" t="e">
            <v>#NAME?</v>
          </cell>
          <cell r="C407">
            <v>0</v>
          </cell>
          <cell r="D407" t="str">
            <v xml:space="preserve">   MCF</v>
          </cell>
          <cell r="E407" t="str">
            <v>UNAV</v>
          </cell>
          <cell r="F407" t="str">
            <v xml:space="preserve"> S</v>
          </cell>
          <cell r="G407">
            <v>36796.261805555558</v>
          </cell>
          <cell r="H407" t="str">
            <v>TVOL</v>
          </cell>
        </row>
        <row r="408">
          <cell r="A408">
            <v>16114</v>
          </cell>
          <cell r="B408" t="e">
            <v>#NAME?</v>
          </cell>
          <cell r="C408">
            <v>0</v>
          </cell>
          <cell r="D408" t="str">
            <v xml:space="preserve">   MCF</v>
          </cell>
          <cell r="E408" t="str">
            <v>UNAV</v>
          </cell>
          <cell r="F408" t="str">
            <v xml:space="preserve"> S</v>
          </cell>
          <cell r="G408">
            <v>36796.261805555558</v>
          </cell>
          <cell r="H408" t="str">
            <v>TVOL</v>
          </cell>
        </row>
        <row r="409">
          <cell r="A409">
            <v>16119</v>
          </cell>
          <cell r="B409" t="e">
            <v>#NAME?</v>
          </cell>
          <cell r="C409">
            <v>0</v>
          </cell>
          <cell r="D409" t="str">
            <v xml:space="preserve">   MCF</v>
          </cell>
          <cell r="E409" t="str">
            <v>UNAV</v>
          </cell>
          <cell r="F409" t="str">
            <v xml:space="preserve"> S</v>
          </cell>
          <cell r="G409">
            <v>36796.261805555558</v>
          </cell>
          <cell r="H409" t="str">
            <v>TVOL</v>
          </cell>
        </row>
        <row r="410">
          <cell r="A410">
            <v>16122</v>
          </cell>
          <cell r="B410" t="e">
            <v>#NAME?</v>
          </cell>
          <cell r="C410">
            <v>0</v>
          </cell>
          <cell r="D410" t="str">
            <v xml:space="preserve">   MCF</v>
          </cell>
          <cell r="E410" t="str">
            <v>UNAV</v>
          </cell>
          <cell r="F410" t="str">
            <v xml:space="preserve"> S</v>
          </cell>
          <cell r="G410">
            <v>36796.261805555558</v>
          </cell>
          <cell r="H410" t="str">
            <v>TVOL</v>
          </cell>
        </row>
        <row r="411">
          <cell r="A411">
            <v>16124</v>
          </cell>
          <cell r="B411" t="e">
            <v>#NAME?</v>
          </cell>
          <cell r="C411">
            <v>0</v>
          </cell>
          <cell r="D411" t="str">
            <v xml:space="preserve">   MCF</v>
          </cell>
          <cell r="E411" t="str">
            <v>UNAV</v>
          </cell>
          <cell r="F411" t="str">
            <v xml:space="preserve"> S</v>
          </cell>
          <cell r="G411">
            <v>36796.261805555558</v>
          </cell>
          <cell r="H411" t="str">
            <v>TVOL</v>
          </cell>
        </row>
        <row r="412">
          <cell r="A412">
            <v>16127</v>
          </cell>
          <cell r="B412" t="e">
            <v>#NAME?</v>
          </cell>
          <cell r="C412">
            <v>39412.265599999999</v>
          </cell>
          <cell r="D412" t="str">
            <v xml:space="preserve">   MCF</v>
          </cell>
          <cell r="E412" t="str">
            <v xml:space="preserve">    </v>
          </cell>
          <cell r="F412" t="str">
            <v xml:space="preserve"> S</v>
          </cell>
          <cell r="G412">
            <v>36796.256944444445</v>
          </cell>
          <cell r="H412" t="str">
            <v>TVOL</v>
          </cell>
        </row>
        <row r="413">
          <cell r="A413">
            <v>16128</v>
          </cell>
          <cell r="B413" t="e">
            <v>#NAME?</v>
          </cell>
          <cell r="C413">
            <v>0</v>
          </cell>
          <cell r="D413" t="str">
            <v xml:space="preserve">   MCF</v>
          </cell>
          <cell r="E413" t="str">
            <v>UNAV</v>
          </cell>
          <cell r="F413" t="str">
            <v xml:space="preserve"> S</v>
          </cell>
          <cell r="G413">
            <v>36796.261805555558</v>
          </cell>
          <cell r="H413" t="str">
            <v>TVOL</v>
          </cell>
        </row>
        <row r="414">
          <cell r="A414">
            <v>16130</v>
          </cell>
          <cell r="B414" t="e">
            <v>#NAME?</v>
          </cell>
          <cell r="C414">
            <v>65174.304700000001</v>
          </cell>
          <cell r="D414" t="str">
            <v xml:space="preserve">   MCF</v>
          </cell>
          <cell r="E414" t="str">
            <v xml:space="preserve">    </v>
          </cell>
          <cell r="F414" t="str">
            <v xml:space="preserve"> S</v>
          </cell>
          <cell r="G414">
            <v>36796.261805555558</v>
          </cell>
          <cell r="H414" t="str">
            <v>TVOL</v>
          </cell>
        </row>
        <row r="415">
          <cell r="A415">
            <v>16136</v>
          </cell>
          <cell r="B415" t="e">
            <v>#NAME?</v>
          </cell>
          <cell r="C415">
            <v>0</v>
          </cell>
          <cell r="D415" t="str">
            <v xml:space="preserve">   MCF</v>
          </cell>
          <cell r="E415" t="str">
            <v>UNAV</v>
          </cell>
          <cell r="F415" t="str">
            <v xml:space="preserve"> S</v>
          </cell>
          <cell r="G415">
            <v>36796.261805555558</v>
          </cell>
          <cell r="H415" t="str">
            <v>TVOL</v>
          </cell>
        </row>
        <row r="416">
          <cell r="A416">
            <v>16138</v>
          </cell>
          <cell r="B416" t="e">
            <v>#NAME?</v>
          </cell>
          <cell r="C416">
            <v>0</v>
          </cell>
          <cell r="D416" t="str">
            <v xml:space="preserve">   MCF</v>
          </cell>
          <cell r="E416" t="str">
            <v>UNAV</v>
          </cell>
          <cell r="F416" t="str">
            <v xml:space="preserve"> S</v>
          </cell>
          <cell r="G416">
            <v>36796.261805555558</v>
          </cell>
          <cell r="H416" t="str">
            <v>TVOL</v>
          </cell>
        </row>
        <row r="417">
          <cell r="A417">
            <v>16146</v>
          </cell>
          <cell r="B417" t="e">
            <v>#NAME?</v>
          </cell>
          <cell r="C417">
            <v>0</v>
          </cell>
          <cell r="D417" t="str">
            <v xml:space="preserve">   MCF</v>
          </cell>
          <cell r="E417" t="str">
            <v>UNAV</v>
          </cell>
          <cell r="F417" t="str">
            <v xml:space="preserve"> S</v>
          </cell>
          <cell r="G417">
            <v>36796.261805555558</v>
          </cell>
          <cell r="H417" t="str">
            <v>TVOL</v>
          </cell>
        </row>
        <row r="418">
          <cell r="A418">
            <v>16147</v>
          </cell>
          <cell r="B418" t="e">
            <v>#NAME?</v>
          </cell>
          <cell r="C418">
            <v>0</v>
          </cell>
          <cell r="D418" t="str">
            <v xml:space="preserve">   MCF</v>
          </cell>
          <cell r="E418" t="str">
            <v>UNAV</v>
          </cell>
          <cell r="F418" t="str">
            <v xml:space="preserve"> S</v>
          </cell>
          <cell r="G418">
            <v>36796.261805555558</v>
          </cell>
          <cell r="H418" t="str">
            <v>TVOL</v>
          </cell>
        </row>
        <row r="419">
          <cell r="A419">
            <v>16151</v>
          </cell>
          <cell r="B419" t="e">
            <v>#NAME?</v>
          </cell>
          <cell r="C419">
            <v>94377.6875</v>
          </cell>
          <cell r="D419" t="str">
            <v xml:space="preserve">   MCF</v>
          </cell>
          <cell r="E419" t="str">
            <v xml:space="preserve">    </v>
          </cell>
          <cell r="F419" t="str">
            <v xml:space="preserve"> S</v>
          </cell>
          <cell r="G419">
            <v>36796.255555555559</v>
          </cell>
          <cell r="H419" t="str">
            <v>TVOL</v>
          </cell>
        </row>
        <row r="420">
          <cell r="A420">
            <v>16152</v>
          </cell>
          <cell r="B420" t="e">
            <v>#NAME?</v>
          </cell>
          <cell r="C420">
            <v>0</v>
          </cell>
          <cell r="D420" t="str">
            <v xml:space="preserve">   MCF</v>
          </cell>
          <cell r="E420" t="str">
            <v xml:space="preserve">    </v>
          </cell>
          <cell r="F420" t="str">
            <v xml:space="preserve"> S</v>
          </cell>
          <cell r="G420">
            <v>36796.261805555558</v>
          </cell>
          <cell r="H420" t="str">
            <v>TVOL</v>
          </cell>
        </row>
        <row r="421">
          <cell r="A421">
            <v>16154</v>
          </cell>
          <cell r="B421" t="e">
            <v>#NAME?</v>
          </cell>
          <cell r="C421">
            <v>0</v>
          </cell>
          <cell r="D421" t="str">
            <v xml:space="preserve">   MCF</v>
          </cell>
          <cell r="E421" t="str">
            <v>UNAV</v>
          </cell>
          <cell r="F421" t="str">
            <v xml:space="preserve"> S</v>
          </cell>
          <cell r="G421">
            <v>36796.261805555558</v>
          </cell>
          <cell r="H421" t="str">
            <v>TVOL</v>
          </cell>
        </row>
        <row r="422">
          <cell r="A422">
            <v>16159</v>
          </cell>
          <cell r="B422" t="e">
            <v>#NAME?</v>
          </cell>
          <cell r="C422">
            <v>0</v>
          </cell>
          <cell r="D422" t="str">
            <v xml:space="preserve">   MCF</v>
          </cell>
          <cell r="E422" t="str">
            <v>UNAV</v>
          </cell>
          <cell r="F422" t="str">
            <v xml:space="preserve"> S</v>
          </cell>
          <cell r="G422">
            <v>36796.261805555558</v>
          </cell>
          <cell r="H422" t="str">
            <v>TVOL</v>
          </cell>
        </row>
        <row r="423">
          <cell r="A423">
            <v>16161</v>
          </cell>
          <cell r="B423" t="e">
            <v>#NAME?</v>
          </cell>
          <cell r="C423">
            <v>0</v>
          </cell>
          <cell r="D423" t="str">
            <v xml:space="preserve">   MCF</v>
          </cell>
          <cell r="E423" t="str">
            <v>UNAV</v>
          </cell>
          <cell r="F423" t="str">
            <v xml:space="preserve"> S</v>
          </cell>
          <cell r="G423">
            <v>36796.261805555558</v>
          </cell>
          <cell r="H423" t="str">
            <v>TVOL</v>
          </cell>
        </row>
        <row r="424">
          <cell r="A424">
            <v>16164</v>
          </cell>
          <cell r="B424" t="e">
            <v>#NAME?</v>
          </cell>
          <cell r="C424">
            <v>0</v>
          </cell>
          <cell r="D424" t="str">
            <v xml:space="preserve">   MCF</v>
          </cell>
          <cell r="E424" t="str">
            <v>UNAV</v>
          </cell>
          <cell r="F424" t="str">
            <v xml:space="preserve"> S</v>
          </cell>
          <cell r="G424">
            <v>36796.261805555558</v>
          </cell>
          <cell r="H424" t="str">
            <v>TVOL</v>
          </cell>
        </row>
        <row r="425">
          <cell r="A425">
            <v>16167</v>
          </cell>
          <cell r="B425" t="e">
            <v>#NAME?</v>
          </cell>
          <cell r="C425">
            <v>0</v>
          </cell>
          <cell r="D425" t="str">
            <v xml:space="preserve">   MCF</v>
          </cell>
          <cell r="E425" t="str">
            <v>UNAV</v>
          </cell>
          <cell r="F425" t="str">
            <v xml:space="preserve"> S</v>
          </cell>
          <cell r="G425">
            <v>36796.261805555558</v>
          </cell>
          <cell r="H425" t="str">
            <v>TVOL</v>
          </cell>
        </row>
        <row r="426">
          <cell r="A426">
            <v>16168</v>
          </cell>
          <cell r="B426" t="e">
            <v>#NAME?</v>
          </cell>
          <cell r="C426">
            <v>0</v>
          </cell>
          <cell r="D426" t="str">
            <v xml:space="preserve">   MCF</v>
          </cell>
          <cell r="E426" t="str">
            <v xml:space="preserve">    </v>
          </cell>
          <cell r="F426" t="str">
            <v xml:space="preserve"> S</v>
          </cell>
          <cell r="G426">
            <v>36796.259722222225</v>
          </cell>
          <cell r="H426" t="str">
            <v>TVOL</v>
          </cell>
        </row>
        <row r="427">
          <cell r="A427">
            <v>16169</v>
          </cell>
          <cell r="B427" t="e">
            <v>#NAME?</v>
          </cell>
          <cell r="C427">
            <v>0</v>
          </cell>
          <cell r="D427" t="str">
            <v xml:space="preserve">   MCF</v>
          </cell>
          <cell r="E427" t="str">
            <v>UNAV</v>
          </cell>
          <cell r="F427" t="str">
            <v xml:space="preserve"> S</v>
          </cell>
          <cell r="G427">
            <v>36796.261805555558</v>
          </cell>
          <cell r="H427" t="str">
            <v>TVOL</v>
          </cell>
        </row>
        <row r="428">
          <cell r="A428">
            <v>16170</v>
          </cell>
          <cell r="B428" t="e">
            <v>#NAME?</v>
          </cell>
          <cell r="C428">
            <v>0</v>
          </cell>
          <cell r="D428" t="str">
            <v xml:space="preserve">   MCF</v>
          </cell>
          <cell r="E428" t="str">
            <v>UNAV</v>
          </cell>
          <cell r="F428" t="str">
            <v xml:space="preserve"> S</v>
          </cell>
          <cell r="G428">
            <v>36796.261805555558</v>
          </cell>
          <cell r="H428" t="str">
            <v>TVOL</v>
          </cell>
        </row>
        <row r="429">
          <cell r="A429">
            <v>16171</v>
          </cell>
          <cell r="B429" t="e">
            <v>#NAME?</v>
          </cell>
          <cell r="C429">
            <v>0</v>
          </cell>
          <cell r="D429" t="str">
            <v xml:space="preserve">   MCF</v>
          </cell>
          <cell r="E429" t="str">
            <v>UNAV</v>
          </cell>
          <cell r="F429" t="str">
            <v xml:space="preserve"> S</v>
          </cell>
          <cell r="G429">
            <v>36796.261805555558</v>
          </cell>
          <cell r="H429" t="str">
            <v>TVOL</v>
          </cell>
        </row>
        <row r="430">
          <cell r="A430">
            <v>16174</v>
          </cell>
          <cell r="B430" t="e">
            <v>#NAME?</v>
          </cell>
          <cell r="C430">
            <v>0</v>
          </cell>
          <cell r="D430" t="str">
            <v xml:space="preserve">   MCF</v>
          </cell>
          <cell r="E430" t="str">
            <v>UNAV</v>
          </cell>
          <cell r="F430" t="str">
            <v xml:space="preserve"> S</v>
          </cell>
          <cell r="G430">
            <v>36796.261805555558</v>
          </cell>
          <cell r="H430" t="str">
            <v>TVOL</v>
          </cell>
        </row>
        <row r="431">
          <cell r="A431">
            <v>16178</v>
          </cell>
          <cell r="B431" t="e">
            <v>#NAME?</v>
          </cell>
          <cell r="C431">
            <v>0</v>
          </cell>
          <cell r="D431" t="str">
            <v xml:space="preserve">   MCF</v>
          </cell>
          <cell r="E431" t="str">
            <v>COMM</v>
          </cell>
          <cell r="F431" t="str">
            <v xml:space="preserve"> S</v>
          </cell>
          <cell r="G431">
            <v>36795.410416666666</v>
          </cell>
          <cell r="H431" t="str">
            <v>TVOL</v>
          </cell>
        </row>
        <row r="432">
          <cell r="A432">
            <v>16179</v>
          </cell>
          <cell r="B432" t="e">
            <v>#NAME?</v>
          </cell>
          <cell r="C432">
            <v>0</v>
          </cell>
          <cell r="D432" t="str">
            <v xml:space="preserve">   MCF</v>
          </cell>
          <cell r="E432" t="str">
            <v xml:space="preserve">    </v>
          </cell>
          <cell r="F432" t="str">
            <v xml:space="preserve"> S</v>
          </cell>
          <cell r="G432">
            <v>36796.254861111112</v>
          </cell>
          <cell r="H432" t="str">
            <v>TVOL</v>
          </cell>
        </row>
        <row r="433">
          <cell r="A433">
            <v>16181</v>
          </cell>
          <cell r="B433" t="e">
            <v>#NAME?</v>
          </cell>
          <cell r="C433">
            <v>0</v>
          </cell>
          <cell r="D433" t="str">
            <v xml:space="preserve">   MCF</v>
          </cell>
          <cell r="E433" t="str">
            <v>UNAV</v>
          </cell>
          <cell r="F433" t="str">
            <v xml:space="preserve"> S</v>
          </cell>
          <cell r="G433">
            <v>36796.261805555558</v>
          </cell>
          <cell r="H433" t="str">
            <v>TVOL</v>
          </cell>
        </row>
        <row r="434">
          <cell r="A434">
            <v>16182</v>
          </cell>
          <cell r="B434" t="e">
            <v>#NAME?</v>
          </cell>
          <cell r="C434">
            <v>0</v>
          </cell>
          <cell r="D434" t="str">
            <v xml:space="preserve">   MCF</v>
          </cell>
          <cell r="E434" t="str">
            <v>UNAV</v>
          </cell>
          <cell r="F434" t="str">
            <v xml:space="preserve"> S</v>
          </cell>
          <cell r="G434">
            <v>36796.261805555558</v>
          </cell>
          <cell r="H434" t="str">
            <v>TVOL</v>
          </cell>
        </row>
        <row r="435">
          <cell r="A435">
            <v>16188</v>
          </cell>
          <cell r="B435" t="e">
            <v>#NAME?</v>
          </cell>
          <cell r="C435">
            <v>0</v>
          </cell>
          <cell r="D435" t="str">
            <v xml:space="preserve">   MCF</v>
          </cell>
          <cell r="E435" t="str">
            <v>UNAV</v>
          </cell>
          <cell r="F435" t="str">
            <v xml:space="preserve"> S</v>
          </cell>
          <cell r="G435">
            <v>36796.261805555558</v>
          </cell>
          <cell r="H435" t="str">
            <v>TVOL</v>
          </cell>
        </row>
        <row r="436">
          <cell r="A436">
            <v>16189</v>
          </cell>
          <cell r="B436" t="e">
            <v>#NAME?</v>
          </cell>
          <cell r="C436">
            <v>0</v>
          </cell>
          <cell r="D436" t="str">
            <v xml:space="preserve">   MCF</v>
          </cell>
          <cell r="E436" t="str">
            <v>UNAV</v>
          </cell>
          <cell r="F436" t="str">
            <v xml:space="preserve"> S</v>
          </cell>
          <cell r="G436">
            <v>36796.261805555558</v>
          </cell>
          <cell r="H436" t="str">
            <v>TVOL</v>
          </cell>
        </row>
        <row r="437">
          <cell r="A437">
            <v>16198</v>
          </cell>
          <cell r="B437" t="e">
            <v>#NAME?</v>
          </cell>
          <cell r="C437">
            <v>0</v>
          </cell>
          <cell r="D437" t="str">
            <v xml:space="preserve">   MCF</v>
          </cell>
          <cell r="E437" t="str">
            <v>UNAV</v>
          </cell>
          <cell r="F437" t="str">
            <v xml:space="preserve"> S</v>
          </cell>
          <cell r="G437">
            <v>36796.261805555558</v>
          </cell>
          <cell r="H437" t="str">
            <v>TVOL</v>
          </cell>
        </row>
        <row r="438">
          <cell r="A438">
            <v>16199</v>
          </cell>
          <cell r="B438" t="e">
            <v>#NAME?</v>
          </cell>
          <cell r="C438">
            <v>0</v>
          </cell>
          <cell r="D438" t="str">
            <v xml:space="preserve">   MCF</v>
          </cell>
          <cell r="E438" t="str">
            <v>UNAV</v>
          </cell>
          <cell r="F438" t="str">
            <v xml:space="preserve"> S</v>
          </cell>
          <cell r="G438">
            <v>36796.261805555558</v>
          </cell>
          <cell r="H438" t="str">
            <v>TVOL</v>
          </cell>
        </row>
        <row r="439">
          <cell r="A439">
            <v>16201</v>
          </cell>
          <cell r="B439" t="e">
            <v>#NAME?</v>
          </cell>
          <cell r="C439">
            <v>0</v>
          </cell>
          <cell r="D439" t="str">
            <v xml:space="preserve">   MCF</v>
          </cell>
          <cell r="E439" t="str">
            <v>UNAV</v>
          </cell>
          <cell r="F439" t="str">
            <v xml:space="preserve"> S</v>
          </cell>
          <cell r="G439">
            <v>36796.261805555558</v>
          </cell>
          <cell r="H439" t="str">
            <v>TVOL</v>
          </cell>
        </row>
        <row r="440">
          <cell r="A440">
            <v>16204</v>
          </cell>
          <cell r="B440" t="e">
            <v>#NAME?</v>
          </cell>
          <cell r="C440">
            <v>0</v>
          </cell>
          <cell r="D440" t="str">
            <v xml:space="preserve">   MCF</v>
          </cell>
          <cell r="E440" t="str">
            <v>UNAV</v>
          </cell>
          <cell r="F440" t="str">
            <v xml:space="preserve"> S</v>
          </cell>
          <cell r="G440">
            <v>36796.261805555558</v>
          </cell>
          <cell r="H440" t="str">
            <v>TVOL</v>
          </cell>
        </row>
        <row r="441">
          <cell r="A441">
            <v>16208</v>
          </cell>
          <cell r="B441" t="e">
            <v>#NAME?</v>
          </cell>
          <cell r="C441">
            <v>0</v>
          </cell>
          <cell r="D441" t="str">
            <v xml:space="preserve">   MCF</v>
          </cell>
          <cell r="E441" t="str">
            <v>UNAV</v>
          </cell>
          <cell r="F441" t="str">
            <v xml:space="preserve"> S</v>
          </cell>
          <cell r="G441">
            <v>36796.261805555558</v>
          </cell>
          <cell r="H441" t="str">
            <v>TVOL</v>
          </cell>
        </row>
        <row r="442">
          <cell r="A442">
            <v>16209</v>
          </cell>
          <cell r="B442" t="e">
            <v>#NAME?</v>
          </cell>
          <cell r="C442">
            <v>0</v>
          </cell>
          <cell r="D442" t="str">
            <v xml:space="preserve">   MCF</v>
          </cell>
          <cell r="E442" t="str">
            <v>UNAV</v>
          </cell>
          <cell r="F442" t="str">
            <v xml:space="preserve"> S</v>
          </cell>
          <cell r="G442">
            <v>36796.261805555558</v>
          </cell>
          <cell r="H442" t="str">
            <v>TVOL</v>
          </cell>
        </row>
        <row r="443">
          <cell r="A443">
            <v>16210</v>
          </cell>
          <cell r="B443" t="e">
            <v>#NAME?</v>
          </cell>
          <cell r="C443">
            <v>0</v>
          </cell>
          <cell r="D443" t="str">
            <v xml:space="preserve">   MCF</v>
          </cell>
          <cell r="E443" t="str">
            <v xml:space="preserve">    </v>
          </cell>
          <cell r="F443" t="str">
            <v xml:space="preserve"> S</v>
          </cell>
          <cell r="G443">
            <v>36796.256249999999</v>
          </cell>
          <cell r="H443" t="str">
            <v>TVOL</v>
          </cell>
        </row>
        <row r="444">
          <cell r="A444">
            <v>16215</v>
          </cell>
          <cell r="B444" t="e">
            <v>#NAME?</v>
          </cell>
          <cell r="C444">
            <v>0</v>
          </cell>
          <cell r="D444" t="str">
            <v xml:space="preserve">   MCF</v>
          </cell>
          <cell r="E444" t="str">
            <v>UNAV</v>
          </cell>
          <cell r="F444" t="str">
            <v xml:space="preserve"> S</v>
          </cell>
          <cell r="G444">
            <v>36796.261805555558</v>
          </cell>
          <cell r="H444" t="str">
            <v>TVOL</v>
          </cell>
        </row>
        <row r="445">
          <cell r="A445">
            <v>16218</v>
          </cell>
          <cell r="B445" t="e">
            <v>#NAME?</v>
          </cell>
          <cell r="C445">
            <v>1151.25964</v>
          </cell>
          <cell r="D445" t="str">
            <v xml:space="preserve">   MCF</v>
          </cell>
          <cell r="E445" t="str">
            <v xml:space="preserve">    </v>
          </cell>
          <cell r="F445" t="str">
            <v xml:space="preserve"> S</v>
          </cell>
          <cell r="G445">
            <v>36796.259027777778</v>
          </cell>
          <cell r="H445" t="str">
            <v>TVOL</v>
          </cell>
        </row>
        <row r="446">
          <cell r="A446">
            <v>16219</v>
          </cell>
          <cell r="B446" t="e">
            <v>#NAME?</v>
          </cell>
          <cell r="C446">
            <v>0</v>
          </cell>
          <cell r="D446" t="str">
            <v xml:space="preserve">   MCF</v>
          </cell>
          <cell r="E446" t="str">
            <v>UNAV</v>
          </cell>
          <cell r="F446" t="str">
            <v xml:space="preserve"> S</v>
          </cell>
          <cell r="G446">
            <v>36796.261805555558</v>
          </cell>
          <cell r="H446" t="str">
            <v>TVOL</v>
          </cell>
        </row>
        <row r="447">
          <cell r="A447">
            <v>16222</v>
          </cell>
          <cell r="B447" t="e">
            <v>#NAME?</v>
          </cell>
          <cell r="C447">
            <v>18265.300800000001</v>
          </cell>
          <cell r="D447" t="str">
            <v xml:space="preserve">   MCF</v>
          </cell>
          <cell r="E447" t="str">
            <v xml:space="preserve">    </v>
          </cell>
          <cell r="F447" t="str">
            <v xml:space="preserve"> S</v>
          </cell>
          <cell r="G447">
            <v>36796.256249999999</v>
          </cell>
          <cell r="H447" t="str">
            <v>TVOL</v>
          </cell>
        </row>
        <row r="448">
          <cell r="A448">
            <v>16223</v>
          </cell>
          <cell r="B448" t="e">
            <v>#NAME?</v>
          </cell>
          <cell r="C448">
            <v>0</v>
          </cell>
          <cell r="D448" t="str">
            <v xml:space="preserve">   MCF</v>
          </cell>
          <cell r="E448" t="str">
            <v>UNAV</v>
          </cell>
          <cell r="F448" t="str">
            <v xml:space="preserve"> S</v>
          </cell>
          <cell r="G448">
            <v>36796.261805555558</v>
          </cell>
          <cell r="H448" t="str">
            <v>TVOL</v>
          </cell>
        </row>
        <row r="449">
          <cell r="A449">
            <v>16226</v>
          </cell>
          <cell r="B449" t="e">
            <v>#NAME?</v>
          </cell>
          <cell r="C449">
            <v>0</v>
          </cell>
          <cell r="D449" t="str">
            <v xml:space="preserve">   MCF</v>
          </cell>
          <cell r="E449" t="str">
            <v xml:space="preserve">    </v>
          </cell>
          <cell r="F449" t="str">
            <v xml:space="preserve"> S</v>
          </cell>
          <cell r="G449">
            <v>36796.255555555559</v>
          </cell>
          <cell r="H449" t="str">
            <v>TVOL</v>
          </cell>
        </row>
        <row r="450">
          <cell r="A450">
            <v>16227</v>
          </cell>
          <cell r="B450" t="e">
            <v>#NAME?</v>
          </cell>
          <cell r="C450">
            <v>0</v>
          </cell>
          <cell r="D450" t="str">
            <v xml:space="preserve">   MCF</v>
          </cell>
          <cell r="E450" t="str">
            <v>UNAV</v>
          </cell>
          <cell r="F450" t="str">
            <v xml:space="preserve"> S</v>
          </cell>
          <cell r="G450">
            <v>36796.261805555558</v>
          </cell>
          <cell r="H450" t="str">
            <v>TVOL</v>
          </cell>
        </row>
        <row r="451">
          <cell r="A451">
            <v>16229</v>
          </cell>
          <cell r="B451" t="e">
            <v>#NAME?</v>
          </cell>
          <cell r="C451">
            <v>0</v>
          </cell>
          <cell r="D451" t="str">
            <v xml:space="preserve">   MCF</v>
          </cell>
          <cell r="E451" t="str">
            <v>UNAV</v>
          </cell>
          <cell r="F451" t="str">
            <v xml:space="preserve"> S</v>
          </cell>
          <cell r="G451">
            <v>36796.261805555558</v>
          </cell>
          <cell r="H451" t="str">
            <v>TVOL</v>
          </cell>
        </row>
        <row r="452">
          <cell r="A452">
            <v>16234</v>
          </cell>
          <cell r="B452" t="e">
            <v>#NAME?</v>
          </cell>
          <cell r="C452">
            <v>0</v>
          </cell>
          <cell r="D452" t="str">
            <v xml:space="preserve">   MCF</v>
          </cell>
          <cell r="E452" t="str">
            <v>UNAV</v>
          </cell>
          <cell r="F452" t="str">
            <v xml:space="preserve"> S</v>
          </cell>
          <cell r="G452">
            <v>36796.261805555558</v>
          </cell>
          <cell r="H452" t="str">
            <v>TVOL</v>
          </cell>
        </row>
        <row r="453">
          <cell r="A453">
            <v>16236</v>
          </cell>
          <cell r="B453" t="e">
            <v>#NAME?</v>
          </cell>
          <cell r="C453">
            <v>0</v>
          </cell>
          <cell r="D453" t="str">
            <v xml:space="preserve">   MCF</v>
          </cell>
          <cell r="E453" t="str">
            <v>UNAV</v>
          </cell>
          <cell r="F453" t="str">
            <v xml:space="preserve"> S</v>
          </cell>
          <cell r="G453">
            <v>36796.261805555558</v>
          </cell>
          <cell r="H453" t="str">
            <v>TVOL</v>
          </cell>
        </row>
        <row r="454">
          <cell r="A454">
            <v>16237</v>
          </cell>
          <cell r="B454" t="e">
            <v>#NAME?</v>
          </cell>
          <cell r="C454">
            <v>0</v>
          </cell>
          <cell r="D454" t="str">
            <v xml:space="preserve">   MCF</v>
          </cell>
          <cell r="E454" t="str">
            <v>UNAV</v>
          </cell>
          <cell r="F454" t="str">
            <v xml:space="preserve"> S</v>
          </cell>
          <cell r="G454">
            <v>36796.261805555558</v>
          </cell>
          <cell r="H454" t="str">
            <v>TVOL</v>
          </cell>
        </row>
        <row r="455">
          <cell r="A455">
            <v>16240</v>
          </cell>
          <cell r="B455" t="e">
            <v>#NAME?</v>
          </cell>
          <cell r="C455">
            <v>0</v>
          </cell>
          <cell r="D455" t="str">
            <v xml:space="preserve">   MCF</v>
          </cell>
          <cell r="E455" t="str">
            <v>UNAV</v>
          </cell>
          <cell r="F455" t="str">
            <v xml:space="preserve"> S</v>
          </cell>
          <cell r="G455">
            <v>36796.261805555558</v>
          </cell>
          <cell r="H455" t="str">
            <v>TVOL</v>
          </cell>
        </row>
        <row r="456">
          <cell r="A456">
            <v>16241</v>
          </cell>
          <cell r="B456" t="e">
            <v>#NAME?</v>
          </cell>
          <cell r="C456">
            <v>0</v>
          </cell>
          <cell r="D456" t="str">
            <v xml:space="preserve">   MCF</v>
          </cell>
          <cell r="E456" t="str">
            <v>UNAV</v>
          </cell>
          <cell r="F456" t="str">
            <v xml:space="preserve"> S</v>
          </cell>
          <cell r="G456">
            <v>36796.261805555558</v>
          </cell>
          <cell r="H456" t="str">
            <v>TVOL</v>
          </cell>
        </row>
        <row r="457">
          <cell r="A457">
            <v>16242</v>
          </cell>
          <cell r="B457" t="e">
            <v>#NAME?</v>
          </cell>
          <cell r="C457">
            <v>0</v>
          </cell>
          <cell r="D457" t="str">
            <v xml:space="preserve">   MCF</v>
          </cell>
          <cell r="E457" t="str">
            <v>UNAV</v>
          </cell>
          <cell r="F457" t="str">
            <v xml:space="preserve"> S</v>
          </cell>
          <cell r="G457">
            <v>36796.261805555558</v>
          </cell>
          <cell r="H457" t="str">
            <v>TVOL</v>
          </cell>
        </row>
        <row r="458">
          <cell r="A458">
            <v>16243</v>
          </cell>
          <cell r="B458" t="e">
            <v>#NAME?</v>
          </cell>
          <cell r="C458">
            <v>0</v>
          </cell>
          <cell r="D458" t="str">
            <v xml:space="preserve">   MCF</v>
          </cell>
          <cell r="E458" t="str">
            <v>UNAV</v>
          </cell>
          <cell r="F458" t="str">
            <v xml:space="preserve"> S</v>
          </cell>
          <cell r="G458">
            <v>36796.261805555558</v>
          </cell>
          <cell r="H458" t="str">
            <v>TVOL</v>
          </cell>
        </row>
        <row r="459">
          <cell r="A459">
            <v>16244</v>
          </cell>
          <cell r="B459" t="e">
            <v>#NAME?</v>
          </cell>
          <cell r="C459">
            <v>77297.015599999999</v>
          </cell>
          <cell r="D459" t="str">
            <v xml:space="preserve">   MCF</v>
          </cell>
          <cell r="E459" t="str">
            <v xml:space="preserve">    </v>
          </cell>
          <cell r="F459" t="str">
            <v xml:space="preserve"> S</v>
          </cell>
          <cell r="G459">
            <v>36796.259027777778</v>
          </cell>
          <cell r="H459" t="str">
            <v>TVOL</v>
          </cell>
        </row>
        <row r="460">
          <cell r="A460">
            <v>16247</v>
          </cell>
          <cell r="B460" t="e">
            <v>#NAME?</v>
          </cell>
          <cell r="C460">
            <v>0</v>
          </cell>
          <cell r="D460" t="str">
            <v xml:space="preserve">   MCF</v>
          </cell>
          <cell r="E460" t="str">
            <v xml:space="preserve">    </v>
          </cell>
          <cell r="F460" t="str">
            <v xml:space="preserve"> S</v>
          </cell>
          <cell r="G460">
            <v>36796.254861111112</v>
          </cell>
          <cell r="H460" t="str">
            <v>TVOL</v>
          </cell>
        </row>
        <row r="461">
          <cell r="A461">
            <v>16248</v>
          </cell>
          <cell r="B461" t="e">
            <v>#NAME?</v>
          </cell>
          <cell r="C461">
            <v>0</v>
          </cell>
          <cell r="D461" t="str">
            <v xml:space="preserve">   MCF</v>
          </cell>
          <cell r="E461" t="str">
            <v>UNAV</v>
          </cell>
          <cell r="F461" t="str">
            <v xml:space="preserve"> S</v>
          </cell>
          <cell r="G461">
            <v>36796.261805555558</v>
          </cell>
          <cell r="H461" t="str">
            <v>TVOL</v>
          </cell>
        </row>
        <row r="462">
          <cell r="A462">
            <v>16252</v>
          </cell>
          <cell r="B462" t="e">
            <v>#NAME?</v>
          </cell>
          <cell r="C462">
            <v>0</v>
          </cell>
          <cell r="D462" t="str">
            <v xml:space="preserve">   MCF</v>
          </cell>
          <cell r="E462" t="str">
            <v>UNAV</v>
          </cell>
          <cell r="F462" t="str">
            <v xml:space="preserve"> S</v>
          </cell>
          <cell r="G462">
            <v>36796.261805555558</v>
          </cell>
          <cell r="H462" t="str">
            <v>TVOL</v>
          </cell>
        </row>
        <row r="463">
          <cell r="A463">
            <v>16253</v>
          </cell>
          <cell r="B463" t="e">
            <v>#NAME?</v>
          </cell>
          <cell r="C463">
            <v>0</v>
          </cell>
          <cell r="D463" t="str">
            <v xml:space="preserve">   MCF</v>
          </cell>
          <cell r="E463" t="str">
            <v>UNAV</v>
          </cell>
          <cell r="F463" t="str">
            <v xml:space="preserve"> S</v>
          </cell>
          <cell r="G463">
            <v>36796.261805555558</v>
          </cell>
          <cell r="H463" t="str">
            <v>TVOL</v>
          </cell>
        </row>
        <row r="464">
          <cell r="A464">
            <v>16254</v>
          </cell>
          <cell r="B464" t="e">
            <v>#NAME?</v>
          </cell>
          <cell r="C464">
            <v>0</v>
          </cell>
          <cell r="D464" t="str">
            <v xml:space="preserve">   MCF</v>
          </cell>
          <cell r="E464" t="str">
            <v>UNAV</v>
          </cell>
          <cell r="F464" t="str">
            <v xml:space="preserve"> S</v>
          </cell>
          <cell r="G464">
            <v>36796.261805555558</v>
          </cell>
          <cell r="H464" t="str">
            <v>TVOL</v>
          </cell>
        </row>
        <row r="465">
          <cell r="A465">
            <v>16255</v>
          </cell>
          <cell r="B465" t="e">
            <v>#NAME?</v>
          </cell>
          <cell r="C465">
            <v>0</v>
          </cell>
          <cell r="D465" t="str">
            <v xml:space="preserve">   MCF</v>
          </cell>
          <cell r="E465" t="str">
            <v>UNAV</v>
          </cell>
          <cell r="F465" t="str">
            <v xml:space="preserve"> S</v>
          </cell>
          <cell r="G465">
            <v>36796.261805555558</v>
          </cell>
          <cell r="H465" t="str">
            <v>TVOL</v>
          </cell>
        </row>
        <row r="466">
          <cell r="A466">
            <v>16257</v>
          </cell>
          <cell r="B466" t="e">
            <v>#NAME?</v>
          </cell>
          <cell r="C466">
            <v>0</v>
          </cell>
          <cell r="D466" t="str">
            <v xml:space="preserve">   MCF</v>
          </cell>
          <cell r="E466" t="str">
            <v>UNAV</v>
          </cell>
          <cell r="F466" t="str">
            <v xml:space="preserve"> S</v>
          </cell>
          <cell r="G466">
            <v>36796.261805555558</v>
          </cell>
          <cell r="H466" t="str">
            <v>TVOL</v>
          </cell>
        </row>
        <row r="467">
          <cell r="A467">
            <v>16258</v>
          </cell>
          <cell r="B467" t="e">
            <v>#NAME?</v>
          </cell>
          <cell r="C467">
            <v>0</v>
          </cell>
          <cell r="D467" t="str">
            <v xml:space="preserve">   MCF</v>
          </cell>
          <cell r="E467" t="str">
            <v>UNAV</v>
          </cell>
          <cell r="F467" t="str">
            <v xml:space="preserve"> S</v>
          </cell>
          <cell r="G467">
            <v>36796.261805555558</v>
          </cell>
          <cell r="H467" t="str">
            <v>TVOL</v>
          </cell>
        </row>
        <row r="468">
          <cell r="A468">
            <v>16259</v>
          </cell>
          <cell r="B468" t="e">
            <v>#NAME?</v>
          </cell>
          <cell r="C468">
            <v>0</v>
          </cell>
          <cell r="D468" t="str">
            <v xml:space="preserve">   MCF</v>
          </cell>
          <cell r="E468" t="str">
            <v>UNAV</v>
          </cell>
          <cell r="F468" t="str">
            <v xml:space="preserve"> S</v>
          </cell>
          <cell r="G468">
            <v>36796.261805555558</v>
          </cell>
          <cell r="H468" t="str">
            <v>TVOL</v>
          </cell>
        </row>
        <row r="469">
          <cell r="A469">
            <v>16262</v>
          </cell>
          <cell r="B469" t="e">
            <v>#NAME?</v>
          </cell>
          <cell r="C469">
            <v>0</v>
          </cell>
          <cell r="D469" t="str">
            <v xml:space="preserve">   MCF</v>
          </cell>
          <cell r="E469" t="str">
            <v>UNAV</v>
          </cell>
          <cell r="F469" t="str">
            <v xml:space="preserve"> S</v>
          </cell>
          <cell r="G469">
            <v>36796.261805555558</v>
          </cell>
          <cell r="H469" t="str">
            <v>TVOL</v>
          </cell>
        </row>
        <row r="470">
          <cell r="A470">
            <v>16263</v>
          </cell>
          <cell r="B470" t="e">
            <v>#NAME?</v>
          </cell>
          <cell r="C470">
            <v>0</v>
          </cell>
          <cell r="D470" t="str">
            <v xml:space="preserve">   MCF</v>
          </cell>
          <cell r="E470" t="str">
            <v>UNAV</v>
          </cell>
          <cell r="F470" t="str">
            <v xml:space="preserve"> S</v>
          </cell>
          <cell r="G470">
            <v>36796.261805555558</v>
          </cell>
          <cell r="H470" t="str">
            <v>TVOL</v>
          </cell>
        </row>
        <row r="471">
          <cell r="A471">
            <v>16264</v>
          </cell>
          <cell r="B471" t="e">
            <v>#NAME?</v>
          </cell>
          <cell r="C471">
            <v>0</v>
          </cell>
          <cell r="D471" t="str">
            <v xml:space="preserve">   MCF</v>
          </cell>
          <cell r="E471" t="str">
            <v>UNAV</v>
          </cell>
          <cell r="F471" t="str">
            <v xml:space="preserve"> S</v>
          </cell>
          <cell r="G471">
            <v>36796.261805555558</v>
          </cell>
          <cell r="H471" t="str">
            <v>TVOL</v>
          </cell>
        </row>
        <row r="472">
          <cell r="A472">
            <v>16266</v>
          </cell>
          <cell r="B472" t="e">
            <v>#NAME?</v>
          </cell>
          <cell r="C472">
            <v>0</v>
          </cell>
          <cell r="D472" t="str">
            <v xml:space="preserve">   MCF</v>
          </cell>
          <cell r="E472" t="str">
            <v>UNAV</v>
          </cell>
          <cell r="F472" t="str">
            <v xml:space="preserve"> S</v>
          </cell>
          <cell r="G472">
            <v>36796.261805555558</v>
          </cell>
          <cell r="H472" t="str">
            <v>TVOL</v>
          </cell>
        </row>
        <row r="473">
          <cell r="A473">
            <v>16267</v>
          </cell>
          <cell r="B473" t="e">
            <v>#NAME?</v>
          </cell>
          <cell r="C473">
            <v>0</v>
          </cell>
          <cell r="D473" t="str">
            <v xml:space="preserve">   MCF</v>
          </cell>
          <cell r="E473" t="str">
            <v>UNAV</v>
          </cell>
          <cell r="F473" t="str">
            <v xml:space="preserve"> S</v>
          </cell>
          <cell r="G473">
            <v>36796.261805555558</v>
          </cell>
          <cell r="H473" t="str">
            <v>TVOL</v>
          </cell>
        </row>
        <row r="474">
          <cell r="A474">
            <v>16271</v>
          </cell>
          <cell r="B474" t="e">
            <v>#NAME?</v>
          </cell>
          <cell r="C474">
            <v>0</v>
          </cell>
          <cell r="D474" t="str">
            <v xml:space="preserve">   MCF</v>
          </cell>
          <cell r="E474" t="str">
            <v>UNAV</v>
          </cell>
          <cell r="F474" t="str">
            <v xml:space="preserve"> S</v>
          </cell>
          <cell r="G474">
            <v>36796.261805555558</v>
          </cell>
          <cell r="H474" t="str">
            <v>TVOL</v>
          </cell>
        </row>
        <row r="475">
          <cell r="A475">
            <v>16272</v>
          </cell>
          <cell r="B475" t="e">
            <v>#NAME?</v>
          </cell>
          <cell r="C475">
            <v>0</v>
          </cell>
          <cell r="D475" t="str">
            <v xml:space="preserve">   MCF</v>
          </cell>
          <cell r="E475" t="str">
            <v>UNAV</v>
          </cell>
          <cell r="F475" t="str">
            <v xml:space="preserve"> S</v>
          </cell>
          <cell r="G475">
            <v>36796.261805555558</v>
          </cell>
          <cell r="H475" t="str">
            <v>TVOL</v>
          </cell>
        </row>
        <row r="476">
          <cell r="A476">
            <v>16273</v>
          </cell>
          <cell r="B476" t="e">
            <v>#NAME?</v>
          </cell>
          <cell r="C476">
            <v>0</v>
          </cell>
          <cell r="D476" t="str">
            <v xml:space="preserve">   MCF</v>
          </cell>
          <cell r="E476" t="str">
            <v xml:space="preserve">    </v>
          </cell>
          <cell r="F476" t="str">
            <v xml:space="preserve"> S</v>
          </cell>
          <cell r="G476">
            <v>36796.255555555559</v>
          </cell>
          <cell r="H476" t="str">
            <v>TVOL</v>
          </cell>
        </row>
        <row r="477">
          <cell r="A477">
            <v>16275</v>
          </cell>
          <cell r="B477" t="e">
            <v>#NAME?</v>
          </cell>
          <cell r="C477">
            <v>0</v>
          </cell>
          <cell r="D477" t="str">
            <v xml:space="preserve">   MCF</v>
          </cell>
          <cell r="E477" t="str">
            <v>UNAV</v>
          </cell>
          <cell r="F477" t="str">
            <v xml:space="preserve"> S</v>
          </cell>
          <cell r="G477">
            <v>36796.261805555558</v>
          </cell>
          <cell r="H477" t="str">
            <v>TVOL</v>
          </cell>
        </row>
        <row r="478">
          <cell r="A478">
            <v>16276</v>
          </cell>
          <cell r="B478" t="e">
            <v>#NAME?</v>
          </cell>
          <cell r="C478">
            <v>0</v>
          </cell>
          <cell r="D478" t="str">
            <v xml:space="preserve">   MCF</v>
          </cell>
          <cell r="E478" t="str">
            <v>UNAV</v>
          </cell>
          <cell r="F478" t="str">
            <v xml:space="preserve"> S</v>
          </cell>
          <cell r="G478">
            <v>36796.261805555558</v>
          </cell>
          <cell r="H478" t="str">
            <v>TVOL</v>
          </cell>
        </row>
        <row r="479">
          <cell r="A479">
            <v>16277</v>
          </cell>
          <cell r="B479" t="e">
            <v>#NAME?</v>
          </cell>
          <cell r="C479">
            <v>0</v>
          </cell>
          <cell r="D479" t="str">
            <v xml:space="preserve">   MCF</v>
          </cell>
          <cell r="E479" t="str">
            <v>UNAV</v>
          </cell>
          <cell r="F479" t="str">
            <v xml:space="preserve"> S</v>
          </cell>
          <cell r="G479">
            <v>36796.261805555558</v>
          </cell>
          <cell r="H479" t="str">
            <v>TVOL</v>
          </cell>
        </row>
        <row r="480">
          <cell r="A480">
            <v>16279</v>
          </cell>
          <cell r="B480" t="e">
            <v>#NAME?</v>
          </cell>
          <cell r="C480">
            <v>0</v>
          </cell>
          <cell r="D480" t="str">
            <v xml:space="preserve">   MCF</v>
          </cell>
          <cell r="E480" t="str">
            <v>UNAV</v>
          </cell>
          <cell r="F480" t="str">
            <v xml:space="preserve"> S</v>
          </cell>
          <cell r="G480">
            <v>36796.261805555558</v>
          </cell>
          <cell r="H480" t="str">
            <v>TVOL</v>
          </cell>
        </row>
        <row r="481">
          <cell r="A481">
            <v>16281</v>
          </cell>
          <cell r="B481" t="e">
            <v>#NAME?</v>
          </cell>
          <cell r="C481">
            <v>0</v>
          </cell>
          <cell r="D481" t="str">
            <v xml:space="preserve">   MCF</v>
          </cell>
          <cell r="E481" t="str">
            <v>COMM</v>
          </cell>
          <cell r="F481" t="str">
            <v xml:space="preserve"> S</v>
          </cell>
          <cell r="G481">
            <v>36795.487500000003</v>
          </cell>
          <cell r="H481" t="str">
            <v>TVOL</v>
          </cell>
        </row>
        <row r="482">
          <cell r="A482">
            <v>16282</v>
          </cell>
          <cell r="B482" t="e">
            <v>#NAME?</v>
          </cell>
          <cell r="C482">
            <v>0</v>
          </cell>
          <cell r="D482" t="str">
            <v xml:space="preserve">   MCF</v>
          </cell>
          <cell r="E482" t="str">
            <v>UNAV</v>
          </cell>
          <cell r="F482" t="str">
            <v xml:space="preserve"> S</v>
          </cell>
          <cell r="G482">
            <v>36796.261805555558</v>
          </cell>
          <cell r="H482" t="str">
            <v>TVOL</v>
          </cell>
        </row>
        <row r="483">
          <cell r="A483">
            <v>16286</v>
          </cell>
          <cell r="B483" t="e">
            <v>#NAME?</v>
          </cell>
          <cell r="C483">
            <v>0</v>
          </cell>
          <cell r="D483" t="str">
            <v xml:space="preserve">   MCF</v>
          </cell>
          <cell r="E483" t="str">
            <v>UNAV</v>
          </cell>
          <cell r="F483" t="str">
            <v xml:space="preserve"> S</v>
          </cell>
          <cell r="G483">
            <v>36796.261805555558</v>
          </cell>
          <cell r="H483" t="str">
            <v>TVOL</v>
          </cell>
        </row>
        <row r="484">
          <cell r="A484">
            <v>16288</v>
          </cell>
          <cell r="B484" t="e">
            <v>#NAME?</v>
          </cell>
          <cell r="C484">
            <v>0</v>
          </cell>
          <cell r="D484" t="str">
            <v xml:space="preserve">   MCF</v>
          </cell>
          <cell r="E484" t="str">
            <v>UNAV</v>
          </cell>
          <cell r="F484" t="str">
            <v xml:space="preserve"> S</v>
          </cell>
          <cell r="G484">
            <v>36796.261805555558</v>
          </cell>
          <cell r="H484" t="str">
            <v>TVOL</v>
          </cell>
        </row>
        <row r="485">
          <cell r="A485">
            <v>16289</v>
          </cell>
          <cell r="B485" t="e">
            <v>#NAME?</v>
          </cell>
          <cell r="C485">
            <v>0</v>
          </cell>
          <cell r="D485" t="str">
            <v xml:space="preserve">   MCF</v>
          </cell>
          <cell r="E485" t="str">
            <v>UNAV</v>
          </cell>
          <cell r="F485" t="str">
            <v xml:space="preserve"> S</v>
          </cell>
          <cell r="G485">
            <v>36796.261805555558</v>
          </cell>
          <cell r="H485" t="str">
            <v>TVOL</v>
          </cell>
        </row>
        <row r="486">
          <cell r="A486">
            <v>16290</v>
          </cell>
          <cell r="B486" t="e">
            <v>#NAME?</v>
          </cell>
          <cell r="C486">
            <v>13282.473599999999</v>
          </cell>
          <cell r="D486" t="str">
            <v xml:space="preserve">   MCF</v>
          </cell>
          <cell r="E486" t="str">
            <v xml:space="preserve">    </v>
          </cell>
          <cell r="F486" t="str">
            <v xml:space="preserve"> S</v>
          </cell>
          <cell r="G486">
            <v>36796.257638888892</v>
          </cell>
          <cell r="H486" t="str">
            <v>TVOL</v>
          </cell>
        </row>
        <row r="487">
          <cell r="A487">
            <v>16291</v>
          </cell>
          <cell r="B487" t="e">
            <v>#NAME?</v>
          </cell>
          <cell r="C487">
            <v>0</v>
          </cell>
          <cell r="D487" t="str">
            <v xml:space="preserve">   MCF</v>
          </cell>
          <cell r="E487" t="str">
            <v xml:space="preserve">    </v>
          </cell>
          <cell r="F487" t="str">
            <v xml:space="preserve"> S</v>
          </cell>
          <cell r="G487">
            <v>36796.261111111111</v>
          </cell>
          <cell r="H487" t="str">
            <v>TVOL</v>
          </cell>
        </row>
        <row r="488">
          <cell r="A488">
            <v>16292</v>
          </cell>
          <cell r="B488" t="e">
            <v>#NAME?</v>
          </cell>
          <cell r="C488">
            <v>0</v>
          </cell>
          <cell r="D488" t="str">
            <v xml:space="preserve">   MCF</v>
          </cell>
          <cell r="E488" t="str">
            <v>UNAV</v>
          </cell>
          <cell r="F488" t="str">
            <v xml:space="preserve"> S</v>
          </cell>
          <cell r="G488">
            <v>36796.261805555558</v>
          </cell>
          <cell r="H488" t="str">
            <v>TVOL</v>
          </cell>
        </row>
        <row r="489">
          <cell r="A489">
            <v>16293</v>
          </cell>
          <cell r="B489" t="e">
            <v>#NAME?</v>
          </cell>
          <cell r="C489">
            <v>0</v>
          </cell>
          <cell r="D489" t="str">
            <v xml:space="preserve">   MCF</v>
          </cell>
          <cell r="E489" t="str">
            <v>UNAV</v>
          </cell>
          <cell r="F489" t="str">
            <v xml:space="preserve"> S</v>
          </cell>
          <cell r="G489">
            <v>36796.261805555558</v>
          </cell>
          <cell r="H489" t="str">
            <v>TVOL</v>
          </cell>
        </row>
        <row r="490">
          <cell r="A490">
            <v>16294</v>
          </cell>
          <cell r="B490" t="e">
            <v>#NAME?</v>
          </cell>
          <cell r="C490">
            <v>0</v>
          </cell>
          <cell r="D490" t="str">
            <v xml:space="preserve">   MCF</v>
          </cell>
          <cell r="E490" t="str">
            <v>UNAV</v>
          </cell>
          <cell r="F490" t="str">
            <v xml:space="preserve"> S</v>
          </cell>
          <cell r="G490">
            <v>36796.261805555558</v>
          </cell>
          <cell r="H490" t="str">
            <v>TVOL</v>
          </cell>
        </row>
        <row r="491">
          <cell r="A491">
            <v>16295</v>
          </cell>
          <cell r="B491" t="e">
            <v>#NAME?</v>
          </cell>
          <cell r="C491">
            <v>0</v>
          </cell>
          <cell r="D491" t="str">
            <v xml:space="preserve">   MCF</v>
          </cell>
          <cell r="E491" t="str">
            <v>UNAV</v>
          </cell>
          <cell r="F491" t="str">
            <v xml:space="preserve"> S</v>
          </cell>
          <cell r="G491">
            <v>36796.261805555558</v>
          </cell>
          <cell r="H491" t="str">
            <v>TVOL</v>
          </cell>
        </row>
        <row r="492">
          <cell r="A492">
            <v>16296</v>
          </cell>
          <cell r="B492" t="e">
            <v>#NAME?</v>
          </cell>
          <cell r="C492">
            <v>0</v>
          </cell>
          <cell r="D492" t="str">
            <v xml:space="preserve">   MCF</v>
          </cell>
          <cell r="E492" t="str">
            <v xml:space="preserve">    </v>
          </cell>
          <cell r="F492" t="str">
            <v xml:space="preserve"> S</v>
          </cell>
          <cell r="G492">
            <v>36796.255555555559</v>
          </cell>
          <cell r="H492" t="str">
            <v>TVOL</v>
          </cell>
        </row>
        <row r="493">
          <cell r="A493">
            <v>16297</v>
          </cell>
          <cell r="B493" t="e">
            <v>#NAME?</v>
          </cell>
          <cell r="C493">
            <v>0</v>
          </cell>
          <cell r="D493" t="str">
            <v xml:space="preserve">   MCF</v>
          </cell>
          <cell r="E493" t="str">
            <v xml:space="preserve">    </v>
          </cell>
          <cell r="F493" t="str">
            <v xml:space="preserve"> S</v>
          </cell>
          <cell r="G493">
            <v>36796.257638888892</v>
          </cell>
          <cell r="H493" t="str">
            <v>TVOL</v>
          </cell>
        </row>
        <row r="494">
          <cell r="A494">
            <v>16298</v>
          </cell>
          <cell r="B494" t="e">
            <v>#NAME?</v>
          </cell>
          <cell r="C494">
            <v>0</v>
          </cell>
          <cell r="D494" t="str">
            <v xml:space="preserve">   MCF</v>
          </cell>
          <cell r="E494" t="str">
            <v>UNAV</v>
          </cell>
          <cell r="F494" t="str">
            <v xml:space="preserve"> S</v>
          </cell>
          <cell r="G494">
            <v>36796.261805555558</v>
          </cell>
          <cell r="H494" t="str">
            <v>TVOL</v>
          </cell>
        </row>
        <row r="495">
          <cell r="A495">
            <v>16299</v>
          </cell>
          <cell r="B495" t="e">
            <v>#NAME?</v>
          </cell>
          <cell r="C495">
            <v>0</v>
          </cell>
          <cell r="D495" t="str">
            <v xml:space="preserve">   MCF</v>
          </cell>
          <cell r="E495" t="str">
            <v>COMM</v>
          </cell>
          <cell r="F495" t="str">
            <v xml:space="preserve"> S</v>
          </cell>
          <cell r="G495">
            <v>36795.587500000001</v>
          </cell>
          <cell r="H495" t="str">
            <v>TVOL</v>
          </cell>
        </row>
        <row r="496">
          <cell r="A496">
            <v>16300</v>
          </cell>
          <cell r="B496" t="e">
            <v>#NAME?</v>
          </cell>
          <cell r="C496">
            <v>0</v>
          </cell>
          <cell r="D496" t="str">
            <v xml:space="preserve">   MCF</v>
          </cell>
          <cell r="E496" t="str">
            <v>UNAV</v>
          </cell>
          <cell r="F496" t="str">
            <v xml:space="preserve"> S</v>
          </cell>
          <cell r="G496">
            <v>36796.261805555558</v>
          </cell>
          <cell r="H496" t="str">
            <v>TVOL</v>
          </cell>
        </row>
        <row r="497">
          <cell r="A497">
            <v>16301</v>
          </cell>
          <cell r="B497" t="e">
            <v>#NAME?</v>
          </cell>
          <cell r="C497">
            <v>0</v>
          </cell>
          <cell r="D497" t="str">
            <v xml:space="preserve">   MCF</v>
          </cell>
          <cell r="E497" t="str">
            <v>UNAV</v>
          </cell>
          <cell r="F497" t="str">
            <v xml:space="preserve"> S</v>
          </cell>
          <cell r="G497">
            <v>36796.261805555558</v>
          </cell>
          <cell r="H497" t="str">
            <v>TVOL</v>
          </cell>
        </row>
        <row r="498">
          <cell r="A498">
            <v>16304</v>
          </cell>
          <cell r="B498" t="e">
            <v>#NAME?</v>
          </cell>
          <cell r="C498">
            <v>0</v>
          </cell>
          <cell r="D498" t="str">
            <v xml:space="preserve">   MCF</v>
          </cell>
          <cell r="E498" t="str">
            <v>UNAV</v>
          </cell>
          <cell r="F498" t="str">
            <v xml:space="preserve"> S</v>
          </cell>
          <cell r="G498">
            <v>36796.261805555558</v>
          </cell>
          <cell r="H498" t="str">
            <v>TVOL</v>
          </cell>
        </row>
        <row r="499">
          <cell r="A499">
            <v>16306</v>
          </cell>
          <cell r="B499" t="e">
            <v>#NAME?</v>
          </cell>
          <cell r="C499">
            <v>0</v>
          </cell>
          <cell r="D499" t="str">
            <v xml:space="preserve">   MCF</v>
          </cell>
          <cell r="E499" t="str">
            <v>UNAV</v>
          </cell>
          <cell r="F499" t="str">
            <v xml:space="preserve"> S</v>
          </cell>
          <cell r="G499">
            <v>36796.261805555558</v>
          </cell>
          <cell r="H499" t="str">
            <v>TVOL</v>
          </cell>
        </row>
        <row r="500">
          <cell r="A500">
            <v>16307</v>
          </cell>
          <cell r="B500" t="e">
            <v>#NAME?</v>
          </cell>
          <cell r="C500">
            <v>0</v>
          </cell>
          <cell r="D500" t="str">
            <v xml:space="preserve">   MCF</v>
          </cell>
          <cell r="E500" t="str">
            <v>UNAV</v>
          </cell>
          <cell r="F500" t="str">
            <v xml:space="preserve"> S</v>
          </cell>
          <cell r="G500">
            <v>36796.261805555558</v>
          </cell>
          <cell r="H500" t="str">
            <v>TVOL</v>
          </cell>
        </row>
        <row r="501">
          <cell r="A501">
            <v>16308</v>
          </cell>
          <cell r="B501" t="e">
            <v>#NAME?</v>
          </cell>
          <cell r="C501">
            <v>0</v>
          </cell>
          <cell r="D501" t="str">
            <v xml:space="preserve">   MCF</v>
          </cell>
          <cell r="E501" t="str">
            <v>UNAV</v>
          </cell>
          <cell r="F501" t="str">
            <v xml:space="preserve"> S</v>
          </cell>
          <cell r="G501">
            <v>36796.261805555558</v>
          </cell>
          <cell r="H501" t="str">
            <v>TVOL</v>
          </cell>
        </row>
        <row r="502">
          <cell r="A502">
            <v>16309</v>
          </cell>
          <cell r="B502" t="e">
            <v>#NAME?</v>
          </cell>
          <cell r="C502">
            <v>0</v>
          </cell>
          <cell r="D502" t="str">
            <v xml:space="preserve">   MCF</v>
          </cell>
          <cell r="E502" t="str">
            <v>UNAV</v>
          </cell>
          <cell r="F502" t="str">
            <v xml:space="preserve"> S</v>
          </cell>
          <cell r="G502">
            <v>36796.261805555558</v>
          </cell>
          <cell r="H502" t="str">
            <v>TVOL</v>
          </cell>
        </row>
        <row r="503">
          <cell r="A503">
            <v>16310</v>
          </cell>
          <cell r="B503" t="e">
            <v>#NAME?</v>
          </cell>
          <cell r="C503">
            <v>0</v>
          </cell>
          <cell r="D503" t="str">
            <v xml:space="preserve">   MCF</v>
          </cell>
          <cell r="E503" t="str">
            <v>UNAV</v>
          </cell>
          <cell r="F503" t="str">
            <v xml:space="preserve"> S</v>
          </cell>
          <cell r="G503">
            <v>36796.261805555558</v>
          </cell>
          <cell r="H503" t="str">
            <v>TVOL</v>
          </cell>
        </row>
        <row r="504">
          <cell r="A504">
            <v>16311</v>
          </cell>
          <cell r="B504" t="e">
            <v>#NAME?</v>
          </cell>
          <cell r="C504">
            <v>0</v>
          </cell>
          <cell r="D504" t="str">
            <v xml:space="preserve">   MCF</v>
          </cell>
          <cell r="E504" t="str">
            <v>UNAV</v>
          </cell>
          <cell r="F504" t="str">
            <v xml:space="preserve"> S</v>
          </cell>
          <cell r="G504">
            <v>36796.261805555558</v>
          </cell>
          <cell r="H504" t="str">
            <v>TVOL</v>
          </cell>
        </row>
        <row r="505">
          <cell r="A505">
            <v>16312</v>
          </cell>
          <cell r="B505" t="e">
            <v>#NAME?</v>
          </cell>
          <cell r="C505">
            <v>0</v>
          </cell>
          <cell r="D505" t="str">
            <v xml:space="preserve">   MCF</v>
          </cell>
          <cell r="E505" t="str">
            <v>UNAV</v>
          </cell>
          <cell r="F505" t="str">
            <v xml:space="preserve"> S</v>
          </cell>
          <cell r="G505">
            <v>36796.261805555558</v>
          </cell>
          <cell r="H505" t="str">
            <v>TVOL</v>
          </cell>
        </row>
        <row r="506">
          <cell r="A506">
            <v>16314</v>
          </cell>
          <cell r="B506" t="e">
            <v>#NAME?</v>
          </cell>
          <cell r="C506">
            <v>0</v>
          </cell>
          <cell r="D506" t="str">
            <v xml:space="preserve">   MCF</v>
          </cell>
          <cell r="E506" t="str">
            <v>UNAV</v>
          </cell>
          <cell r="F506" t="str">
            <v xml:space="preserve"> S</v>
          </cell>
          <cell r="G506">
            <v>36796.261805555558</v>
          </cell>
          <cell r="H506" t="str">
            <v>TVOL</v>
          </cell>
        </row>
        <row r="507">
          <cell r="A507">
            <v>16315</v>
          </cell>
          <cell r="B507" t="e">
            <v>#NAME?</v>
          </cell>
          <cell r="C507">
            <v>0</v>
          </cell>
          <cell r="D507" t="str">
            <v xml:space="preserve">   MCF</v>
          </cell>
          <cell r="E507" t="str">
            <v>UNAV</v>
          </cell>
          <cell r="F507" t="str">
            <v xml:space="preserve"> S</v>
          </cell>
          <cell r="G507">
            <v>36796.261805555558</v>
          </cell>
          <cell r="H507" t="str">
            <v>TVOL</v>
          </cell>
        </row>
        <row r="508">
          <cell r="A508">
            <v>16316</v>
          </cell>
          <cell r="B508" t="e">
            <v>#NAME?</v>
          </cell>
          <cell r="C508">
            <v>0</v>
          </cell>
          <cell r="D508" t="str">
            <v xml:space="preserve">   MCF</v>
          </cell>
          <cell r="E508" t="str">
            <v>UNAV</v>
          </cell>
          <cell r="F508" t="str">
            <v xml:space="preserve"> S</v>
          </cell>
          <cell r="G508">
            <v>36796.261805555558</v>
          </cell>
          <cell r="H508" t="str">
            <v>TVOL</v>
          </cell>
        </row>
        <row r="509">
          <cell r="A509">
            <v>16317</v>
          </cell>
          <cell r="B509" t="e">
            <v>#NAME?</v>
          </cell>
          <cell r="C509">
            <v>0</v>
          </cell>
          <cell r="D509" t="str">
            <v xml:space="preserve">   MCF</v>
          </cell>
          <cell r="E509" t="str">
            <v>UNAV</v>
          </cell>
          <cell r="F509" t="str">
            <v xml:space="preserve"> S</v>
          </cell>
          <cell r="G509">
            <v>36796.261805555558</v>
          </cell>
          <cell r="H509" t="str">
            <v>TVOL</v>
          </cell>
        </row>
        <row r="510">
          <cell r="A510">
            <v>16318</v>
          </cell>
          <cell r="B510" t="e">
            <v>#NAME?</v>
          </cell>
          <cell r="C510">
            <v>0</v>
          </cell>
          <cell r="D510" t="str">
            <v xml:space="preserve">   MCF</v>
          </cell>
          <cell r="E510" t="str">
            <v>UNAV</v>
          </cell>
          <cell r="F510" t="str">
            <v xml:space="preserve"> S</v>
          </cell>
          <cell r="G510">
            <v>36796.261805555558</v>
          </cell>
          <cell r="H510" t="str">
            <v>TVOL</v>
          </cell>
        </row>
        <row r="511">
          <cell r="A511">
            <v>16319</v>
          </cell>
          <cell r="B511" t="e">
            <v>#NAME?</v>
          </cell>
          <cell r="C511">
            <v>0</v>
          </cell>
          <cell r="D511" t="str">
            <v xml:space="preserve">   MCF</v>
          </cell>
          <cell r="E511" t="str">
            <v>UNAV</v>
          </cell>
          <cell r="F511" t="str">
            <v xml:space="preserve"> S</v>
          </cell>
          <cell r="G511">
            <v>36796.261805555558</v>
          </cell>
          <cell r="H511" t="str">
            <v>TVOL</v>
          </cell>
        </row>
        <row r="512">
          <cell r="A512">
            <v>16320</v>
          </cell>
          <cell r="B512" t="e">
            <v>#NAME?</v>
          </cell>
          <cell r="C512">
            <v>0</v>
          </cell>
          <cell r="D512" t="str">
            <v xml:space="preserve">   MCF</v>
          </cell>
          <cell r="E512" t="str">
            <v>UNAV</v>
          </cell>
          <cell r="F512" t="str">
            <v xml:space="preserve"> S</v>
          </cell>
          <cell r="G512">
            <v>36796.261805555558</v>
          </cell>
          <cell r="H512" t="str">
            <v>TVOL</v>
          </cell>
        </row>
        <row r="513">
          <cell r="A513">
            <v>16321</v>
          </cell>
          <cell r="B513" t="e">
            <v>#NAME?</v>
          </cell>
          <cell r="C513">
            <v>0</v>
          </cell>
          <cell r="D513" t="str">
            <v xml:space="preserve">   MCF</v>
          </cell>
          <cell r="E513" t="str">
            <v>UNAV</v>
          </cell>
          <cell r="F513" t="str">
            <v xml:space="preserve"> S</v>
          </cell>
          <cell r="G513">
            <v>36796.261805555558</v>
          </cell>
          <cell r="H513" t="str">
            <v>TVOL</v>
          </cell>
        </row>
        <row r="514">
          <cell r="A514">
            <v>16322</v>
          </cell>
          <cell r="B514" t="e">
            <v>#NAME?</v>
          </cell>
          <cell r="C514">
            <v>0</v>
          </cell>
          <cell r="D514" t="str">
            <v xml:space="preserve">   MCF</v>
          </cell>
          <cell r="E514" t="str">
            <v>UNAV</v>
          </cell>
          <cell r="F514" t="str">
            <v xml:space="preserve"> S</v>
          </cell>
          <cell r="G514">
            <v>36796.261805555558</v>
          </cell>
          <cell r="H514" t="str">
            <v>TVOL</v>
          </cell>
        </row>
        <row r="515">
          <cell r="A515">
            <v>16323</v>
          </cell>
          <cell r="B515" t="e">
            <v>#NAME?</v>
          </cell>
          <cell r="C515">
            <v>0</v>
          </cell>
          <cell r="D515" t="str">
            <v xml:space="preserve">   MCF</v>
          </cell>
          <cell r="E515" t="str">
            <v>UNAV</v>
          </cell>
          <cell r="F515" t="str">
            <v xml:space="preserve"> S</v>
          </cell>
          <cell r="G515">
            <v>36796.261805555558</v>
          </cell>
          <cell r="H515" t="str">
            <v>TVOL</v>
          </cell>
        </row>
        <row r="516">
          <cell r="A516">
            <v>16324</v>
          </cell>
          <cell r="B516" t="e">
            <v>#NAME?</v>
          </cell>
          <cell r="C516">
            <v>0</v>
          </cell>
          <cell r="D516" t="str">
            <v xml:space="preserve">   MCF</v>
          </cell>
          <cell r="E516" t="str">
            <v>UNAV</v>
          </cell>
          <cell r="F516" t="str">
            <v xml:space="preserve"> S</v>
          </cell>
          <cell r="G516">
            <v>36796.261805555558</v>
          </cell>
          <cell r="H516" t="str">
            <v>TVOL</v>
          </cell>
        </row>
        <row r="517">
          <cell r="A517">
            <v>16326</v>
          </cell>
          <cell r="B517" t="e">
            <v>#NAME?</v>
          </cell>
          <cell r="C517">
            <v>0</v>
          </cell>
          <cell r="D517" t="str">
            <v xml:space="preserve">   MCF</v>
          </cell>
          <cell r="E517" t="str">
            <v>UNAV</v>
          </cell>
          <cell r="F517" t="str">
            <v xml:space="preserve"> S</v>
          </cell>
          <cell r="G517">
            <v>36796.261805555558</v>
          </cell>
          <cell r="H517" t="str">
            <v>TVOL</v>
          </cell>
        </row>
        <row r="518">
          <cell r="A518">
            <v>16328</v>
          </cell>
          <cell r="B518" t="e">
            <v>#NAME?</v>
          </cell>
          <cell r="C518">
            <v>0</v>
          </cell>
          <cell r="D518" t="str">
            <v xml:space="preserve">   MCF</v>
          </cell>
          <cell r="E518" t="str">
            <v>UNAV</v>
          </cell>
          <cell r="F518" t="str">
            <v xml:space="preserve"> S</v>
          </cell>
          <cell r="G518">
            <v>36796.261805555558</v>
          </cell>
          <cell r="H518" t="str">
            <v>TVOL</v>
          </cell>
        </row>
        <row r="519">
          <cell r="A519">
            <v>16330</v>
          </cell>
          <cell r="B519" t="e">
            <v>#NAME?</v>
          </cell>
          <cell r="C519">
            <v>0</v>
          </cell>
          <cell r="D519" t="str">
            <v xml:space="preserve">   MCF</v>
          </cell>
          <cell r="E519" t="str">
            <v>UNAV</v>
          </cell>
          <cell r="F519" t="str">
            <v xml:space="preserve"> S</v>
          </cell>
          <cell r="G519">
            <v>36796.261805555558</v>
          </cell>
          <cell r="H519" t="str">
            <v>TVOL</v>
          </cell>
        </row>
        <row r="520">
          <cell r="A520">
            <v>16331</v>
          </cell>
          <cell r="B520" t="e">
            <v>#NAME?</v>
          </cell>
          <cell r="C520">
            <v>3369.18237</v>
          </cell>
          <cell r="D520" t="str">
            <v xml:space="preserve">   MCF</v>
          </cell>
          <cell r="E520" t="str">
            <v xml:space="preserve">    </v>
          </cell>
          <cell r="F520" t="str">
            <v xml:space="preserve"> S</v>
          </cell>
          <cell r="G520">
            <v>36796.228472222225</v>
          </cell>
          <cell r="H520" t="str">
            <v>TVOL</v>
          </cell>
        </row>
        <row r="521">
          <cell r="A521">
            <v>16332</v>
          </cell>
          <cell r="B521" t="e">
            <v>#NAME?</v>
          </cell>
          <cell r="C521">
            <v>0</v>
          </cell>
          <cell r="D521" t="str">
            <v xml:space="preserve">   MCF</v>
          </cell>
          <cell r="E521" t="str">
            <v>UNAV</v>
          </cell>
          <cell r="F521" t="str">
            <v xml:space="preserve"> S</v>
          </cell>
          <cell r="G521">
            <v>36796.261805555558</v>
          </cell>
          <cell r="H521" t="str">
            <v>TVOL</v>
          </cell>
        </row>
        <row r="522">
          <cell r="A522">
            <v>16333</v>
          </cell>
          <cell r="B522" t="e">
            <v>#NAME?</v>
          </cell>
          <cell r="C522">
            <v>0</v>
          </cell>
          <cell r="D522" t="str">
            <v xml:space="preserve">   MCF</v>
          </cell>
          <cell r="E522" t="str">
            <v>UNAV</v>
          </cell>
          <cell r="F522" t="str">
            <v xml:space="preserve"> S</v>
          </cell>
          <cell r="G522">
            <v>36796.261805555558</v>
          </cell>
          <cell r="H522" t="str">
            <v>TVOL</v>
          </cell>
        </row>
        <row r="523">
          <cell r="A523">
            <v>16334</v>
          </cell>
          <cell r="B523" t="e">
            <v>#NAME?</v>
          </cell>
          <cell r="C523">
            <v>0</v>
          </cell>
          <cell r="D523" t="str">
            <v xml:space="preserve">   MCF</v>
          </cell>
          <cell r="E523" t="str">
            <v>UNAV</v>
          </cell>
          <cell r="F523" t="str">
            <v xml:space="preserve"> S</v>
          </cell>
          <cell r="G523">
            <v>36796.261805555558</v>
          </cell>
          <cell r="H523" t="str">
            <v>TVOL</v>
          </cell>
        </row>
        <row r="524">
          <cell r="A524">
            <v>16335</v>
          </cell>
          <cell r="B524" t="e">
            <v>#NAME?</v>
          </cell>
          <cell r="C524">
            <v>61868.148399999998</v>
          </cell>
          <cell r="D524" t="str">
            <v xml:space="preserve">   MCF</v>
          </cell>
          <cell r="E524" t="str">
            <v xml:space="preserve">    </v>
          </cell>
          <cell r="F524" t="str">
            <v xml:space="preserve"> S</v>
          </cell>
          <cell r="G524">
            <v>36796.256249999999</v>
          </cell>
          <cell r="H524" t="str">
            <v>TVOL</v>
          </cell>
        </row>
        <row r="525">
          <cell r="A525">
            <v>16336</v>
          </cell>
          <cell r="B525" t="e">
            <v>#NAME?</v>
          </cell>
          <cell r="C525">
            <v>0</v>
          </cell>
          <cell r="D525" t="str">
            <v xml:space="preserve">   MCF</v>
          </cell>
          <cell r="E525" t="str">
            <v>UNAV</v>
          </cell>
          <cell r="F525" t="str">
            <v xml:space="preserve"> S</v>
          </cell>
          <cell r="G525">
            <v>36796.261805555558</v>
          </cell>
          <cell r="H525" t="str">
            <v>TVOL</v>
          </cell>
        </row>
        <row r="526">
          <cell r="A526">
            <v>16337</v>
          </cell>
          <cell r="B526" t="e">
            <v>#NAME?</v>
          </cell>
          <cell r="C526">
            <v>0</v>
          </cell>
          <cell r="D526" t="str">
            <v xml:space="preserve">   MCF</v>
          </cell>
          <cell r="E526" t="str">
            <v>UNAV</v>
          </cell>
          <cell r="F526" t="str">
            <v xml:space="preserve"> S</v>
          </cell>
          <cell r="G526">
            <v>36796.261805555558</v>
          </cell>
          <cell r="H526" t="str">
            <v>TVOL</v>
          </cell>
        </row>
        <row r="527">
          <cell r="A527">
            <v>16338</v>
          </cell>
          <cell r="B527" t="e">
            <v>#NAME?</v>
          </cell>
          <cell r="C527">
            <v>14408.1484</v>
          </cell>
          <cell r="D527" t="str">
            <v xml:space="preserve">   MCF</v>
          </cell>
          <cell r="E527" t="str">
            <v xml:space="preserve">    </v>
          </cell>
          <cell r="F527" t="str">
            <v xml:space="preserve"> S</v>
          </cell>
          <cell r="G527">
            <v>36796.260416666664</v>
          </cell>
          <cell r="H527" t="str">
            <v>TVOL</v>
          </cell>
        </row>
        <row r="528">
          <cell r="A528">
            <v>16339</v>
          </cell>
          <cell r="B528" t="e">
            <v>#NAME?</v>
          </cell>
          <cell r="C528">
            <v>0</v>
          </cell>
          <cell r="D528" t="str">
            <v xml:space="preserve">   MCF</v>
          </cell>
          <cell r="E528" t="str">
            <v>UNAV</v>
          </cell>
          <cell r="F528" t="str">
            <v xml:space="preserve"> S</v>
          </cell>
          <cell r="G528">
            <v>36796.261805555558</v>
          </cell>
          <cell r="H528" t="str">
            <v>TVOL</v>
          </cell>
        </row>
        <row r="529">
          <cell r="A529">
            <v>16340</v>
          </cell>
          <cell r="B529" t="e">
            <v>#NAME?</v>
          </cell>
          <cell r="C529">
            <v>0</v>
          </cell>
          <cell r="D529" t="str">
            <v xml:space="preserve">   MCF</v>
          </cell>
          <cell r="E529" t="str">
            <v>UNAV</v>
          </cell>
          <cell r="F529" t="str">
            <v xml:space="preserve"> S</v>
          </cell>
          <cell r="G529">
            <v>36796.261805555558</v>
          </cell>
          <cell r="H529" t="str">
            <v>TVOL</v>
          </cell>
        </row>
        <row r="530">
          <cell r="A530">
            <v>16341</v>
          </cell>
          <cell r="B530" t="e">
            <v>#NAME?</v>
          </cell>
          <cell r="C530">
            <v>0</v>
          </cell>
          <cell r="D530" t="str">
            <v xml:space="preserve">   MCF</v>
          </cell>
          <cell r="E530" t="str">
            <v>UNAV</v>
          </cell>
          <cell r="F530" t="str">
            <v xml:space="preserve"> S</v>
          </cell>
          <cell r="G530">
            <v>36796.261805555558</v>
          </cell>
          <cell r="H530" t="str">
            <v>TVOL</v>
          </cell>
        </row>
        <row r="531">
          <cell r="A531">
            <v>16342</v>
          </cell>
          <cell r="B531" t="e">
            <v>#NAME?</v>
          </cell>
          <cell r="C531">
            <v>0</v>
          </cell>
          <cell r="D531" t="str">
            <v xml:space="preserve">   MCF</v>
          </cell>
          <cell r="E531" t="str">
            <v>UNAV</v>
          </cell>
          <cell r="F531" t="str">
            <v xml:space="preserve"> S</v>
          </cell>
          <cell r="G531">
            <v>36796.261805555558</v>
          </cell>
          <cell r="H531" t="str">
            <v>TVOL</v>
          </cell>
        </row>
        <row r="532">
          <cell r="A532">
            <v>16343</v>
          </cell>
          <cell r="B532" t="e">
            <v>#NAME?</v>
          </cell>
          <cell r="C532">
            <v>0</v>
          </cell>
          <cell r="D532" t="str">
            <v xml:space="preserve">   MCF</v>
          </cell>
          <cell r="E532" t="str">
            <v>UNAV</v>
          </cell>
          <cell r="F532" t="str">
            <v xml:space="preserve"> S</v>
          </cell>
          <cell r="G532">
            <v>36796.261805555558</v>
          </cell>
          <cell r="H532" t="str">
            <v>TVOL</v>
          </cell>
        </row>
        <row r="533">
          <cell r="A533">
            <v>16344</v>
          </cell>
          <cell r="B533" t="e">
            <v>#NAME?</v>
          </cell>
          <cell r="C533">
            <v>0</v>
          </cell>
          <cell r="D533" t="str">
            <v xml:space="preserve">   MCF</v>
          </cell>
          <cell r="E533" t="str">
            <v>UNAV</v>
          </cell>
          <cell r="F533" t="str">
            <v xml:space="preserve"> S</v>
          </cell>
          <cell r="G533">
            <v>36796.261805555558</v>
          </cell>
          <cell r="H533" t="str">
            <v>TVOL</v>
          </cell>
        </row>
        <row r="534">
          <cell r="A534">
            <v>16345</v>
          </cell>
          <cell r="B534" t="e">
            <v>#NAME?</v>
          </cell>
          <cell r="C534">
            <v>0</v>
          </cell>
          <cell r="D534" t="str">
            <v xml:space="preserve">   MCF</v>
          </cell>
          <cell r="E534" t="str">
            <v>UNAV</v>
          </cell>
          <cell r="F534" t="str">
            <v xml:space="preserve"> S</v>
          </cell>
          <cell r="G534">
            <v>36796.261805555558</v>
          </cell>
          <cell r="H534" t="str">
            <v>TVOL</v>
          </cell>
        </row>
        <row r="535">
          <cell r="A535">
            <v>16346</v>
          </cell>
          <cell r="B535" t="e">
            <v>#NAME?</v>
          </cell>
          <cell r="C535">
            <v>0</v>
          </cell>
          <cell r="D535" t="str">
            <v xml:space="preserve">   MCF</v>
          </cell>
          <cell r="E535" t="str">
            <v>UNAV</v>
          </cell>
          <cell r="F535" t="str">
            <v xml:space="preserve"> S</v>
          </cell>
          <cell r="G535">
            <v>36796.261805555558</v>
          </cell>
          <cell r="H535" t="str">
            <v>TVOL</v>
          </cell>
        </row>
        <row r="536">
          <cell r="A536">
            <v>16347</v>
          </cell>
          <cell r="B536" t="e">
            <v>#NAME?</v>
          </cell>
          <cell r="C536">
            <v>0</v>
          </cell>
          <cell r="D536" t="str">
            <v xml:space="preserve">   MCF</v>
          </cell>
          <cell r="E536" t="str">
            <v xml:space="preserve">    </v>
          </cell>
          <cell r="F536" t="str">
            <v xml:space="preserve"> S</v>
          </cell>
          <cell r="G536">
            <v>36796.257638888892</v>
          </cell>
          <cell r="H536" t="str">
            <v>TVOL</v>
          </cell>
        </row>
        <row r="537">
          <cell r="A537">
            <v>16348</v>
          </cell>
          <cell r="B537" t="e">
            <v>#NAME?</v>
          </cell>
          <cell r="C537">
            <v>0</v>
          </cell>
          <cell r="D537" t="str">
            <v xml:space="preserve">   MCF</v>
          </cell>
          <cell r="E537" t="str">
            <v>UNAV</v>
          </cell>
          <cell r="F537" t="str">
            <v xml:space="preserve"> S</v>
          </cell>
          <cell r="G537">
            <v>36796.261805555558</v>
          </cell>
          <cell r="H537" t="str">
            <v>TVOL</v>
          </cell>
        </row>
        <row r="538">
          <cell r="A538">
            <v>16350</v>
          </cell>
          <cell r="B538" t="e">
            <v>#NAME?</v>
          </cell>
          <cell r="C538">
            <v>8797.8798800000004</v>
          </cell>
          <cell r="D538" t="str">
            <v xml:space="preserve">   MCF</v>
          </cell>
          <cell r="E538" t="str">
            <v xml:space="preserve">    </v>
          </cell>
          <cell r="F538" t="str">
            <v xml:space="preserve"> S</v>
          </cell>
          <cell r="G538">
            <v>36796.259722222225</v>
          </cell>
          <cell r="H538" t="str">
            <v>TVOL</v>
          </cell>
        </row>
        <row r="539">
          <cell r="A539">
            <v>16351</v>
          </cell>
          <cell r="B539" t="e">
            <v>#NAME?</v>
          </cell>
          <cell r="C539">
            <v>0</v>
          </cell>
          <cell r="D539" t="str">
            <v xml:space="preserve">   MCF</v>
          </cell>
          <cell r="E539" t="str">
            <v xml:space="preserve">    </v>
          </cell>
          <cell r="F539" t="str">
            <v xml:space="preserve"> S</v>
          </cell>
          <cell r="G539">
            <v>36796.255555555559</v>
          </cell>
          <cell r="H539" t="str">
            <v>TVOL</v>
          </cell>
        </row>
        <row r="540">
          <cell r="A540">
            <v>16352</v>
          </cell>
          <cell r="B540" t="e">
            <v>#NAME?</v>
          </cell>
          <cell r="C540">
            <v>0</v>
          </cell>
          <cell r="D540" t="str">
            <v xml:space="preserve">   MCF</v>
          </cell>
          <cell r="E540" t="str">
            <v xml:space="preserve">    </v>
          </cell>
          <cell r="F540" t="str">
            <v xml:space="preserve"> S</v>
          </cell>
          <cell r="G540">
            <v>36796.246527777781</v>
          </cell>
          <cell r="H540" t="str">
            <v>TVOL</v>
          </cell>
        </row>
        <row r="541">
          <cell r="A541">
            <v>16353</v>
          </cell>
          <cell r="B541" t="e">
            <v>#NAME?</v>
          </cell>
          <cell r="C541">
            <v>0</v>
          </cell>
          <cell r="D541" t="str">
            <v xml:space="preserve">   MCF</v>
          </cell>
          <cell r="E541" t="str">
            <v>UNAV</v>
          </cell>
          <cell r="F541" t="str">
            <v xml:space="preserve"> S</v>
          </cell>
          <cell r="G541">
            <v>36796.261805555558</v>
          </cell>
          <cell r="H541" t="str">
            <v>TVOL</v>
          </cell>
        </row>
        <row r="542">
          <cell r="A542">
            <v>16354</v>
          </cell>
          <cell r="B542" t="e">
            <v>#NAME?</v>
          </cell>
          <cell r="C542">
            <v>27776.416000000001</v>
          </cell>
          <cell r="D542" t="str">
            <v xml:space="preserve">   MCF</v>
          </cell>
          <cell r="E542" t="str">
            <v xml:space="preserve">    </v>
          </cell>
          <cell r="F542" t="str">
            <v xml:space="preserve"> S</v>
          </cell>
          <cell r="G542">
            <v>36796.258333333331</v>
          </cell>
          <cell r="H542" t="str">
            <v>TVOL</v>
          </cell>
        </row>
        <row r="543">
          <cell r="A543">
            <v>16355</v>
          </cell>
          <cell r="B543" t="e">
            <v>#NAME?</v>
          </cell>
          <cell r="C543">
            <v>7521.3217800000002</v>
          </cell>
          <cell r="D543" t="str">
            <v xml:space="preserve">   MCF</v>
          </cell>
          <cell r="E543" t="str">
            <v xml:space="preserve">    </v>
          </cell>
          <cell r="F543" t="str">
            <v xml:space="preserve"> S</v>
          </cell>
          <cell r="G543">
            <v>36796.256249999999</v>
          </cell>
          <cell r="H543" t="str">
            <v>TVOL</v>
          </cell>
        </row>
        <row r="544">
          <cell r="A544">
            <v>16357</v>
          </cell>
          <cell r="B544" t="e">
            <v>#NAME?</v>
          </cell>
          <cell r="C544">
            <v>0</v>
          </cell>
          <cell r="D544" t="str">
            <v xml:space="preserve">   MCF</v>
          </cell>
          <cell r="E544" t="str">
            <v>UNAV</v>
          </cell>
          <cell r="F544" t="str">
            <v xml:space="preserve"> S</v>
          </cell>
          <cell r="G544">
            <v>36796.261805555558</v>
          </cell>
          <cell r="H544" t="str">
            <v>TVOL</v>
          </cell>
        </row>
        <row r="545">
          <cell r="A545">
            <v>16359</v>
          </cell>
          <cell r="B545" t="e">
            <v>#NAME?</v>
          </cell>
          <cell r="C545">
            <v>0</v>
          </cell>
          <cell r="D545" t="str">
            <v xml:space="preserve">   MCF</v>
          </cell>
          <cell r="E545" t="str">
            <v>UNAV</v>
          </cell>
          <cell r="F545" t="str">
            <v xml:space="preserve"> S</v>
          </cell>
          <cell r="G545">
            <v>36796.261805555558</v>
          </cell>
          <cell r="H545" t="str">
            <v>TVOL</v>
          </cell>
        </row>
        <row r="546">
          <cell r="A546">
            <v>16360</v>
          </cell>
          <cell r="B546" t="e">
            <v>#NAME?</v>
          </cell>
          <cell r="C546">
            <v>0</v>
          </cell>
          <cell r="D546" t="str">
            <v xml:space="preserve">   MCF</v>
          </cell>
          <cell r="E546" t="str">
            <v>UNAV</v>
          </cell>
          <cell r="F546" t="str">
            <v xml:space="preserve"> S</v>
          </cell>
          <cell r="G546">
            <v>36796.261805555558</v>
          </cell>
          <cell r="H546" t="str">
            <v>TVOL</v>
          </cell>
        </row>
        <row r="547">
          <cell r="A547">
            <v>16361</v>
          </cell>
          <cell r="B547" t="e">
            <v>#NAME?</v>
          </cell>
          <cell r="C547">
            <v>0</v>
          </cell>
          <cell r="D547" t="str">
            <v xml:space="preserve">   MCF</v>
          </cell>
          <cell r="E547" t="str">
            <v>UNAV</v>
          </cell>
          <cell r="F547" t="str">
            <v xml:space="preserve"> S</v>
          </cell>
          <cell r="G547">
            <v>36796.261805555558</v>
          </cell>
          <cell r="H547" t="str">
            <v>TVOL</v>
          </cell>
        </row>
        <row r="548">
          <cell r="A548">
            <v>16362</v>
          </cell>
          <cell r="B548" t="e">
            <v>#NAME?</v>
          </cell>
          <cell r="C548">
            <v>0</v>
          </cell>
          <cell r="D548" t="str">
            <v xml:space="preserve">   MCF</v>
          </cell>
          <cell r="E548" t="str">
            <v xml:space="preserve">    </v>
          </cell>
          <cell r="F548" t="str">
            <v xml:space="preserve"> S</v>
          </cell>
          <cell r="G548">
            <v>36796.261805555558</v>
          </cell>
          <cell r="H548" t="str">
            <v>TVOL</v>
          </cell>
        </row>
        <row r="549">
          <cell r="A549">
            <v>16363</v>
          </cell>
          <cell r="B549" t="e">
            <v>#NAME?</v>
          </cell>
          <cell r="C549">
            <v>0</v>
          </cell>
          <cell r="D549" t="str">
            <v xml:space="preserve">   MCF</v>
          </cell>
          <cell r="E549" t="str">
            <v>UNAV</v>
          </cell>
          <cell r="F549" t="str">
            <v xml:space="preserve"> S</v>
          </cell>
          <cell r="G549">
            <v>36796.261805555558</v>
          </cell>
          <cell r="H549" t="str">
            <v>TVOL</v>
          </cell>
        </row>
        <row r="550">
          <cell r="A550">
            <v>16365</v>
          </cell>
          <cell r="B550" t="e">
            <v>#NAME?</v>
          </cell>
          <cell r="C550">
            <v>0</v>
          </cell>
          <cell r="D550" t="str">
            <v xml:space="preserve">   MCF</v>
          </cell>
          <cell r="E550" t="str">
            <v>UNAV</v>
          </cell>
          <cell r="F550" t="str">
            <v xml:space="preserve"> S</v>
          </cell>
          <cell r="G550">
            <v>36796.261805555558</v>
          </cell>
          <cell r="H550" t="str">
            <v>TVOL</v>
          </cell>
        </row>
        <row r="551">
          <cell r="A551">
            <v>16366</v>
          </cell>
          <cell r="B551" t="e">
            <v>#NAME?</v>
          </cell>
          <cell r="C551">
            <v>1140.5591999999999</v>
          </cell>
          <cell r="D551" t="str">
            <v xml:space="preserve">   MCF</v>
          </cell>
          <cell r="E551" t="str">
            <v xml:space="preserve">    </v>
          </cell>
          <cell r="F551" t="str">
            <v xml:space="preserve"> S</v>
          </cell>
          <cell r="G551">
            <v>36796.255555555559</v>
          </cell>
          <cell r="H551" t="str">
            <v>TVOL</v>
          </cell>
        </row>
        <row r="552">
          <cell r="A552">
            <v>16369</v>
          </cell>
          <cell r="B552" t="e">
            <v>#NAME?</v>
          </cell>
          <cell r="C552">
            <v>0</v>
          </cell>
          <cell r="D552" t="str">
            <v xml:space="preserve">   MCF</v>
          </cell>
          <cell r="E552" t="str">
            <v>UNAV</v>
          </cell>
          <cell r="F552" t="str">
            <v xml:space="preserve"> S</v>
          </cell>
          <cell r="G552">
            <v>36796.261805555558</v>
          </cell>
          <cell r="H552" t="str">
            <v>TVOL</v>
          </cell>
        </row>
        <row r="553">
          <cell r="A553">
            <v>20679</v>
          </cell>
          <cell r="B553" t="e">
            <v>#NAME?</v>
          </cell>
          <cell r="C553">
            <v>0</v>
          </cell>
          <cell r="D553" t="str">
            <v xml:space="preserve">   MCF</v>
          </cell>
          <cell r="E553" t="str">
            <v xml:space="preserve">    </v>
          </cell>
          <cell r="F553" t="str">
            <v xml:space="preserve"> S</v>
          </cell>
          <cell r="G553">
            <v>36796.255555555559</v>
          </cell>
          <cell r="H553" t="str">
            <v>TVOL</v>
          </cell>
        </row>
        <row r="554">
          <cell r="A554">
            <v>26001</v>
          </cell>
          <cell r="B554" t="e">
            <v>#NAME?</v>
          </cell>
          <cell r="C554">
            <v>3108.71216</v>
          </cell>
          <cell r="D554" t="str">
            <v xml:space="preserve">   MCF</v>
          </cell>
          <cell r="E554" t="str">
            <v xml:space="preserve">    </v>
          </cell>
          <cell r="F554" t="str">
            <v xml:space="preserve"> S</v>
          </cell>
          <cell r="G554">
            <v>36796.251388888886</v>
          </cell>
          <cell r="H554" t="str">
            <v>TVOL</v>
          </cell>
        </row>
        <row r="555">
          <cell r="A555">
            <v>26002</v>
          </cell>
          <cell r="B555" t="e">
            <v>#NAME?</v>
          </cell>
          <cell r="C555">
            <v>4201.2968799999999</v>
          </cell>
          <cell r="D555" t="str">
            <v xml:space="preserve">   MCF</v>
          </cell>
          <cell r="E555" t="str">
            <v xml:space="preserve">    </v>
          </cell>
          <cell r="F555" t="str">
            <v xml:space="preserve"> S</v>
          </cell>
          <cell r="G555">
            <v>36796.256249999999</v>
          </cell>
          <cell r="H555" t="str">
            <v>TVOL</v>
          </cell>
        </row>
        <row r="556">
          <cell r="A556">
            <v>26005</v>
          </cell>
          <cell r="B556" t="e">
            <v>#NAME?</v>
          </cell>
          <cell r="C556">
            <v>0</v>
          </cell>
          <cell r="D556" t="str">
            <v xml:space="preserve">   MCF</v>
          </cell>
          <cell r="E556" t="str">
            <v xml:space="preserve">    </v>
          </cell>
          <cell r="F556" t="str">
            <v xml:space="preserve"> S</v>
          </cell>
          <cell r="G556">
            <v>36796.258333333331</v>
          </cell>
          <cell r="H556" t="str">
            <v>TVOL</v>
          </cell>
        </row>
        <row r="557">
          <cell r="A557">
            <v>26006</v>
          </cell>
          <cell r="B557" t="e">
            <v>#NAME?</v>
          </cell>
          <cell r="C557">
            <v>8739.9726599999995</v>
          </cell>
          <cell r="D557" t="str">
            <v xml:space="preserve">   MCF</v>
          </cell>
          <cell r="E557" t="str">
            <v xml:space="preserve">    </v>
          </cell>
          <cell r="F557" t="str">
            <v xml:space="preserve"> S</v>
          </cell>
          <cell r="G557">
            <v>36796.255555555559</v>
          </cell>
          <cell r="H557" t="str">
            <v>TVOL</v>
          </cell>
        </row>
        <row r="558">
          <cell r="A558">
            <v>26007</v>
          </cell>
          <cell r="B558" t="e">
            <v>#NAME?</v>
          </cell>
          <cell r="C558">
            <v>0</v>
          </cell>
          <cell r="D558" t="str">
            <v xml:space="preserve">   MCF</v>
          </cell>
          <cell r="E558" t="str">
            <v>UNAV</v>
          </cell>
          <cell r="F558" t="str">
            <v xml:space="preserve"> S</v>
          </cell>
          <cell r="G558">
            <v>36796.261805555558</v>
          </cell>
          <cell r="H558" t="str">
            <v>TVOL</v>
          </cell>
        </row>
        <row r="559">
          <cell r="A559">
            <v>26008</v>
          </cell>
          <cell r="B559" t="e">
            <v>#NAME?</v>
          </cell>
          <cell r="C559">
            <v>4340.8544899999997</v>
          </cell>
          <cell r="D559" t="str">
            <v xml:space="preserve">   MCF</v>
          </cell>
          <cell r="E559" t="str">
            <v xml:space="preserve">    </v>
          </cell>
          <cell r="F559" t="str">
            <v xml:space="preserve"> S</v>
          </cell>
          <cell r="G559">
            <v>36796.254861111112</v>
          </cell>
          <cell r="H559" t="str">
            <v>TVOL</v>
          </cell>
        </row>
        <row r="560">
          <cell r="A560">
            <v>26009</v>
          </cell>
          <cell r="B560" t="e">
            <v>#NAME?</v>
          </cell>
          <cell r="C560">
            <v>0</v>
          </cell>
          <cell r="D560" t="str">
            <v xml:space="preserve">   MCF</v>
          </cell>
          <cell r="E560" t="str">
            <v xml:space="preserve">    </v>
          </cell>
          <cell r="F560" t="str">
            <v xml:space="preserve"> S</v>
          </cell>
          <cell r="G560">
            <v>36796.25277777778</v>
          </cell>
          <cell r="H560" t="str">
            <v>TVOL</v>
          </cell>
        </row>
        <row r="561">
          <cell r="A561">
            <v>26011</v>
          </cell>
          <cell r="B561" t="e">
            <v>#NAME?</v>
          </cell>
          <cell r="C561">
            <v>0</v>
          </cell>
          <cell r="D561" t="str">
            <v xml:space="preserve">   MCF</v>
          </cell>
          <cell r="E561" t="str">
            <v>UNAV</v>
          </cell>
          <cell r="F561" t="str">
            <v xml:space="preserve"> S</v>
          </cell>
          <cell r="G561">
            <v>36796.261805555558</v>
          </cell>
          <cell r="H561" t="str">
            <v>TVOL</v>
          </cell>
        </row>
        <row r="562">
          <cell r="A562">
            <v>26013</v>
          </cell>
          <cell r="B562" t="e">
            <v>#NAME?</v>
          </cell>
          <cell r="C562">
            <v>0</v>
          </cell>
          <cell r="D562" t="str">
            <v xml:space="preserve">   MCF</v>
          </cell>
          <cell r="E562" t="str">
            <v>UNAV</v>
          </cell>
          <cell r="F562" t="str">
            <v xml:space="preserve"> S</v>
          </cell>
          <cell r="G562">
            <v>36796.261805555558</v>
          </cell>
          <cell r="H562" t="str">
            <v>TVOL</v>
          </cell>
        </row>
        <row r="563">
          <cell r="A563">
            <v>26014</v>
          </cell>
          <cell r="B563" t="e">
            <v>#NAME?</v>
          </cell>
          <cell r="C563">
            <v>0</v>
          </cell>
          <cell r="D563" t="str">
            <v xml:space="preserve">   MCF</v>
          </cell>
          <cell r="E563" t="str">
            <v xml:space="preserve">    </v>
          </cell>
          <cell r="F563" t="str">
            <v xml:space="preserve"> S</v>
          </cell>
          <cell r="G563">
            <v>36796.255555555559</v>
          </cell>
          <cell r="H563" t="str">
            <v>TVOL</v>
          </cell>
        </row>
        <row r="564">
          <cell r="A564">
            <v>26015</v>
          </cell>
          <cell r="B564" t="e">
            <v>#NAME?</v>
          </cell>
          <cell r="C564">
            <v>0</v>
          </cell>
          <cell r="D564" t="str">
            <v xml:space="preserve">   MCF</v>
          </cell>
          <cell r="E564" t="str">
            <v>UNAV</v>
          </cell>
          <cell r="F564" t="str">
            <v xml:space="preserve"> S</v>
          </cell>
          <cell r="G564">
            <v>36796.261805555558</v>
          </cell>
          <cell r="H564" t="str">
            <v>TVOL</v>
          </cell>
        </row>
        <row r="565">
          <cell r="A565">
            <v>26016</v>
          </cell>
          <cell r="B565" t="e">
            <v>#NAME?</v>
          </cell>
          <cell r="C565">
            <v>0</v>
          </cell>
          <cell r="D565" t="str">
            <v xml:space="preserve">   MCF</v>
          </cell>
          <cell r="E565" t="str">
            <v>UNAV</v>
          </cell>
          <cell r="F565" t="str">
            <v xml:space="preserve"> S</v>
          </cell>
          <cell r="G565">
            <v>36796.261805555558</v>
          </cell>
          <cell r="H565" t="str">
            <v>TVOL</v>
          </cell>
        </row>
        <row r="566">
          <cell r="A566">
            <v>26018</v>
          </cell>
          <cell r="B566" t="e">
            <v>#NAME?</v>
          </cell>
          <cell r="C566">
            <v>169.77467300000001</v>
          </cell>
          <cell r="D566" t="str">
            <v xml:space="preserve">   MCF</v>
          </cell>
          <cell r="E566" t="str">
            <v xml:space="preserve">    </v>
          </cell>
          <cell r="F566" t="str">
            <v xml:space="preserve"> S</v>
          </cell>
          <cell r="G566">
            <v>36796.255555555559</v>
          </cell>
          <cell r="H566" t="str">
            <v>TVOL</v>
          </cell>
        </row>
        <row r="567">
          <cell r="A567">
            <v>26021</v>
          </cell>
          <cell r="B567" t="e">
            <v>#NAME?</v>
          </cell>
          <cell r="C567">
            <v>11103.444299999999</v>
          </cell>
          <cell r="D567" t="str">
            <v xml:space="preserve">   MCF</v>
          </cell>
          <cell r="E567" t="str">
            <v xml:space="preserve">    </v>
          </cell>
          <cell r="F567" t="str">
            <v xml:space="preserve"> S</v>
          </cell>
          <cell r="G567">
            <v>36796.255555555559</v>
          </cell>
          <cell r="H567" t="str">
            <v>TVOL</v>
          </cell>
        </row>
        <row r="568">
          <cell r="A568">
            <v>26022</v>
          </cell>
          <cell r="B568" t="e">
            <v>#NAME?</v>
          </cell>
          <cell r="C568">
            <v>0</v>
          </cell>
          <cell r="D568" t="str">
            <v xml:space="preserve">   MCF</v>
          </cell>
          <cell r="E568" t="str">
            <v>UNAV</v>
          </cell>
          <cell r="F568" t="str">
            <v xml:space="preserve"> S</v>
          </cell>
          <cell r="G568">
            <v>36796.261805555558</v>
          </cell>
          <cell r="H568" t="str">
            <v>TVOL</v>
          </cell>
        </row>
        <row r="569">
          <cell r="A569">
            <v>26023</v>
          </cell>
          <cell r="B569" t="e">
            <v>#NAME?</v>
          </cell>
          <cell r="C569">
            <v>7038.4375</v>
          </cell>
          <cell r="D569" t="str">
            <v xml:space="preserve">   MCF</v>
          </cell>
          <cell r="E569" t="str">
            <v xml:space="preserve">    </v>
          </cell>
          <cell r="F569" t="str">
            <v xml:space="preserve"> S</v>
          </cell>
          <cell r="G569">
            <v>36796.261805555558</v>
          </cell>
          <cell r="H569" t="str">
            <v>TVOL</v>
          </cell>
        </row>
        <row r="570">
          <cell r="A570">
            <v>26025</v>
          </cell>
          <cell r="B570" t="e">
            <v>#NAME?</v>
          </cell>
          <cell r="C570">
            <v>0</v>
          </cell>
          <cell r="D570" t="str">
            <v xml:space="preserve">   MCF</v>
          </cell>
          <cell r="E570" t="str">
            <v xml:space="preserve">    </v>
          </cell>
          <cell r="F570" t="str">
            <v xml:space="preserve"> S</v>
          </cell>
          <cell r="G570">
            <v>36796.229166666664</v>
          </cell>
          <cell r="H570" t="str">
            <v>TVOL</v>
          </cell>
        </row>
        <row r="571">
          <cell r="A571">
            <v>26026</v>
          </cell>
          <cell r="B571" t="e">
            <v>#NAME?</v>
          </cell>
          <cell r="C571">
            <v>17719.75</v>
          </cell>
          <cell r="D571" t="str">
            <v xml:space="preserve">   MCF</v>
          </cell>
          <cell r="E571" t="str">
            <v xml:space="preserve">    </v>
          </cell>
          <cell r="F571" t="str">
            <v xml:space="preserve"> S</v>
          </cell>
          <cell r="G571">
            <v>36796.256249999999</v>
          </cell>
          <cell r="H571" t="str">
            <v>TVOL</v>
          </cell>
        </row>
        <row r="572">
          <cell r="A572">
            <v>26030</v>
          </cell>
          <cell r="B572" t="e">
            <v>#NAME?</v>
          </cell>
          <cell r="C572">
            <v>0</v>
          </cell>
          <cell r="D572" t="str">
            <v xml:space="preserve">   MCF</v>
          </cell>
          <cell r="E572" t="str">
            <v>UNAV</v>
          </cell>
          <cell r="F572" t="str">
            <v xml:space="preserve"> S</v>
          </cell>
          <cell r="G572">
            <v>36796.261805555558</v>
          </cell>
          <cell r="H572" t="str">
            <v>TVOL</v>
          </cell>
        </row>
        <row r="573">
          <cell r="A573">
            <v>26032</v>
          </cell>
          <cell r="B573" t="e">
            <v>#NAME?</v>
          </cell>
          <cell r="C573">
            <v>0</v>
          </cell>
          <cell r="D573" t="str">
            <v xml:space="preserve">   MCF</v>
          </cell>
          <cell r="E573" t="str">
            <v>UNAV</v>
          </cell>
          <cell r="F573" t="str">
            <v xml:space="preserve"> S</v>
          </cell>
          <cell r="G573">
            <v>36796.261805555558</v>
          </cell>
          <cell r="H573" t="str">
            <v>TVOL</v>
          </cell>
        </row>
        <row r="574">
          <cell r="A574">
            <v>26033</v>
          </cell>
          <cell r="B574" t="e">
            <v>#NAME?</v>
          </cell>
          <cell r="C574">
            <v>10959.126</v>
          </cell>
          <cell r="D574" t="str">
            <v xml:space="preserve">   MCF</v>
          </cell>
          <cell r="E574" t="str">
            <v xml:space="preserve">    </v>
          </cell>
          <cell r="F574" t="str">
            <v xml:space="preserve"> S</v>
          </cell>
          <cell r="G574">
            <v>36796.261805555558</v>
          </cell>
          <cell r="H574" t="str">
            <v>TVOL</v>
          </cell>
        </row>
        <row r="575">
          <cell r="A575">
            <v>26034</v>
          </cell>
          <cell r="B575" t="e">
            <v>#NAME?</v>
          </cell>
          <cell r="C575">
            <v>0</v>
          </cell>
          <cell r="D575" t="str">
            <v xml:space="preserve">   MCF</v>
          </cell>
          <cell r="E575" t="str">
            <v>UNAV</v>
          </cell>
          <cell r="F575" t="str">
            <v xml:space="preserve"> S</v>
          </cell>
          <cell r="G575">
            <v>36796.261805555558</v>
          </cell>
          <cell r="H575" t="str">
            <v>TVOL</v>
          </cell>
        </row>
        <row r="576">
          <cell r="A576">
            <v>26035</v>
          </cell>
          <cell r="B576" t="e">
            <v>#NAME?</v>
          </cell>
          <cell r="C576">
            <v>36079.007799999999</v>
          </cell>
          <cell r="D576" t="str">
            <v xml:space="preserve">   MCF</v>
          </cell>
          <cell r="E576" t="str">
            <v xml:space="preserve">    </v>
          </cell>
          <cell r="F576" t="str">
            <v xml:space="preserve"> S</v>
          </cell>
          <cell r="G576">
            <v>36796.259722222225</v>
          </cell>
          <cell r="H576" t="str">
            <v>TVOL</v>
          </cell>
        </row>
        <row r="577">
          <cell r="A577">
            <v>26037</v>
          </cell>
          <cell r="B577" t="e">
            <v>#NAME?</v>
          </cell>
          <cell r="C577">
            <v>0</v>
          </cell>
          <cell r="D577" t="str">
            <v xml:space="preserve">   MCF</v>
          </cell>
          <cell r="E577" t="str">
            <v>UNAV</v>
          </cell>
          <cell r="F577" t="str">
            <v xml:space="preserve"> S</v>
          </cell>
          <cell r="G577">
            <v>36796.261805555558</v>
          </cell>
          <cell r="H577" t="str">
            <v>TVOL</v>
          </cell>
        </row>
        <row r="578">
          <cell r="A578">
            <v>26038</v>
          </cell>
          <cell r="B578" t="e">
            <v>#NAME?</v>
          </cell>
          <cell r="C578">
            <v>0</v>
          </cell>
          <cell r="D578" t="str">
            <v xml:space="preserve">   MCF</v>
          </cell>
          <cell r="E578" t="str">
            <v>UNAV</v>
          </cell>
          <cell r="F578" t="str">
            <v xml:space="preserve"> S</v>
          </cell>
          <cell r="G578">
            <v>36796.261805555558</v>
          </cell>
          <cell r="H578" t="str">
            <v>TVOL</v>
          </cell>
        </row>
        <row r="579">
          <cell r="A579">
            <v>26039</v>
          </cell>
          <cell r="B579" t="e">
            <v>#NAME?</v>
          </cell>
          <cell r="C579">
            <v>0</v>
          </cell>
          <cell r="D579" t="str">
            <v xml:space="preserve">   MCF</v>
          </cell>
          <cell r="E579" t="str">
            <v>UNAV</v>
          </cell>
          <cell r="F579" t="str">
            <v xml:space="preserve"> S</v>
          </cell>
          <cell r="G579">
            <v>36796.261805555558</v>
          </cell>
          <cell r="H579" t="str">
            <v>TVOL</v>
          </cell>
        </row>
        <row r="580">
          <cell r="A580">
            <v>26040</v>
          </cell>
          <cell r="B580" t="e">
            <v>#NAME?</v>
          </cell>
          <cell r="C580">
            <v>0</v>
          </cell>
          <cell r="D580" t="str">
            <v xml:space="preserve">   MCF</v>
          </cell>
          <cell r="E580" t="str">
            <v>UNAV</v>
          </cell>
          <cell r="F580" t="str">
            <v xml:space="preserve"> S</v>
          </cell>
          <cell r="G580">
            <v>36796.261805555558</v>
          </cell>
          <cell r="H580" t="str">
            <v>TVOL</v>
          </cell>
        </row>
        <row r="581">
          <cell r="A581">
            <v>26042</v>
          </cell>
          <cell r="B581" t="e">
            <v>#NAME?</v>
          </cell>
          <cell r="C581">
            <v>0</v>
          </cell>
          <cell r="D581" t="str">
            <v xml:space="preserve">   MCF</v>
          </cell>
          <cell r="E581" t="str">
            <v>UNAV</v>
          </cell>
          <cell r="F581" t="str">
            <v xml:space="preserve"> S</v>
          </cell>
          <cell r="G581">
            <v>36796.261805555558</v>
          </cell>
          <cell r="H581" t="str">
            <v>TVOL</v>
          </cell>
        </row>
        <row r="582">
          <cell r="A582">
            <v>26043</v>
          </cell>
          <cell r="B582" t="e">
            <v>#NAME?</v>
          </cell>
          <cell r="C582">
            <v>0</v>
          </cell>
          <cell r="D582" t="str">
            <v xml:space="preserve">   MCF</v>
          </cell>
          <cell r="E582" t="str">
            <v>UNAV</v>
          </cell>
          <cell r="F582" t="str">
            <v xml:space="preserve"> S</v>
          </cell>
          <cell r="G582">
            <v>36796.261805555558</v>
          </cell>
          <cell r="H582" t="str">
            <v>TVOL</v>
          </cell>
        </row>
        <row r="583">
          <cell r="A583">
            <v>26044</v>
          </cell>
          <cell r="B583" t="e">
            <v>#NAME?</v>
          </cell>
          <cell r="C583">
            <v>0</v>
          </cell>
          <cell r="D583" t="str">
            <v xml:space="preserve">   MCF</v>
          </cell>
          <cell r="E583" t="str">
            <v xml:space="preserve">    </v>
          </cell>
          <cell r="F583" t="str">
            <v xml:space="preserve"> S</v>
          </cell>
          <cell r="G583">
            <v>36796.255555555559</v>
          </cell>
          <cell r="H583" t="str">
            <v>TVOL</v>
          </cell>
        </row>
        <row r="584">
          <cell r="A584">
            <v>26045</v>
          </cell>
          <cell r="B584" t="e">
            <v>#NAME?</v>
          </cell>
          <cell r="C584">
            <v>3960.7983399999998</v>
          </cell>
          <cell r="D584" t="str">
            <v xml:space="preserve">   MCF</v>
          </cell>
          <cell r="E584" t="str">
            <v xml:space="preserve">    </v>
          </cell>
          <cell r="F584" t="str">
            <v xml:space="preserve"> S</v>
          </cell>
          <cell r="G584">
            <v>36796.256944444445</v>
          </cell>
          <cell r="H584" t="str">
            <v>TVOL</v>
          </cell>
        </row>
        <row r="585">
          <cell r="A585">
            <v>26046</v>
          </cell>
          <cell r="B585" t="e">
            <v>#NAME?</v>
          </cell>
          <cell r="C585">
            <v>0</v>
          </cell>
          <cell r="D585" t="str">
            <v xml:space="preserve">   MCF</v>
          </cell>
          <cell r="E585" t="str">
            <v xml:space="preserve">    </v>
          </cell>
          <cell r="F585" t="str">
            <v xml:space="preserve"> S</v>
          </cell>
          <cell r="G585">
            <v>36796.261805555558</v>
          </cell>
          <cell r="H585" t="str">
            <v>TVOL</v>
          </cell>
        </row>
        <row r="586">
          <cell r="A586">
            <v>26049</v>
          </cell>
          <cell r="B586" t="e">
            <v>#NAME?</v>
          </cell>
          <cell r="C586">
            <v>0</v>
          </cell>
          <cell r="D586" t="str">
            <v xml:space="preserve">   MCF</v>
          </cell>
          <cell r="E586" t="str">
            <v xml:space="preserve">    </v>
          </cell>
          <cell r="F586" t="str">
            <v xml:space="preserve"> S</v>
          </cell>
          <cell r="G586">
            <v>36796.255555555559</v>
          </cell>
          <cell r="H586" t="str">
            <v>TVOL</v>
          </cell>
        </row>
        <row r="587">
          <cell r="A587">
            <v>26050</v>
          </cell>
          <cell r="B587" t="e">
            <v>#NAME?</v>
          </cell>
          <cell r="C587">
            <v>0</v>
          </cell>
          <cell r="D587" t="str">
            <v xml:space="preserve">   MCF</v>
          </cell>
          <cell r="E587" t="str">
            <v>UNAV</v>
          </cell>
          <cell r="F587" t="str">
            <v xml:space="preserve"> S</v>
          </cell>
          <cell r="G587">
            <v>36796.261805555558</v>
          </cell>
          <cell r="H587" t="str">
            <v>TVOL</v>
          </cell>
        </row>
        <row r="588">
          <cell r="A588">
            <v>26051</v>
          </cell>
          <cell r="B588" t="e">
            <v>#NAME?</v>
          </cell>
          <cell r="C588">
            <v>0</v>
          </cell>
          <cell r="D588" t="str">
            <v xml:space="preserve">   MCF</v>
          </cell>
          <cell r="E588" t="str">
            <v>UNAV</v>
          </cell>
          <cell r="F588" t="str">
            <v xml:space="preserve"> S</v>
          </cell>
          <cell r="G588">
            <v>36796.261805555558</v>
          </cell>
          <cell r="H588" t="str">
            <v>TVOL</v>
          </cell>
        </row>
        <row r="589">
          <cell r="A589">
            <v>26055</v>
          </cell>
          <cell r="B589" t="e">
            <v>#NAME?</v>
          </cell>
          <cell r="C589">
            <v>0</v>
          </cell>
          <cell r="D589" t="str">
            <v xml:space="preserve">   MCF</v>
          </cell>
          <cell r="E589" t="str">
            <v>COMM</v>
          </cell>
          <cell r="F589" t="str">
            <v xml:space="preserve"> S</v>
          </cell>
          <cell r="G589">
            <v>36795.476388888892</v>
          </cell>
          <cell r="H589" t="str">
            <v>TVOL</v>
          </cell>
        </row>
        <row r="590">
          <cell r="A590">
            <v>26056</v>
          </cell>
          <cell r="B590" t="e">
            <v>#NAME?</v>
          </cell>
          <cell r="C590">
            <v>0</v>
          </cell>
          <cell r="D590" t="str">
            <v xml:space="preserve">   MCF</v>
          </cell>
          <cell r="E590" t="str">
            <v>UNAV</v>
          </cell>
          <cell r="F590" t="str">
            <v xml:space="preserve"> S</v>
          </cell>
          <cell r="G590">
            <v>36796.261805555558</v>
          </cell>
          <cell r="H590" t="str">
            <v>TVOL</v>
          </cell>
        </row>
        <row r="591">
          <cell r="A591">
            <v>26058</v>
          </cell>
          <cell r="B591" t="e">
            <v>#NAME?</v>
          </cell>
          <cell r="C591">
            <v>6386.2343799999999</v>
          </cell>
          <cell r="D591" t="str">
            <v xml:space="preserve">   MCF</v>
          </cell>
          <cell r="E591" t="str">
            <v xml:space="preserve">    </v>
          </cell>
          <cell r="F591" t="str">
            <v xml:space="preserve"> S</v>
          </cell>
          <cell r="G591">
            <v>36796.255555555559</v>
          </cell>
          <cell r="H591" t="str">
            <v>TVOL</v>
          </cell>
        </row>
        <row r="592">
          <cell r="A592">
            <v>26059</v>
          </cell>
          <cell r="B592" t="e">
            <v>#NAME?</v>
          </cell>
          <cell r="C592">
            <v>15370.0234</v>
          </cell>
          <cell r="D592" t="str">
            <v xml:space="preserve">   MCF</v>
          </cell>
          <cell r="E592" t="str">
            <v xml:space="preserve">    </v>
          </cell>
          <cell r="F592" t="str">
            <v xml:space="preserve"> S</v>
          </cell>
          <cell r="G592">
            <v>36796.255555555559</v>
          </cell>
          <cell r="H592" t="str">
            <v>TVOL</v>
          </cell>
        </row>
        <row r="593">
          <cell r="A593">
            <v>26061</v>
          </cell>
          <cell r="B593" t="e">
            <v>#NAME?</v>
          </cell>
          <cell r="C593">
            <v>0</v>
          </cell>
          <cell r="D593" t="str">
            <v xml:space="preserve">   MCF</v>
          </cell>
          <cell r="E593" t="str">
            <v>UNAV</v>
          </cell>
          <cell r="F593" t="str">
            <v xml:space="preserve"> S</v>
          </cell>
          <cell r="G593">
            <v>36796.261805555558</v>
          </cell>
          <cell r="H593" t="str">
            <v>TVOL</v>
          </cell>
        </row>
        <row r="594">
          <cell r="A594">
            <v>26063</v>
          </cell>
          <cell r="B594" t="e">
            <v>#NAME?</v>
          </cell>
          <cell r="C594">
            <v>0</v>
          </cell>
          <cell r="D594" t="str">
            <v xml:space="preserve">   MCF</v>
          </cell>
          <cell r="E594" t="str">
            <v>UNAV</v>
          </cell>
          <cell r="F594" t="str">
            <v xml:space="preserve"> S</v>
          </cell>
          <cell r="G594">
            <v>36796.261805555558</v>
          </cell>
          <cell r="H594" t="str">
            <v>TVOL</v>
          </cell>
        </row>
        <row r="595">
          <cell r="A595">
            <v>26065</v>
          </cell>
          <cell r="B595" t="e">
            <v>#NAME?</v>
          </cell>
          <cell r="C595">
            <v>0</v>
          </cell>
          <cell r="D595" t="str">
            <v xml:space="preserve">   MCF</v>
          </cell>
          <cell r="E595" t="str">
            <v>UNAV</v>
          </cell>
          <cell r="F595" t="str">
            <v xml:space="preserve"> S</v>
          </cell>
          <cell r="G595">
            <v>36796.261805555558</v>
          </cell>
          <cell r="H595" t="str">
            <v>TVOL</v>
          </cell>
        </row>
        <row r="596">
          <cell r="A596">
            <v>26068</v>
          </cell>
          <cell r="B596" t="e">
            <v>#NAME?</v>
          </cell>
          <cell r="C596">
            <v>0</v>
          </cell>
          <cell r="D596" t="str">
            <v xml:space="preserve">   MCF</v>
          </cell>
          <cell r="E596" t="str">
            <v>UNAV</v>
          </cell>
          <cell r="F596" t="str">
            <v xml:space="preserve"> S</v>
          </cell>
          <cell r="G596">
            <v>36796.261805555558</v>
          </cell>
          <cell r="H596" t="str">
            <v>TVOL</v>
          </cell>
        </row>
        <row r="597">
          <cell r="A597">
            <v>26069</v>
          </cell>
          <cell r="B597" t="e">
            <v>#NAME?</v>
          </cell>
          <cell r="C597">
            <v>0</v>
          </cell>
          <cell r="D597" t="str">
            <v xml:space="preserve">   MCF</v>
          </cell>
          <cell r="E597" t="str">
            <v>COMM</v>
          </cell>
          <cell r="F597" t="str">
            <v xml:space="preserve"> S</v>
          </cell>
          <cell r="G597">
            <v>36795.410416666666</v>
          </cell>
          <cell r="H597" t="str">
            <v>TVOL</v>
          </cell>
        </row>
        <row r="598">
          <cell r="A598">
            <v>26070</v>
          </cell>
          <cell r="B598" t="e">
            <v>#NAME?</v>
          </cell>
          <cell r="C598">
            <v>0</v>
          </cell>
          <cell r="D598" t="str">
            <v xml:space="preserve">   MCF</v>
          </cell>
          <cell r="E598" t="str">
            <v>UNAV</v>
          </cell>
          <cell r="F598" t="str">
            <v xml:space="preserve"> S</v>
          </cell>
          <cell r="G598">
            <v>36796.261805555558</v>
          </cell>
          <cell r="H598" t="str">
            <v>TVOL</v>
          </cell>
        </row>
        <row r="599">
          <cell r="A599">
            <v>26071</v>
          </cell>
          <cell r="B599" t="e">
            <v>#NAME?</v>
          </cell>
          <cell r="C599">
            <v>0</v>
          </cell>
          <cell r="D599" t="str">
            <v xml:space="preserve">   MCF</v>
          </cell>
          <cell r="E599" t="str">
            <v xml:space="preserve">    </v>
          </cell>
          <cell r="F599" t="str">
            <v xml:space="preserve"> S</v>
          </cell>
          <cell r="G599">
            <v>36796.256944444445</v>
          </cell>
          <cell r="H599" t="str">
            <v>TVOL</v>
          </cell>
        </row>
        <row r="600">
          <cell r="A600">
            <v>26073</v>
          </cell>
          <cell r="B600" t="e">
            <v>#NAME?</v>
          </cell>
          <cell r="C600">
            <v>16367.834000000001</v>
          </cell>
          <cell r="D600" t="str">
            <v xml:space="preserve">   MCF</v>
          </cell>
          <cell r="E600" t="str">
            <v xml:space="preserve">    </v>
          </cell>
          <cell r="F600" t="str">
            <v xml:space="preserve"> S</v>
          </cell>
          <cell r="G600">
            <v>36796.256249999999</v>
          </cell>
          <cell r="H600" t="str">
            <v>TVOL</v>
          </cell>
        </row>
        <row r="601">
          <cell r="A601">
            <v>26075</v>
          </cell>
          <cell r="B601" t="e">
            <v>#NAME?</v>
          </cell>
          <cell r="C601">
            <v>0</v>
          </cell>
          <cell r="D601" t="str">
            <v xml:space="preserve">   MCF</v>
          </cell>
          <cell r="E601" t="str">
            <v>UNAV</v>
          </cell>
          <cell r="F601" t="str">
            <v xml:space="preserve"> S</v>
          </cell>
          <cell r="G601">
            <v>36796.261805555558</v>
          </cell>
          <cell r="H601" t="str">
            <v>TVOL</v>
          </cell>
        </row>
        <row r="602">
          <cell r="A602">
            <v>26076</v>
          </cell>
          <cell r="B602" t="e">
            <v>#NAME?</v>
          </cell>
          <cell r="C602">
            <v>0</v>
          </cell>
          <cell r="D602" t="str">
            <v xml:space="preserve">   MCF</v>
          </cell>
          <cell r="E602" t="str">
            <v>UNAV</v>
          </cell>
          <cell r="F602" t="str">
            <v xml:space="preserve"> S</v>
          </cell>
          <cell r="G602">
            <v>36796.261805555558</v>
          </cell>
          <cell r="H602" t="str">
            <v>TVOL</v>
          </cell>
        </row>
        <row r="603">
          <cell r="A603">
            <v>26077</v>
          </cell>
          <cell r="B603" t="e">
            <v>#NAME?</v>
          </cell>
          <cell r="C603">
            <v>0</v>
          </cell>
          <cell r="D603" t="str">
            <v xml:space="preserve">   MCF</v>
          </cell>
          <cell r="E603" t="str">
            <v>COMM</v>
          </cell>
          <cell r="F603" t="str">
            <v xml:space="preserve"> S</v>
          </cell>
          <cell r="G603">
            <v>36795.369444444441</v>
          </cell>
          <cell r="H603" t="str">
            <v>TVOL</v>
          </cell>
        </row>
        <row r="604">
          <cell r="A604">
            <v>26077</v>
          </cell>
          <cell r="B604" t="e">
            <v>#NAME?</v>
          </cell>
          <cell r="C604">
            <v>0</v>
          </cell>
          <cell r="D604" t="str">
            <v xml:space="preserve">   MCF</v>
          </cell>
          <cell r="E604" t="str">
            <v>COMM</v>
          </cell>
          <cell r="F604" t="str">
            <v xml:space="preserve"> S</v>
          </cell>
          <cell r="G604">
            <v>36795.369444444441</v>
          </cell>
          <cell r="H604" t="str">
            <v>TVOL</v>
          </cell>
        </row>
        <row r="605">
          <cell r="A605">
            <v>26079</v>
          </cell>
          <cell r="B605" t="e">
            <v>#NAME?</v>
          </cell>
          <cell r="C605">
            <v>19168.228500000001</v>
          </cell>
          <cell r="D605" t="str">
            <v xml:space="preserve">   MCF</v>
          </cell>
          <cell r="E605" t="str">
            <v xml:space="preserve">    </v>
          </cell>
          <cell r="F605" t="str">
            <v xml:space="preserve"> S</v>
          </cell>
          <cell r="G605">
            <v>36796.256249999999</v>
          </cell>
          <cell r="H605" t="str">
            <v>TVOL</v>
          </cell>
        </row>
        <row r="606">
          <cell r="A606">
            <v>26080</v>
          </cell>
          <cell r="B606" t="e">
            <v>#NAME?</v>
          </cell>
          <cell r="C606">
            <v>11551.8604</v>
          </cell>
          <cell r="D606" t="str">
            <v xml:space="preserve">   MCF</v>
          </cell>
          <cell r="E606" t="str">
            <v xml:space="preserve">    </v>
          </cell>
          <cell r="F606" t="str">
            <v xml:space="preserve"> S</v>
          </cell>
          <cell r="G606">
            <v>36796.256249999999</v>
          </cell>
          <cell r="H606" t="str">
            <v>TVOL</v>
          </cell>
        </row>
        <row r="607">
          <cell r="A607">
            <v>26081</v>
          </cell>
          <cell r="B607" t="e">
            <v>#NAME?</v>
          </cell>
          <cell r="C607">
            <v>7907.9209000000001</v>
          </cell>
          <cell r="D607" t="str">
            <v xml:space="preserve">   MCF</v>
          </cell>
          <cell r="E607" t="str">
            <v xml:space="preserve">    </v>
          </cell>
          <cell r="F607" t="str">
            <v xml:space="preserve"> S</v>
          </cell>
          <cell r="G607">
            <v>36796.256249999999</v>
          </cell>
          <cell r="H607" t="str">
            <v>TVOL</v>
          </cell>
        </row>
        <row r="608">
          <cell r="A608">
            <v>26082</v>
          </cell>
          <cell r="B608" t="e">
            <v>#NAME?</v>
          </cell>
          <cell r="C608">
            <v>0</v>
          </cell>
          <cell r="D608" t="str">
            <v xml:space="preserve">   MCF</v>
          </cell>
          <cell r="E608" t="str">
            <v xml:space="preserve">    </v>
          </cell>
          <cell r="F608" t="str">
            <v xml:space="preserve"> S</v>
          </cell>
          <cell r="G608">
            <v>36796.255555555559</v>
          </cell>
          <cell r="H608" t="str">
            <v>TVOL</v>
          </cell>
        </row>
        <row r="609">
          <cell r="A609">
            <v>26083</v>
          </cell>
          <cell r="B609" t="e">
            <v>#NAME?</v>
          </cell>
          <cell r="C609">
            <v>4342.0625</v>
          </cell>
          <cell r="D609" t="str">
            <v xml:space="preserve">   MCF</v>
          </cell>
          <cell r="E609" t="str">
            <v xml:space="preserve">    </v>
          </cell>
          <cell r="F609" t="str">
            <v xml:space="preserve"> S</v>
          </cell>
          <cell r="G609">
            <v>36796.260416666664</v>
          </cell>
          <cell r="H609" t="str">
            <v>TVOL</v>
          </cell>
        </row>
        <row r="610">
          <cell r="A610">
            <v>26084</v>
          </cell>
          <cell r="B610" t="e">
            <v>#NAME?</v>
          </cell>
          <cell r="C610">
            <v>9901.2626999999993</v>
          </cell>
          <cell r="D610" t="str">
            <v xml:space="preserve">   MCF</v>
          </cell>
          <cell r="E610" t="str">
            <v xml:space="preserve">    </v>
          </cell>
          <cell r="F610" t="str">
            <v xml:space="preserve"> S</v>
          </cell>
          <cell r="G610">
            <v>36796.255555555559</v>
          </cell>
          <cell r="H610" t="str">
            <v>TVOL</v>
          </cell>
        </row>
        <row r="611">
          <cell r="A611">
            <v>26085</v>
          </cell>
          <cell r="B611" t="e">
            <v>#NAME?</v>
          </cell>
          <cell r="C611">
            <v>0</v>
          </cell>
          <cell r="D611" t="str">
            <v xml:space="preserve">   MCF</v>
          </cell>
          <cell r="E611" t="str">
            <v>UNAV</v>
          </cell>
          <cell r="F611" t="str">
            <v xml:space="preserve"> S</v>
          </cell>
          <cell r="G611">
            <v>36796.261805555558</v>
          </cell>
          <cell r="H611" t="str">
            <v>TVOL</v>
          </cell>
        </row>
        <row r="612">
          <cell r="A612">
            <v>26088</v>
          </cell>
          <cell r="B612" t="e">
            <v>#NAME?</v>
          </cell>
          <cell r="C612">
            <v>25492.7988</v>
          </cell>
          <cell r="D612" t="str">
            <v xml:space="preserve">   MCF</v>
          </cell>
          <cell r="E612" t="str">
            <v xml:space="preserve">    </v>
          </cell>
          <cell r="F612" t="str">
            <v xml:space="preserve"> S</v>
          </cell>
          <cell r="G612">
            <v>36796.256249999999</v>
          </cell>
          <cell r="H612" t="str">
            <v>TVOL</v>
          </cell>
        </row>
        <row r="613">
          <cell r="A613">
            <v>26090</v>
          </cell>
          <cell r="B613" t="e">
            <v>#NAME?</v>
          </cell>
          <cell r="C613">
            <v>0</v>
          </cell>
          <cell r="D613" t="str">
            <v xml:space="preserve">   MCF</v>
          </cell>
          <cell r="E613" t="str">
            <v>UNAV</v>
          </cell>
          <cell r="F613" t="str">
            <v xml:space="preserve"> S</v>
          </cell>
          <cell r="G613">
            <v>36796.261805555558</v>
          </cell>
          <cell r="H613" t="str">
            <v>TVOL</v>
          </cell>
        </row>
        <row r="614">
          <cell r="A614">
            <v>26091</v>
          </cell>
          <cell r="B614" t="e">
            <v>#NAME?</v>
          </cell>
          <cell r="C614">
            <v>17060.835899999998</v>
          </cell>
          <cell r="D614" t="str">
            <v xml:space="preserve">   MCF</v>
          </cell>
          <cell r="E614" t="str">
            <v xml:space="preserve">    </v>
          </cell>
          <cell r="F614" t="str">
            <v xml:space="preserve"> S</v>
          </cell>
          <cell r="G614">
            <v>36796.256944444445</v>
          </cell>
          <cell r="H614" t="str">
            <v>TVOL</v>
          </cell>
        </row>
        <row r="615">
          <cell r="A615">
            <v>26092</v>
          </cell>
          <cell r="B615" t="e">
            <v>#NAME?</v>
          </cell>
          <cell r="C615">
            <v>0</v>
          </cell>
          <cell r="D615" t="str">
            <v xml:space="preserve">   MCF</v>
          </cell>
          <cell r="E615" t="str">
            <v>COMM</v>
          </cell>
          <cell r="F615" t="str">
            <v xml:space="preserve"> S</v>
          </cell>
          <cell r="G615">
            <v>36795.369444444441</v>
          </cell>
          <cell r="H615" t="str">
            <v>TVOL</v>
          </cell>
        </row>
        <row r="616">
          <cell r="A616">
            <v>26093</v>
          </cell>
          <cell r="B616" t="e">
            <v>#NAME?</v>
          </cell>
          <cell r="C616">
            <v>0</v>
          </cell>
          <cell r="D616" t="str">
            <v xml:space="preserve">   MCF</v>
          </cell>
          <cell r="E616" t="str">
            <v xml:space="preserve">    </v>
          </cell>
          <cell r="F616" t="str">
            <v xml:space="preserve"> S</v>
          </cell>
          <cell r="G616">
            <v>36796.256249999999</v>
          </cell>
          <cell r="H616" t="str">
            <v>TVOL</v>
          </cell>
        </row>
        <row r="617">
          <cell r="A617">
            <v>26095</v>
          </cell>
          <cell r="B617" t="e">
            <v>#NAME?</v>
          </cell>
          <cell r="C617">
            <v>0</v>
          </cell>
          <cell r="D617" t="str">
            <v xml:space="preserve">   MCF</v>
          </cell>
          <cell r="E617" t="str">
            <v>UNAV</v>
          </cell>
          <cell r="F617" t="str">
            <v xml:space="preserve"> S</v>
          </cell>
          <cell r="G617">
            <v>36796.261805555558</v>
          </cell>
          <cell r="H617" t="str">
            <v>TVOL</v>
          </cell>
        </row>
        <row r="618">
          <cell r="A618">
            <v>26098</v>
          </cell>
          <cell r="B618" t="e">
            <v>#NAME?</v>
          </cell>
          <cell r="C618">
            <v>0</v>
          </cell>
          <cell r="D618" t="str">
            <v xml:space="preserve">   MCF</v>
          </cell>
          <cell r="E618" t="str">
            <v>UNAV</v>
          </cell>
          <cell r="F618" t="str">
            <v xml:space="preserve"> S</v>
          </cell>
          <cell r="G618">
            <v>36796.261805555558</v>
          </cell>
          <cell r="H618" t="str">
            <v>TVOL</v>
          </cell>
        </row>
        <row r="619">
          <cell r="A619">
            <v>26099</v>
          </cell>
          <cell r="B619" t="e">
            <v>#NAME?</v>
          </cell>
          <cell r="C619">
            <v>0</v>
          </cell>
          <cell r="D619" t="str">
            <v xml:space="preserve">   MCF</v>
          </cell>
          <cell r="E619" t="str">
            <v>UNAV</v>
          </cell>
          <cell r="F619" t="str">
            <v xml:space="preserve"> S</v>
          </cell>
          <cell r="G619">
            <v>36796.261805555558</v>
          </cell>
          <cell r="H619" t="str">
            <v>TVOL</v>
          </cell>
        </row>
        <row r="620">
          <cell r="A620">
            <v>26101</v>
          </cell>
          <cell r="B620" t="e">
            <v>#NAME?</v>
          </cell>
          <cell r="C620">
            <v>0</v>
          </cell>
          <cell r="D620" t="str">
            <v xml:space="preserve">   MCF</v>
          </cell>
          <cell r="E620" t="str">
            <v xml:space="preserve">    </v>
          </cell>
          <cell r="F620" t="str">
            <v xml:space="preserve"> S</v>
          </cell>
          <cell r="G620">
            <v>36796.260416666664</v>
          </cell>
          <cell r="H620" t="str">
            <v>TVOL</v>
          </cell>
        </row>
        <row r="621">
          <cell r="A621">
            <v>26102</v>
          </cell>
          <cell r="B621" t="e">
            <v>#NAME?</v>
          </cell>
          <cell r="C621">
            <v>0</v>
          </cell>
          <cell r="D621" t="str">
            <v xml:space="preserve">   MCF</v>
          </cell>
          <cell r="E621" t="str">
            <v>UNAV</v>
          </cell>
          <cell r="F621" t="str">
            <v xml:space="preserve"> S</v>
          </cell>
          <cell r="G621">
            <v>36796.261805555558</v>
          </cell>
          <cell r="H621" t="str">
            <v>TVOL</v>
          </cell>
        </row>
        <row r="622">
          <cell r="A622">
            <v>26106</v>
          </cell>
          <cell r="B622" t="e">
            <v>#NAME?</v>
          </cell>
          <cell r="C622">
            <v>48662.582000000002</v>
          </cell>
          <cell r="D622" t="str">
            <v xml:space="preserve">   MCF</v>
          </cell>
          <cell r="E622" t="str">
            <v xml:space="preserve">    </v>
          </cell>
          <cell r="F622" t="str">
            <v xml:space="preserve"> S</v>
          </cell>
          <cell r="G622">
            <v>36796.259722222225</v>
          </cell>
          <cell r="H622" t="str">
            <v>TVOL</v>
          </cell>
        </row>
        <row r="623">
          <cell r="A623">
            <v>26107</v>
          </cell>
          <cell r="B623" t="e">
            <v>#NAME?</v>
          </cell>
          <cell r="C623">
            <v>0</v>
          </cell>
          <cell r="D623" t="str">
            <v xml:space="preserve">   MCF</v>
          </cell>
          <cell r="E623" t="str">
            <v xml:space="preserve">    </v>
          </cell>
          <cell r="F623" t="str">
            <v xml:space="preserve"> S</v>
          </cell>
          <cell r="G623">
            <v>36796.255555555559</v>
          </cell>
          <cell r="H623" t="str">
            <v>TVOL</v>
          </cell>
        </row>
        <row r="624">
          <cell r="A624">
            <v>26108</v>
          </cell>
          <cell r="B624" t="e">
            <v>#NAME?</v>
          </cell>
          <cell r="C624">
            <v>0</v>
          </cell>
          <cell r="D624" t="str">
            <v xml:space="preserve">   MCF</v>
          </cell>
          <cell r="E624" t="str">
            <v>UNAV</v>
          </cell>
          <cell r="F624" t="str">
            <v xml:space="preserve"> S</v>
          </cell>
          <cell r="G624">
            <v>36796.261805555558</v>
          </cell>
          <cell r="H624" t="str">
            <v>TVOL</v>
          </cell>
        </row>
        <row r="625">
          <cell r="A625">
            <v>26109</v>
          </cell>
          <cell r="B625" t="e">
            <v>#NAME?</v>
          </cell>
          <cell r="C625">
            <v>0</v>
          </cell>
          <cell r="D625" t="str">
            <v xml:space="preserve">   MCF</v>
          </cell>
          <cell r="E625" t="str">
            <v>UNAV</v>
          </cell>
          <cell r="F625" t="str">
            <v xml:space="preserve"> S</v>
          </cell>
          <cell r="G625">
            <v>36796.261805555558</v>
          </cell>
          <cell r="H625" t="str">
            <v>TVOL</v>
          </cell>
        </row>
        <row r="626">
          <cell r="A626">
            <v>26113</v>
          </cell>
          <cell r="B626" t="e">
            <v>#NAME?</v>
          </cell>
          <cell r="C626">
            <v>0</v>
          </cell>
          <cell r="D626" t="str">
            <v xml:space="preserve">   MCF</v>
          </cell>
          <cell r="E626" t="str">
            <v>UNAV</v>
          </cell>
          <cell r="F626" t="str">
            <v xml:space="preserve"> S</v>
          </cell>
          <cell r="G626">
            <v>36796.261805555558</v>
          </cell>
          <cell r="H626" t="str">
            <v>TVOL</v>
          </cell>
        </row>
        <row r="627">
          <cell r="A627">
            <v>26114</v>
          </cell>
          <cell r="B627" t="e">
            <v>#NAME?</v>
          </cell>
          <cell r="C627">
            <v>6775.8671899999999</v>
          </cell>
          <cell r="D627" t="str">
            <v xml:space="preserve">   MCF</v>
          </cell>
          <cell r="E627" t="str">
            <v xml:space="preserve">    </v>
          </cell>
          <cell r="F627" t="str">
            <v xml:space="preserve"> S</v>
          </cell>
          <cell r="G627">
            <v>36796.252083333333</v>
          </cell>
          <cell r="H627" t="str">
            <v>TVOL</v>
          </cell>
        </row>
        <row r="628">
          <cell r="A628">
            <v>26116</v>
          </cell>
          <cell r="B628" t="e">
            <v>#NAME?</v>
          </cell>
          <cell r="C628">
            <v>0</v>
          </cell>
          <cell r="D628" t="str">
            <v xml:space="preserve">   MCF</v>
          </cell>
          <cell r="E628" t="str">
            <v>UNAV</v>
          </cell>
          <cell r="F628" t="str">
            <v xml:space="preserve"> S</v>
          </cell>
          <cell r="G628">
            <v>36796.261805555558</v>
          </cell>
          <cell r="H628" t="str">
            <v>TVOL</v>
          </cell>
        </row>
        <row r="629">
          <cell r="A629">
            <v>26118</v>
          </cell>
          <cell r="B629" t="e">
            <v>#NAME?</v>
          </cell>
          <cell r="C629">
            <v>0</v>
          </cell>
          <cell r="D629" t="str">
            <v xml:space="preserve">   MCF</v>
          </cell>
          <cell r="E629" t="str">
            <v>UNAV</v>
          </cell>
          <cell r="F629" t="str">
            <v xml:space="preserve"> S</v>
          </cell>
          <cell r="G629">
            <v>36796.261805555558</v>
          </cell>
          <cell r="H629" t="str">
            <v>TVOL</v>
          </cell>
        </row>
        <row r="630">
          <cell r="A630">
            <v>26120</v>
          </cell>
          <cell r="B630" t="e">
            <v>#NAME?</v>
          </cell>
          <cell r="C630">
            <v>0</v>
          </cell>
          <cell r="D630" t="str">
            <v xml:space="preserve">   MCF</v>
          </cell>
          <cell r="E630" t="str">
            <v>UNAV</v>
          </cell>
          <cell r="F630" t="str">
            <v xml:space="preserve"> S</v>
          </cell>
          <cell r="G630">
            <v>36796.261805555558</v>
          </cell>
          <cell r="H630" t="str">
            <v>TVOL</v>
          </cell>
        </row>
        <row r="631">
          <cell r="A631">
            <v>26123</v>
          </cell>
          <cell r="B631" t="e">
            <v>#NAME?</v>
          </cell>
          <cell r="C631">
            <v>0</v>
          </cell>
          <cell r="D631" t="str">
            <v xml:space="preserve">   MCF</v>
          </cell>
          <cell r="E631" t="str">
            <v xml:space="preserve">    </v>
          </cell>
          <cell r="F631" t="str">
            <v xml:space="preserve"> S</v>
          </cell>
          <cell r="G631">
            <v>36796.261111111111</v>
          </cell>
          <cell r="H631" t="str">
            <v>TVOL</v>
          </cell>
        </row>
        <row r="632">
          <cell r="A632">
            <v>26124</v>
          </cell>
          <cell r="B632" t="e">
            <v>#NAME?</v>
          </cell>
          <cell r="C632">
            <v>6690.89941</v>
          </cell>
          <cell r="D632" t="str">
            <v xml:space="preserve">   MCF</v>
          </cell>
          <cell r="E632" t="str">
            <v xml:space="preserve">    </v>
          </cell>
          <cell r="F632" t="str">
            <v xml:space="preserve"> S</v>
          </cell>
          <cell r="G632">
            <v>36796.260416666664</v>
          </cell>
          <cell r="H632" t="str">
            <v>TVOL</v>
          </cell>
        </row>
        <row r="633">
          <cell r="A633">
            <v>26126</v>
          </cell>
          <cell r="B633" t="e">
            <v>#NAME?</v>
          </cell>
          <cell r="C633">
            <v>36488.894500000002</v>
          </cell>
          <cell r="D633" t="str">
            <v xml:space="preserve">   MCF</v>
          </cell>
          <cell r="E633" t="str">
            <v xml:space="preserve">    </v>
          </cell>
          <cell r="F633" t="str">
            <v xml:space="preserve"> S</v>
          </cell>
          <cell r="G633">
            <v>36796.255555555559</v>
          </cell>
          <cell r="H633" t="str">
            <v>TVOL</v>
          </cell>
        </row>
        <row r="634">
          <cell r="A634">
            <v>26127</v>
          </cell>
          <cell r="B634" t="e">
            <v>#NAME?</v>
          </cell>
          <cell r="C634">
            <v>67769.929699999993</v>
          </cell>
          <cell r="D634" t="str">
            <v xml:space="preserve">   MCF</v>
          </cell>
          <cell r="E634" t="str">
            <v xml:space="preserve">    </v>
          </cell>
          <cell r="F634" t="str">
            <v xml:space="preserve"> S</v>
          </cell>
          <cell r="G634">
            <v>36796.255555555559</v>
          </cell>
          <cell r="H634" t="str">
            <v>TVOL</v>
          </cell>
        </row>
        <row r="635">
          <cell r="A635">
            <v>26129</v>
          </cell>
          <cell r="B635" t="e">
            <v>#NAME?</v>
          </cell>
          <cell r="C635">
            <v>50460.550799999997</v>
          </cell>
          <cell r="D635" t="str">
            <v xml:space="preserve">   MCF</v>
          </cell>
          <cell r="E635" t="str">
            <v xml:space="preserve">    </v>
          </cell>
          <cell r="F635" t="str">
            <v xml:space="preserve"> S</v>
          </cell>
          <cell r="G635">
            <v>36796.255555555559</v>
          </cell>
          <cell r="H635" t="str">
            <v>TVOL</v>
          </cell>
        </row>
        <row r="636">
          <cell r="A636">
            <v>26130</v>
          </cell>
          <cell r="B636" t="e">
            <v>#NAME?</v>
          </cell>
          <cell r="C636">
            <v>0</v>
          </cell>
          <cell r="D636" t="str">
            <v xml:space="preserve">   MCF</v>
          </cell>
          <cell r="E636" t="str">
            <v xml:space="preserve">    </v>
          </cell>
          <cell r="F636" t="str">
            <v xml:space="preserve"> S</v>
          </cell>
          <cell r="G636">
            <v>36796.255555555559</v>
          </cell>
          <cell r="H636" t="str">
            <v>TVOL</v>
          </cell>
        </row>
        <row r="637">
          <cell r="A637">
            <v>26131</v>
          </cell>
          <cell r="B637" t="e">
            <v>#NAME?</v>
          </cell>
          <cell r="C637">
            <v>0</v>
          </cell>
          <cell r="D637" t="str">
            <v xml:space="preserve">   MCF</v>
          </cell>
          <cell r="E637" t="str">
            <v>UNAV</v>
          </cell>
          <cell r="F637" t="str">
            <v xml:space="preserve"> S</v>
          </cell>
          <cell r="G637">
            <v>36796.261805555558</v>
          </cell>
          <cell r="H637" t="str">
            <v>TVOL</v>
          </cell>
        </row>
        <row r="638">
          <cell r="A638">
            <v>26133</v>
          </cell>
          <cell r="B638" t="e">
            <v>#NAME?</v>
          </cell>
          <cell r="C638">
            <v>0</v>
          </cell>
          <cell r="D638" t="str">
            <v xml:space="preserve">   MCF</v>
          </cell>
          <cell r="E638" t="str">
            <v>UNAV</v>
          </cell>
          <cell r="F638" t="str">
            <v xml:space="preserve"> S</v>
          </cell>
          <cell r="G638">
            <v>36796.261805555558</v>
          </cell>
          <cell r="H638" t="str">
            <v>TVOL</v>
          </cell>
        </row>
        <row r="639">
          <cell r="A639">
            <v>26135</v>
          </cell>
          <cell r="B639" t="e">
            <v>#NAME?</v>
          </cell>
          <cell r="C639">
            <v>246.023392</v>
          </cell>
          <cell r="D639" t="str">
            <v xml:space="preserve">   MCF</v>
          </cell>
          <cell r="E639" t="str">
            <v xml:space="preserve">    </v>
          </cell>
          <cell r="F639" t="str">
            <v xml:space="preserve"> S</v>
          </cell>
          <cell r="G639">
            <v>36796.256249999999</v>
          </cell>
          <cell r="H639" t="str">
            <v>TVOL</v>
          </cell>
        </row>
        <row r="640">
          <cell r="A640">
            <v>26136</v>
          </cell>
          <cell r="B640" t="e">
            <v>#NAME?</v>
          </cell>
          <cell r="C640">
            <v>0</v>
          </cell>
          <cell r="D640" t="str">
            <v xml:space="preserve">   MCF</v>
          </cell>
          <cell r="E640" t="str">
            <v xml:space="preserve">    </v>
          </cell>
          <cell r="F640" t="str">
            <v xml:space="preserve"> S</v>
          </cell>
          <cell r="G640">
            <v>36796.258333333331</v>
          </cell>
          <cell r="H640" t="str">
            <v>TVOL</v>
          </cell>
        </row>
        <row r="641">
          <cell r="A641">
            <v>26137</v>
          </cell>
          <cell r="B641" t="e">
            <v>#NAME?</v>
          </cell>
          <cell r="C641">
            <v>0</v>
          </cell>
          <cell r="D641" t="str">
            <v xml:space="preserve">   MCF</v>
          </cell>
          <cell r="E641" t="str">
            <v>UNAV</v>
          </cell>
          <cell r="F641" t="str">
            <v xml:space="preserve"> S</v>
          </cell>
          <cell r="G641">
            <v>36796.261805555558</v>
          </cell>
          <cell r="H641" t="str">
            <v>TVOL</v>
          </cell>
        </row>
        <row r="642">
          <cell r="A642">
            <v>26138</v>
          </cell>
          <cell r="B642" t="e">
            <v>#NAME?</v>
          </cell>
          <cell r="C642">
            <v>0</v>
          </cell>
          <cell r="D642" t="str">
            <v xml:space="preserve">   MCF</v>
          </cell>
          <cell r="E642" t="str">
            <v>UNAV</v>
          </cell>
          <cell r="F642" t="str">
            <v xml:space="preserve"> S</v>
          </cell>
          <cell r="G642">
            <v>36796.261805555558</v>
          </cell>
          <cell r="H642" t="str">
            <v>TVOL</v>
          </cell>
        </row>
        <row r="643">
          <cell r="A643">
            <v>26139</v>
          </cell>
          <cell r="B643" t="e">
            <v>#NAME?</v>
          </cell>
          <cell r="C643">
            <v>0</v>
          </cell>
          <cell r="D643" t="str">
            <v xml:space="preserve">   MCF</v>
          </cell>
          <cell r="E643" t="str">
            <v>UNAV</v>
          </cell>
          <cell r="F643" t="str">
            <v xml:space="preserve"> S</v>
          </cell>
          <cell r="G643">
            <v>36796.261805555558</v>
          </cell>
          <cell r="H643" t="str">
            <v>TVOL</v>
          </cell>
        </row>
        <row r="644">
          <cell r="A644">
            <v>26140</v>
          </cell>
          <cell r="B644" t="e">
            <v>#NAME?</v>
          </cell>
          <cell r="C644">
            <v>0</v>
          </cell>
          <cell r="D644" t="str">
            <v xml:space="preserve">   MCF</v>
          </cell>
          <cell r="E644" t="str">
            <v>UNAV</v>
          </cell>
          <cell r="F644" t="str">
            <v xml:space="preserve"> S</v>
          </cell>
          <cell r="G644">
            <v>36796.261805555558</v>
          </cell>
          <cell r="H644" t="str">
            <v>TVOL</v>
          </cell>
        </row>
        <row r="645">
          <cell r="A645">
            <v>26143</v>
          </cell>
          <cell r="B645" t="e">
            <v>#NAME?</v>
          </cell>
          <cell r="C645">
            <v>0</v>
          </cell>
          <cell r="D645" t="str">
            <v xml:space="preserve">   MCF</v>
          </cell>
          <cell r="E645" t="str">
            <v>UNAV</v>
          </cell>
          <cell r="F645" t="str">
            <v xml:space="preserve"> S</v>
          </cell>
          <cell r="G645">
            <v>36796.261805555558</v>
          </cell>
          <cell r="H645" t="str">
            <v>TVOL</v>
          </cell>
        </row>
        <row r="646">
          <cell r="A646">
            <v>26144</v>
          </cell>
          <cell r="B646" t="e">
            <v>#NAME?</v>
          </cell>
          <cell r="C646">
            <v>0</v>
          </cell>
          <cell r="D646" t="str">
            <v xml:space="preserve">   MCF</v>
          </cell>
          <cell r="E646" t="str">
            <v>UNAV</v>
          </cell>
          <cell r="F646" t="str">
            <v xml:space="preserve"> S</v>
          </cell>
          <cell r="G646">
            <v>36796.261805555558</v>
          </cell>
          <cell r="H646" t="str">
            <v>TVOL</v>
          </cell>
        </row>
        <row r="647">
          <cell r="A647">
            <v>26146</v>
          </cell>
          <cell r="B647" t="e">
            <v>#NAME?</v>
          </cell>
          <cell r="C647">
            <v>0</v>
          </cell>
          <cell r="D647" t="str">
            <v xml:space="preserve">   MCF</v>
          </cell>
          <cell r="E647" t="str">
            <v xml:space="preserve">    </v>
          </cell>
          <cell r="F647" t="str">
            <v xml:space="preserve"> S</v>
          </cell>
          <cell r="G647">
            <v>36796.259027777778</v>
          </cell>
          <cell r="H647" t="str">
            <v>TVOL</v>
          </cell>
        </row>
        <row r="648">
          <cell r="A648">
            <v>26147</v>
          </cell>
          <cell r="B648" t="e">
            <v>#NAME?</v>
          </cell>
          <cell r="C648">
            <v>0</v>
          </cell>
          <cell r="D648" t="str">
            <v xml:space="preserve">   MCF</v>
          </cell>
          <cell r="E648" t="str">
            <v xml:space="preserve">    </v>
          </cell>
          <cell r="F648" t="str">
            <v xml:space="preserve"> S</v>
          </cell>
          <cell r="G648">
            <v>36796.261111111111</v>
          </cell>
          <cell r="H648" t="str">
            <v>TVOL</v>
          </cell>
        </row>
        <row r="649">
          <cell r="A649">
            <v>26148</v>
          </cell>
          <cell r="B649" t="e">
            <v>#NAME?</v>
          </cell>
          <cell r="C649">
            <v>0</v>
          </cell>
          <cell r="D649" t="str">
            <v xml:space="preserve">   MCF</v>
          </cell>
          <cell r="E649" t="str">
            <v>UNAV</v>
          </cell>
          <cell r="F649" t="str">
            <v xml:space="preserve"> S</v>
          </cell>
          <cell r="G649">
            <v>36796.261805555558</v>
          </cell>
          <cell r="H649" t="str">
            <v>TVOL</v>
          </cell>
        </row>
        <row r="650">
          <cell r="A650">
            <v>26149</v>
          </cell>
          <cell r="B650" t="e">
            <v>#NAME?</v>
          </cell>
          <cell r="C650">
            <v>0</v>
          </cell>
          <cell r="D650" t="str">
            <v xml:space="preserve">   MCF</v>
          </cell>
          <cell r="E650" t="str">
            <v>UNAV</v>
          </cell>
          <cell r="F650" t="str">
            <v xml:space="preserve"> S</v>
          </cell>
          <cell r="G650">
            <v>36796.261805555558</v>
          </cell>
          <cell r="H650" t="str">
            <v>TVOL</v>
          </cell>
        </row>
        <row r="651">
          <cell r="A651">
            <v>26150</v>
          </cell>
          <cell r="B651" t="e">
            <v>#NAME?</v>
          </cell>
          <cell r="C651">
            <v>0</v>
          </cell>
          <cell r="D651" t="str">
            <v xml:space="preserve">   MCF</v>
          </cell>
          <cell r="E651" t="str">
            <v xml:space="preserve">    </v>
          </cell>
          <cell r="F651" t="str">
            <v xml:space="preserve"> S</v>
          </cell>
          <cell r="G651">
            <v>36796.257638888892</v>
          </cell>
          <cell r="H651" t="str">
            <v>TVOL</v>
          </cell>
        </row>
        <row r="652">
          <cell r="A652">
            <v>26151</v>
          </cell>
          <cell r="B652" t="e">
            <v>#NAME?</v>
          </cell>
          <cell r="C652">
            <v>0</v>
          </cell>
          <cell r="D652" t="str">
            <v xml:space="preserve">   MCF</v>
          </cell>
          <cell r="E652" t="str">
            <v>UNAV</v>
          </cell>
          <cell r="F652" t="str">
            <v xml:space="preserve"> S</v>
          </cell>
          <cell r="G652">
            <v>36796.261805555558</v>
          </cell>
          <cell r="H652" t="str">
            <v>TVOL</v>
          </cell>
        </row>
        <row r="653">
          <cell r="A653">
            <v>26152</v>
          </cell>
          <cell r="B653" t="e">
            <v>#NAME?</v>
          </cell>
          <cell r="C653">
            <v>0</v>
          </cell>
          <cell r="D653" t="str">
            <v xml:space="preserve">   MCF</v>
          </cell>
          <cell r="E653" t="str">
            <v>UNAV</v>
          </cell>
          <cell r="F653" t="str">
            <v xml:space="preserve"> S</v>
          </cell>
          <cell r="G653">
            <v>36796.261805555558</v>
          </cell>
          <cell r="H653" t="str">
            <v>TVOL</v>
          </cell>
        </row>
        <row r="654">
          <cell r="A654">
            <v>26153</v>
          </cell>
          <cell r="B654" t="e">
            <v>#NAME?</v>
          </cell>
          <cell r="C654">
            <v>36273.332000000002</v>
          </cell>
          <cell r="D654" t="str">
            <v xml:space="preserve">   MCF</v>
          </cell>
          <cell r="E654" t="str">
            <v xml:space="preserve">    </v>
          </cell>
          <cell r="F654" t="str">
            <v xml:space="preserve"> S</v>
          </cell>
          <cell r="G654">
            <v>36796.261805555558</v>
          </cell>
          <cell r="H654" t="str">
            <v>TVOL</v>
          </cell>
        </row>
        <row r="655">
          <cell r="A655">
            <v>26154</v>
          </cell>
          <cell r="B655" t="e">
            <v>#NAME?</v>
          </cell>
          <cell r="C655">
            <v>0</v>
          </cell>
          <cell r="D655" t="str">
            <v xml:space="preserve">   MCF</v>
          </cell>
          <cell r="E655" t="str">
            <v xml:space="preserve">    </v>
          </cell>
          <cell r="F655" t="str">
            <v xml:space="preserve"> S</v>
          </cell>
          <cell r="G655">
            <v>36796.256249999999</v>
          </cell>
          <cell r="H655" t="str">
            <v>TVOL</v>
          </cell>
        </row>
        <row r="656">
          <cell r="A656">
            <v>26155</v>
          </cell>
          <cell r="B656" t="e">
            <v>#NAME?</v>
          </cell>
          <cell r="C656">
            <v>0</v>
          </cell>
          <cell r="D656" t="str">
            <v xml:space="preserve">   MCF</v>
          </cell>
          <cell r="E656" t="str">
            <v>UNAV</v>
          </cell>
          <cell r="F656" t="str">
            <v xml:space="preserve"> S</v>
          </cell>
          <cell r="G656">
            <v>36796.261805555558</v>
          </cell>
          <cell r="H656" t="str">
            <v>TVOL</v>
          </cell>
        </row>
        <row r="657">
          <cell r="A657">
            <v>26156</v>
          </cell>
          <cell r="B657" t="e">
            <v>#NAME?</v>
          </cell>
          <cell r="C657">
            <v>0</v>
          </cell>
          <cell r="D657" t="str">
            <v xml:space="preserve">   MCF</v>
          </cell>
          <cell r="E657" t="str">
            <v xml:space="preserve">    </v>
          </cell>
          <cell r="F657" t="str">
            <v xml:space="preserve"> S</v>
          </cell>
          <cell r="G657">
            <v>36796.259722222225</v>
          </cell>
          <cell r="H657" t="str">
            <v>TVOL</v>
          </cell>
        </row>
        <row r="658">
          <cell r="A658">
            <v>26157</v>
          </cell>
          <cell r="B658" t="e">
            <v>#NAME?</v>
          </cell>
          <cell r="C658">
            <v>4291.4243200000001</v>
          </cell>
          <cell r="D658" t="str">
            <v xml:space="preserve">   MCF</v>
          </cell>
          <cell r="E658" t="str">
            <v xml:space="preserve">    </v>
          </cell>
          <cell r="F658" t="str">
            <v xml:space="preserve"> S</v>
          </cell>
          <cell r="G658">
            <v>36796.260416666664</v>
          </cell>
          <cell r="H658" t="str">
            <v>TVOL</v>
          </cell>
        </row>
        <row r="659">
          <cell r="A659">
            <v>26158</v>
          </cell>
          <cell r="B659" t="e">
            <v>#NAME?</v>
          </cell>
          <cell r="C659">
            <v>9961.1171900000008</v>
          </cell>
          <cell r="D659" t="str">
            <v xml:space="preserve">   MCF</v>
          </cell>
          <cell r="E659" t="str">
            <v xml:space="preserve">    </v>
          </cell>
          <cell r="F659" t="str">
            <v xml:space="preserve"> S</v>
          </cell>
          <cell r="G659">
            <v>36796.259027777778</v>
          </cell>
          <cell r="H659" t="str">
            <v>TVOL</v>
          </cell>
        </row>
        <row r="660">
          <cell r="A660">
            <v>26159</v>
          </cell>
          <cell r="B660" t="e">
            <v>#NAME?</v>
          </cell>
          <cell r="C660">
            <v>0</v>
          </cell>
          <cell r="D660" t="str">
            <v xml:space="preserve">   MCF</v>
          </cell>
          <cell r="E660" t="str">
            <v>UNAV</v>
          </cell>
          <cell r="F660" t="str">
            <v xml:space="preserve"> S</v>
          </cell>
          <cell r="G660">
            <v>36796.261805555558</v>
          </cell>
          <cell r="H660" t="str">
            <v>TVOL</v>
          </cell>
        </row>
        <row r="661">
          <cell r="A661">
            <v>26160</v>
          </cell>
          <cell r="B661" t="e">
            <v>#NAME?</v>
          </cell>
          <cell r="C661">
            <v>829.19860800000004</v>
          </cell>
          <cell r="D661" t="str">
            <v xml:space="preserve">   MCF</v>
          </cell>
          <cell r="E661" t="str">
            <v xml:space="preserve">    </v>
          </cell>
          <cell r="F661" t="str">
            <v xml:space="preserve"> S</v>
          </cell>
          <cell r="G661">
            <v>36796.255555555559</v>
          </cell>
          <cell r="H661" t="str">
            <v>TVOL</v>
          </cell>
        </row>
        <row r="662">
          <cell r="A662">
            <v>26161</v>
          </cell>
          <cell r="B662" t="e">
            <v>#NAME?</v>
          </cell>
          <cell r="C662">
            <v>0</v>
          </cell>
          <cell r="D662" t="str">
            <v xml:space="preserve">   MCF</v>
          </cell>
          <cell r="E662" t="str">
            <v>UNAV</v>
          </cell>
          <cell r="F662" t="str">
            <v xml:space="preserve"> S</v>
          </cell>
          <cell r="G662">
            <v>36796.261805555558</v>
          </cell>
          <cell r="H662" t="str">
            <v>TVOL</v>
          </cell>
        </row>
        <row r="663">
          <cell r="A663">
            <v>26163</v>
          </cell>
          <cell r="B663" t="e">
            <v>#NAME?</v>
          </cell>
          <cell r="C663">
            <v>0</v>
          </cell>
          <cell r="D663" t="str">
            <v xml:space="preserve">   MCF</v>
          </cell>
          <cell r="E663" t="str">
            <v>UNAV</v>
          </cell>
          <cell r="F663" t="str">
            <v xml:space="preserve"> S</v>
          </cell>
          <cell r="G663">
            <v>36796.261805555558</v>
          </cell>
          <cell r="H663" t="str">
            <v>TVOL</v>
          </cell>
        </row>
        <row r="664">
          <cell r="A664">
            <v>26164</v>
          </cell>
          <cell r="B664" t="e">
            <v>#NAME?</v>
          </cell>
          <cell r="C664">
            <v>11380.0098</v>
          </cell>
          <cell r="D664" t="str">
            <v xml:space="preserve">   MCF</v>
          </cell>
          <cell r="E664" t="str">
            <v xml:space="preserve">    </v>
          </cell>
          <cell r="F664" t="str">
            <v xml:space="preserve"> S</v>
          </cell>
          <cell r="G664">
            <v>36796.258333333331</v>
          </cell>
          <cell r="H664" t="str">
            <v>TVOL</v>
          </cell>
        </row>
        <row r="665">
          <cell r="A665">
            <v>26165</v>
          </cell>
          <cell r="B665" t="e">
            <v>#NAME?</v>
          </cell>
          <cell r="C665">
            <v>22491.0059</v>
          </cell>
          <cell r="D665" t="str">
            <v xml:space="preserve">   MCF</v>
          </cell>
          <cell r="E665" t="str">
            <v xml:space="preserve">    </v>
          </cell>
          <cell r="F665" t="str">
            <v xml:space="preserve"> S</v>
          </cell>
          <cell r="G665">
            <v>36796.258333333331</v>
          </cell>
          <cell r="H665" t="str">
            <v>TVOL</v>
          </cell>
        </row>
        <row r="666">
          <cell r="A666">
            <v>26166</v>
          </cell>
          <cell r="B666" t="e">
            <v>#NAME?</v>
          </cell>
          <cell r="C666">
            <v>4317.2143599999999</v>
          </cell>
          <cell r="D666" t="str">
            <v xml:space="preserve">   MCF</v>
          </cell>
          <cell r="E666" t="str">
            <v xml:space="preserve">    </v>
          </cell>
          <cell r="F666" t="str">
            <v xml:space="preserve"> S</v>
          </cell>
          <cell r="G666">
            <v>36796.256249999999</v>
          </cell>
          <cell r="H666" t="str">
            <v>TVOL</v>
          </cell>
        </row>
        <row r="667">
          <cell r="A667">
            <v>26167</v>
          </cell>
          <cell r="B667" t="e">
            <v>#NAME?</v>
          </cell>
          <cell r="C667">
            <v>0</v>
          </cell>
          <cell r="D667" t="str">
            <v xml:space="preserve">   MCF</v>
          </cell>
          <cell r="E667" t="str">
            <v xml:space="preserve">    </v>
          </cell>
          <cell r="F667" t="str">
            <v xml:space="preserve"> S</v>
          </cell>
          <cell r="G667">
            <v>36796.256249999999</v>
          </cell>
          <cell r="H667" t="str">
            <v>TVOL</v>
          </cell>
        </row>
        <row r="668">
          <cell r="A668">
            <v>26168</v>
          </cell>
          <cell r="B668" t="e">
            <v>#NAME?</v>
          </cell>
          <cell r="C668">
            <v>17270.533200000002</v>
          </cell>
          <cell r="D668" t="str">
            <v xml:space="preserve">   MCF</v>
          </cell>
          <cell r="E668" t="str">
            <v xml:space="preserve">    </v>
          </cell>
          <cell r="F668" t="str">
            <v xml:space="preserve"> S</v>
          </cell>
          <cell r="G668">
            <v>36796.256249999999</v>
          </cell>
          <cell r="H668" t="str">
            <v>TVOL</v>
          </cell>
        </row>
        <row r="669">
          <cell r="A669">
            <v>26169</v>
          </cell>
          <cell r="B669" t="e">
            <v>#NAME?</v>
          </cell>
          <cell r="C669">
            <v>0</v>
          </cell>
          <cell r="D669" t="str">
            <v xml:space="preserve">   MCF</v>
          </cell>
          <cell r="E669" t="str">
            <v xml:space="preserve">    </v>
          </cell>
          <cell r="F669" t="str">
            <v xml:space="preserve"> S</v>
          </cell>
          <cell r="G669">
            <v>36796.253472222219</v>
          </cell>
          <cell r="H669" t="str">
            <v>TVOL</v>
          </cell>
        </row>
        <row r="670">
          <cell r="A670">
            <v>26170</v>
          </cell>
          <cell r="B670" t="e">
            <v>#NAME?</v>
          </cell>
          <cell r="C670">
            <v>0</v>
          </cell>
          <cell r="D670" t="str">
            <v xml:space="preserve">   MCF</v>
          </cell>
          <cell r="E670" t="str">
            <v>UNAV</v>
          </cell>
          <cell r="F670" t="str">
            <v xml:space="preserve"> S</v>
          </cell>
          <cell r="G670">
            <v>36796.261805555558</v>
          </cell>
          <cell r="H670" t="str">
            <v>TVOL</v>
          </cell>
        </row>
        <row r="671">
          <cell r="A671">
            <v>26171</v>
          </cell>
          <cell r="B671" t="e">
            <v>#NAME?</v>
          </cell>
          <cell r="C671">
            <v>0</v>
          </cell>
          <cell r="D671" t="str">
            <v xml:space="preserve">   MCF</v>
          </cell>
          <cell r="E671" t="str">
            <v>UNAV</v>
          </cell>
          <cell r="F671" t="str">
            <v xml:space="preserve"> S</v>
          </cell>
          <cell r="G671">
            <v>36796.261805555558</v>
          </cell>
          <cell r="H671" t="str">
            <v>TVOL</v>
          </cell>
        </row>
        <row r="672">
          <cell r="A672">
            <v>26172</v>
          </cell>
          <cell r="B672" t="e">
            <v>#NAME?</v>
          </cell>
          <cell r="C672">
            <v>0</v>
          </cell>
          <cell r="D672" t="str">
            <v xml:space="preserve">   MCF</v>
          </cell>
          <cell r="E672" t="str">
            <v>UNAV</v>
          </cell>
          <cell r="F672" t="str">
            <v xml:space="preserve"> S</v>
          </cell>
          <cell r="G672">
            <v>36796.261805555558</v>
          </cell>
          <cell r="H672" t="str">
            <v>TVOL</v>
          </cell>
        </row>
        <row r="673">
          <cell r="A673">
            <v>26173</v>
          </cell>
          <cell r="B673" t="e">
            <v>#NAME?</v>
          </cell>
          <cell r="C673">
            <v>0</v>
          </cell>
          <cell r="D673" t="str">
            <v xml:space="preserve">   MCF</v>
          </cell>
          <cell r="E673" t="str">
            <v>UNAV</v>
          </cell>
          <cell r="F673" t="str">
            <v xml:space="preserve"> S</v>
          </cell>
          <cell r="G673">
            <v>36796.261805555558</v>
          </cell>
          <cell r="H673" t="str">
            <v>TVOL</v>
          </cell>
        </row>
        <row r="674">
          <cell r="A674">
            <v>26174</v>
          </cell>
          <cell r="B674" t="e">
            <v>#NAME?</v>
          </cell>
          <cell r="C674">
            <v>0</v>
          </cell>
          <cell r="D674" t="str">
            <v xml:space="preserve">   MCF</v>
          </cell>
          <cell r="E674" t="str">
            <v>UNAV</v>
          </cell>
          <cell r="F674" t="str">
            <v xml:space="preserve"> S</v>
          </cell>
          <cell r="G674">
            <v>36796.261805555558</v>
          </cell>
          <cell r="H674" t="str">
            <v>TVOL</v>
          </cell>
        </row>
        <row r="675">
          <cell r="A675">
            <v>26175</v>
          </cell>
          <cell r="B675" t="e">
            <v>#NAME?</v>
          </cell>
          <cell r="C675">
            <v>0</v>
          </cell>
          <cell r="D675" t="str">
            <v xml:space="preserve">   MCF</v>
          </cell>
          <cell r="E675" t="str">
            <v>UNAV</v>
          </cell>
          <cell r="F675" t="str">
            <v xml:space="preserve"> S</v>
          </cell>
          <cell r="G675">
            <v>36796.261805555558</v>
          </cell>
          <cell r="H675" t="str">
            <v>TVOL</v>
          </cell>
        </row>
        <row r="676">
          <cell r="A676">
            <v>26176</v>
          </cell>
          <cell r="B676" t="e">
            <v>#NAME?</v>
          </cell>
          <cell r="C676">
            <v>0</v>
          </cell>
          <cell r="D676" t="str">
            <v xml:space="preserve">   MCF</v>
          </cell>
          <cell r="E676" t="str">
            <v xml:space="preserve">    </v>
          </cell>
          <cell r="F676" t="str">
            <v xml:space="preserve"> S</v>
          </cell>
          <cell r="G676">
            <v>36796.260416666664</v>
          </cell>
          <cell r="H676" t="str">
            <v>TVOL</v>
          </cell>
        </row>
        <row r="677">
          <cell r="A677">
            <v>26177</v>
          </cell>
          <cell r="B677" t="e">
            <v>#NAME?</v>
          </cell>
          <cell r="C677">
            <v>0</v>
          </cell>
          <cell r="D677" t="str">
            <v xml:space="preserve">   MCF</v>
          </cell>
          <cell r="E677" t="str">
            <v>UNAV</v>
          </cell>
          <cell r="F677" t="str">
            <v xml:space="preserve"> S</v>
          </cell>
          <cell r="G677">
            <v>36796.261805555558</v>
          </cell>
          <cell r="H677" t="str">
            <v>TVOL</v>
          </cell>
        </row>
        <row r="678">
          <cell r="A678">
            <v>26178</v>
          </cell>
          <cell r="B678" t="e">
            <v>#NAME?</v>
          </cell>
          <cell r="C678">
            <v>0</v>
          </cell>
          <cell r="D678" t="str">
            <v xml:space="preserve">   MCF</v>
          </cell>
          <cell r="E678" t="str">
            <v>UNAV</v>
          </cell>
          <cell r="F678" t="str">
            <v xml:space="preserve"> S</v>
          </cell>
          <cell r="G678">
            <v>36796.261805555558</v>
          </cell>
          <cell r="H678" t="str">
            <v>TVOL</v>
          </cell>
        </row>
        <row r="679">
          <cell r="A679">
            <v>26179</v>
          </cell>
          <cell r="B679" t="e">
            <v>#NAME?</v>
          </cell>
          <cell r="C679">
            <v>0</v>
          </cell>
          <cell r="D679" t="str">
            <v xml:space="preserve">   MCF</v>
          </cell>
          <cell r="E679" t="str">
            <v xml:space="preserve">    </v>
          </cell>
          <cell r="F679" t="str">
            <v xml:space="preserve"> S</v>
          </cell>
          <cell r="G679">
            <v>36796.256249999999</v>
          </cell>
          <cell r="H679" t="str">
            <v>TVOL</v>
          </cell>
        </row>
        <row r="680">
          <cell r="A680">
            <v>26180</v>
          </cell>
          <cell r="B680" t="e">
            <v>#NAME?</v>
          </cell>
          <cell r="C680">
            <v>0</v>
          </cell>
          <cell r="D680" t="str">
            <v xml:space="preserve">   MCF</v>
          </cell>
          <cell r="E680" t="str">
            <v xml:space="preserve">    </v>
          </cell>
          <cell r="F680" t="str">
            <v xml:space="preserve"> S</v>
          </cell>
          <cell r="G680">
            <v>36796.251388888886</v>
          </cell>
          <cell r="H680" t="str">
            <v>TVOL</v>
          </cell>
        </row>
        <row r="681">
          <cell r="A681">
            <v>26181</v>
          </cell>
          <cell r="B681" t="e">
            <v>#NAME?</v>
          </cell>
          <cell r="C681">
            <v>0</v>
          </cell>
          <cell r="D681" t="str">
            <v xml:space="preserve">   MCF</v>
          </cell>
          <cell r="E681" t="str">
            <v>UNAV</v>
          </cell>
          <cell r="F681" t="str">
            <v xml:space="preserve"> S</v>
          </cell>
          <cell r="G681">
            <v>36796.261805555558</v>
          </cell>
          <cell r="H681" t="str">
            <v>TVOL</v>
          </cell>
        </row>
        <row r="682">
          <cell r="A682">
            <v>26184</v>
          </cell>
          <cell r="B682" t="e">
            <v>#NAME?</v>
          </cell>
          <cell r="C682">
            <v>17320.091799999998</v>
          </cell>
          <cell r="D682" t="str">
            <v xml:space="preserve">   MCF</v>
          </cell>
          <cell r="E682" t="str">
            <v xml:space="preserve">    </v>
          </cell>
          <cell r="F682" t="str">
            <v xml:space="preserve"> S</v>
          </cell>
          <cell r="G682">
            <v>36796.256944444445</v>
          </cell>
          <cell r="H682" t="str">
            <v>TVOL</v>
          </cell>
        </row>
        <row r="683">
          <cell r="A683">
            <v>26185</v>
          </cell>
          <cell r="B683" t="e">
            <v>#NAME?</v>
          </cell>
          <cell r="C683">
            <v>3727.8266600000002</v>
          </cell>
          <cell r="D683" t="str">
            <v xml:space="preserve">   MCF</v>
          </cell>
          <cell r="E683" t="str">
            <v xml:space="preserve">    </v>
          </cell>
          <cell r="F683" t="str">
            <v xml:space="preserve"> S</v>
          </cell>
          <cell r="G683">
            <v>36796.255555555559</v>
          </cell>
          <cell r="H683" t="str">
            <v>TVOL</v>
          </cell>
        </row>
        <row r="684">
          <cell r="A684">
            <v>26186</v>
          </cell>
          <cell r="B684" t="e">
            <v>#NAME?</v>
          </cell>
          <cell r="C684">
            <v>1627.8648700000001</v>
          </cell>
          <cell r="D684" t="str">
            <v xml:space="preserve">   MCF</v>
          </cell>
          <cell r="E684" t="str">
            <v xml:space="preserve">    </v>
          </cell>
          <cell r="F684" t="str">
            <v xml:space="preserve"> S</v>
          </cell>
          <cell r="G684">
            <v>36796.257638888892</v>
          </cell>
          <cell r="H684" t="str">
            <v>TVOL</v>
          </cell>
        </row>
        <row r="685">
          <cell r="A685">
            <v>26187</v>
          </cell>
          <cell r="B685" t="e">
            <v>#NAME?</v>
          </cell>
          <cell r="C685">
            <v>0</v>
          </cell>
          <cell r="D685" t="str">
            <v xml:space="preserve">   MCF</v>
          </cell>
          <cell r="E685" t="str">
            <v xml:space="preserve">    </v>
          </cell>
          <cell r="F685" t="str">
            <v xml:space="preserve"> S</v>
          </cell>
          <cell r="G685">
            <v>36796.260416666664</v>
          </cell>
          <cell r="H685" t="str">
            <v>TVOL</v>
          </cell>
        </row>
        <row r="686">
          <cell r="A686">
            <v>26188</v>
          </cell>
          <cell r="B686" t="e">
            <v>#NAME?</v>
          </cell>
          <cell r="C686">
            <v>6768.7402300000003</v>
          </cell>
          <cell r="D686" t="str">
            <v xml:space="preserve">   MCF</v>
          </cell>
          <cell r="E686" t="str">
            <v xml:space="preserve">    </v>
          </cell>
          <cell r="F686" t="str">
            <v xml:space="preserve"> S</v>
          </cell>
          <cell r="G686">
            <v>36796.260416666664</v>
          </cell>
          <cell r="H686" t="str">
            <v>TVOL</v>
          </cell>
        </row>
        <row r="687">
          <cell r="A687">
            <v>26189</v>
          </cell>
          <cell r="B687" t="e">
            <v>#NAME?</v>
          </cell>
          <cell r="C687">
            <v>0</v>
          </cell>
          <cell r="D687" t="str">
            <v xml:space="preserve">   MCF</v>
          </cell>
          <cell r="E687" t="str">
            <v>COMM</v>
          </cell>
          <cell r="F687" t="str">
            <v xml:space="preserve"> S</v>
          </cell>
          <cell r="G687">
            <v>36796.229166666664</v>
          </cell>
          <cell r="H687" t="str">
            <v>TVOL</v>
          </cell>
        </row>
        <row r="688">
          <cell r="A688">
            <v>26190</v>
          </cell>
          <cell r="B688" t="e">
            <v>#NAME?</v>
          </cell>
          <cell r="C688">
            <v>8655.3261700000003</v>
          </cell>
          <cell r="D688" t="str">
            <v xml:space="preserve">   MCF</v>
          </cell>
          <cell r="E688" t="str">
            <v xml:space="preserve">    </v>
          </cell>
          <cell r="F688" t="str">
            <v xml:space="preserve"> S</v>
          </cell>
          <cell r="G688">
            <v>36796.260416666664</v>
          </cell>
          <cell r="H688" t="str">
            <v>TVOL</v>
          </cell>
        </row>
        <row r="689">
          <cell r="A689">
            <v>26191</v>
          </cell>
          <cell r="B689" t="e">
            <v>#NAME?</v>
          </cell>
          <cell r="C689">
            <v>9898.2968799999999</v>
          </cell>
          <cell r="D689" t="str">
            <v xml:space="preserve">   MCF</v>
          </cell>
          <cell r="E689" t="str">
            <v xml:space="preserve">    </v>
          </cell>
          <cell r="F689" t="str">
            <v xml:space="preserve"> S</v>
          </cell>
          <cell r="G689">
            <v>36796.255555555559</v>
          </cell>
          <cell r="H689" t="str">
            <v>TVOL</v>
          </cell>
        </row>
        <row r="690">
          <cell r="A690">
            <v>26192</v>
          </cell>
          <cell r="B690" t="e">
            <v>#NAME?</v>
          </cell>
          <cell r="C690">
            <v>0</v>
          </cell>
          <cell r="D690" t="str">
            <v xml:space="preserve">   MCF</v>
          </cell>
          <cell r="E690" t="str">
            <v>UNAV</v>
          </cell>
          <cell r="F690" t="str">
            <v xml:space="preserve"> S</v>
          </cell>
          <cell r="G690">
            <v>36796.261805555558</v>
          </cell>
          <cell r="H690" t="str">
            <v>TVOL</v>
          </cell>
        </row>
        <row r="691">
          <cell r="A691">
            <v>26194</v>
          </cell>
          <cell r="B691" t="e">
            <v>#NAME?</v>
          </cell>
          <cell r="C691">
            <v>0</v>
          </cell>
          <cell r="D691" t="str">
            <v xml:space="preserve">   MCF</v>
          </cell>
          <cell r="E691" t="str">
            <v>COMM</v>
          </cell>
          <cell r="F691" t="str">
            <v xml:space="preserve"> S</v>
          </cell>
          <cell r="G691">
            <v>36795.635416666664</v>
          </cell>
          <cell r="H691" t="str">
            <v>TVOL</v>
          </cell>
        </row>
        <row r="692">
          <cell r="A692">
            <v>26196</v>
          </cell>
          <cell r="B692" t="e">
            <v>#NAME?</v>
          </cell>
          <cell r="C692">
            <v>0</v>
          </cell>
          <cell r="D692" t="str">
            <v xml:space="preserve">   MCF</v>
          </cell>
          <cell r="E692" t="str">
            <v>UNAV</v>
          </cell>
          <cell r="F692" t="str">
            <v xml:space="preserve"> S</v>
          </cell>
          <cell r="G692">
            <v>36796.261805555558</v>
          </cell>
          <cell r="H692" t="str">
            <v>TVOL</v>
          </cell>
        </row>
        <row r="693">
          <cell r="A693">
            <v>26197</v>
          </cell>
          <cell r="B693" t="e">
            <v>#NAME?</v>
          </cell>
          <cell r="C693">
            <v>0</v>
          </cell>
          <cell r="D693" t="str">
            <v xml:space="preserve">   MCF</v>
          </cell>
          <cell r="E693" t="str">
            <v>UNAV</v>
          </cell>
          <cell r="F693" t="str">
            <v xml:space="preserve"> S</v>
          </cell>
          <cell r="G693">
            <v>36796.261805555558</v>
          </cell>
          <cell r="H693" t="str">
            <v>TVOL</v>
          </cell>
        </row>
        <row r="694">
          <cell r="A694">
            <v>26198</v>
          </cell>
          <cell r="B694" t="e">
            <v>#NAME?</v>
          </cell>
          <cell r="C694">
            <v>8032.6816399999998</v>
          </cell>
          <cell r="D694" t="str">
            <v xml:space="preserve">   MCF</v>
          </cell>
          <cell r="E694" t="str">
            <v xml:space="preserve">    </v>
          </cell>
          <cell r="F694" t="str">
            <v xml:space="preserve"> S</v>
          </cell>
          <cell r="G694">
            <v>36796.258333333331</v>
          </cell>
          <cell r="H694" t="str">
            <v>TVOL</v>
          </cell>
        </row>
        <row r="695">
          <cell r="A695">
            <v>26199</v>
          </cell>
          <cell r="B695" t="e">
            <v>#NAME?</v>
          </cell>
          <cell r="C695">
            <v>0</v>
          </cell>
          <cell r="D695" t="str">
            <v xml:space="preserve">   MCF</v>
          </cell>
          <cell r="E695" t="str">
            <v xml:space="preserve">    </v>
          </cell>
          <cell r="F695" t="str">
            <v xml:space="preserve"> S</v>
          </cell>
          <cell r="G695">
            <v>36796.261111111111</v>
          </cell>
          <cell r="H695" t="str">
            <v>TVOL</v>
          </cell>
        </row>
        <row r="696">
          <cell r="A696">
            <v>26200</v>
          </cell>
          <cell r="B696" t="e">
            <v>#NAME?</v>
          </cell>
          <cell r="C696">
            <v>0</v>
          </cell>
          <cell r="D696" t="str">
            <v xml:space="preserve">   MCF</v>
          </cell>
          <cell r="E696" t="str">
            <v>UNAV</v>
          </cell>
          <cell r="F696" t="str">
            <v xml:space="preserve"> S</v>
          </cell>
          <cell r="G696">
            <v>36796.261805555558</v>
          </cell>
          <cell r="H696" t="str">
            <v>TVOL</v>
          </cell>
        </row>
        <row r="697">
          <cell r="A697">
            <v>26201</v>
          </cell>
          <cell r="B697" t="e">
            <v>#NAME?</v>
          </cell>
          <cell r="C697">
            <v>0</v>
          </cell>
          <cell r="D697" t="str">
            <v xml:space="preserve">   MCF</v>
          </cell>
          <cell r="E697" t="str">
            <v>UNAV</v>
          </cell>
          <cell r="F697" t="str">
            <v xml:space="preserve"> S</v>
          </cell>
          <cell r="G697">
            <v>36796.261805555558</v>
          </cell>
          <cell r="H697" t="str">
            <v>TVOL</v>
          </cell>
        </row>
        <row r="698">
          <cell r="A698">
            <v>26202</v>
          </cell>
          <cell r="B698" t="e">
            <v>#NAME?</v>
          </cell>
          <cell r="C698">
            <v>0</v>
          </cell>
          <cell r="D698" t="str">
            <v xml:space="preserve">   MCF</v>
          </cell>
          <cell r="E698" t="str">
            <v xml:space="preserve">    </v>
          </cell>
          <cell r="F698" t="str">
            <v xml:space="preserve"> S</v>
          </cell>
          <cell r="G698">
            <v>36796.245833333334</v>
          </cell>
          <cell r="H698" t="str">
            <v>TVOL</v>
          </cell>
        </row>
        <row r="699">
          <cell r="A699">
            <v>26203</v>
          </cell>
          <cell r="B699" t="e">
            <v>#NAME?</v>
          </cell>
          <cell r="C699">
            <v>30275.5098</v>
          </cell>
          <cell r="D699" t="str">
            <v xml:space="preserve">   MCF</v>
          </cell>
          <cell r="E699" t="str">
            <v xml:space="preserve">    </v>
          </cell>
          <cell r="F699" t="str">
            <v xml:space="preserve"> S</v>
          </cell>
          <cell r="G699">
            <v>36796.259722222225</v>
          </cell>
          <cell r="H699" t="str">
            <v>TVOL</v>
          </cell>
        </row>
        <row r="700">
          <cell r="A700">
            <v>26204</v>
          </cell>
          <cell r="B700" t="e">
            <v>#NAME?</v>
          </cell>
          <cell r="C700">
            <v>8612.2685500000007</v>
          </cell>
          <cell r="D700" t="str">
            <v xml:space="preserve">   MCF</v>
          </cell>
          <cell r="E700" t="str">
            <v xml:space="preserve">    </v>
          </cell>
          <cell r="F700" t="str">
            <v xml:space="preserve"> S</v>
          </cell>
          <cell r="G700">
            <v>36796.256249999999</v>
          </cell>
          <cell r="H700" t="str">
            <v>TVOL</v>
          </cell>
        </row>
        <row r="701">
          <cell r="A701">
            <v>26205</v>
          </cell>
          <cell r="B701" t="e">
            <v>#NAME?</v>
          </cell>
          <cell r="C701">
            <v>0</v>
          </cell>
          <cell r="D701" t="str">
            <v xml:space="preserve">   MCF</v>
          </cell>
          <cell r="E701" t="str">
            <v xml:space="preserve">    </v>
          </cell>
          <cell r="F701" t="str">
            <v xml:space="preserve"> S</v>
          </cell>
          <cell r="G701">
            <v>36796.255555555559</v>
          </cell>
          <cell r="H701" t="str">
            <v>TVOL</v>
          </cell>
        </row>
        <row r="702">
          <cell r="A702">
            <v>26206</v>
          </cell>
          <cell r="B702" t="e">
            <v>#NAME?</v>
          </cell>
          <cell r="C702">
            <v>0</v>
          </cell>
          <cell r="D702" t="str">
            <v xml:space="preserve">   MCF</v>
          </cell>
          <cell r="E702" t="str">
            <v>UNAV</v>
          </cell>
          <cell r="F702" t="str">
            <v xml:space="preserve"> S</v>
          </cell>
          <cell r="G702">
            <v>36796.261805555558</v>
          </cell>
          <cell r="H702" t="str">
            <v>TVOL</v>
          </cell>
        </row>
        <row r="703">
          <cell r="A703">
            <v>26207</v>
          </cell>
          <cell r="B703" t="e">
            <v>#NAME?</v>
          </cell>
          <cell r="C703">
            <v>0</v>
          </cell>
          <cell r="D703" t="str">
            <v xml:space="preserve">   MCF</v>
          </cell>
          <cell r="E703" t="str">
            <v>UNAV</v>
          </cell>
          <cell r="F703" t="str">
            <v xml:space="preserve"> S</v>
          </cell>
          <cell r="G703">
            <v>36796.261805555558</v>
          </cell>
          <cell r="H703" t="str">
            <v>TVOL</v>
          </cell>
        </row>
        <row r="704">
          <cell r="A704">
            <v>26208</v>
          </cell>
          <cell r="B704" t="e">
            <v>#NAME?</v>
          </cell>
          <cell r="C704">
            <v>0</v>
          </cell>
          <cell r="D704" t="str">
            <v xml:space="preserve">   MCF</v>
          </cell>
          <cell r="E704" t="str">
            <v>UNAV</v>
          </cell>
          <cell r="F704" t="str">
            <v xml:space="preserve"> S</v>
          </cell>
          <cell r="G704">
            <v>36796.261805555558</v>
          </cell>
          <cell r="H704" t="str">
            <v>TVOL</v>
          </cell>
        </row>
        <row r="705">
          <cell r="A705">
            <v>26209</v>
          </cell>
          <cell r="B705" t="e">
            <v>#NAME?</v>
          </cell>
          <cell r="C705">
            <v>0</v>
          </cell>
          <cell r="D705" t="str">
            <v xml:space="preserve">   MCF</v>
          </cell>
          <cell r="E705" t="str">
            <v>UNAV</v>
          </cell>
          <cell r="F705" t="str">
            <v xml:space="preserve"> S</v>
          </cell>
          <cell r="G705">
            <v>36796.261805555558</v>
          </cell>
          <cell r="H705" t="str">
            <v>TVOL</v>
          </cell>
        </row>
        <row r="706">
          <cell r="A706">
            <v>26210</v>
          </cell>
          <cell r="B706" t="e">
            <v>#NAME?</v>
          </cell>
          <cell r="C706">
            <v>0</v>
          </cell>
          <cell r="D706" t="str">
            <v xml:space="preserve">   MCF</v>
          </cell>
          <cell r="E706" t="str">
            <v>UNAV</v>
          </cell>
          <cell r="F706" t="str">
            <v xml:space="preserve"> S</v>
          </cell>
          <cell r="G706">
            <v>36796.261805555558</v>
          </cell>
          <cell r="H706" t="str">
            <v>TVOL</v>
          </cell>
        </row>
        <row r="707">
          <cell r="A707">
            <v>26212</v>
          </cell>
          <cell r="B707" t="e">
            <v>#NAME?</v>
          </cell>
          <cell r="C707">
            <v>0</v>
          </cell>
          <cell r="D707" t="str">
            <v xml:space="preserve">   MCF</v>
          </cell>
          <cell r="E707" t="str">
            <v xml:space="preserve">    </v>
          </cell>
          <cell r="F707" t="str">
            <v xml:space="preserve"> S</v>
          </cell>
          <cell r="G707">
            <v>36796.259027777778</v>
          </cell>
          <cell r="H707" t="str">
            <v>TVOL</v>
          </cell>
        </row>
        <row r="708">
          <cell r="A708">
            <v>26213</v>
          </cell>
          <cell r="B708" t="e">
            <v>#NAME?</v>
          </cell>
          <cell r="C708">
            <v>0</v>
          </cell>
          <cell r="D708" t="str">
            <v xml:space="preserve">   MCF</v>
          </cell>
          <cell r="E708" t="str">
            <v xml:space="preserve">    </v>
          </cell>
          <cell r="F708" t="str">
            <v xml:space="preserve"> S</v>
          </cell>
          <cell r="G708">
            <v>36796.257638888892</v>
          </cell>
          <cell r="H708" t="str">
            <v>TVOL</v>
          </cell>
        </row>
        <row r="709">
          <cell r="A709">
            <v>26215</v>
          </cell>
          <cell r="B709" t="e">
            <v>#NAME?</v>
          </cell>
          <cell r="C709">
            <v>31586.607400000001</v>
          </cell>
          <cell r="D709" t="str">
            <v xml:space="preserve">   MCF</v>
          </cell>
          <cell r="E709" t="str">
            <v xml:space="preserve">    </v>
          </cell>
          <cell r="F709" t="str">
            <v xml:space="preserve"> S</v>
          </cell>
          <cell r="G709">
            <v>36796.256249999999</v>
          </cell>
          <cell r="H709" t="str">
            <v>TVOL</v>
          </cell>
        </row>
        <row r="710">
          <cell r="A710">
            <v>26218</v>
          </cell>
          <cell r="B710" t="e">
            <v>#NAME?</v>
          </cell>
          <cell r="C710">
            <v>0</v>
          </cell>
          <cell r="D710" t="str">
            <v xml:space="preserve">   MCF</v>
          </cell>
          <cell r="E710" t="str">
            <v>UNAV</v>
          </cell>
          <cell r="F710" t="str">
            <v xml:space="preserve"> S</v>
          </cell>
          <cell r="G710">
            <v>36796.261805555558</v>
          </cell>
          <cell r="H710" t="str">
            <v>TVOL</v>
          </cell>
        </row>
        <row r="711">
          <cell r="A711">
            <v>46001</v>
          </cell>
          <cell r="B711" t="e">
            <v>#NAME?</v>
          </cell>
          <cell r="C711">
            <v>0</v>
          </cell>
          <cell r="D711" t="str">
            <v xml:space="preserve">   MCF</v>
          </cell>
          <cell r="E711" t="str">
            <v>UNAV</v>
          </cell>
          <cell r="F711" t="str">
            <v xml:space="preserve"> S</v>
          </cell>
          <cell r="G711">
            <v>36796.261805555558</v>
          </cell>
          <cell r="H711" t="str">
            <v>TVOL</v>
          </cell>
        </row>
        <row r="712">
          <cell r="A712">
            <v>46010</v>
          </cell>
          <cell r="B712" t="e">
            <v>#NAME?</v>
          </cell>
          <cell r="C712">
            <v>0</v>
          </cell>
          <cell r="D712" t="str">
            <v xml:space="preserve">   MCF</v>
          </cell>
          <cell r="E712" t="str">
            <v xml:space="preserve">    </v>
          </cell>
          <cell r="F712" t="str">
            <v xml:space="preserve"> S</v>
          </cell>
          <cell r="G712">
            <v>36796.261805555558</v>
          </cell>
          <cell r="H712" t="str">
            <v>TVOL</v>
          </cell>
        </row>
        <row r="713">
          <cell r="A713">
            <v>46011</v>
          </cell>
          <cell r="B713" t="e">
            <v>#NAME?</v>
          </cell>
          <cell r="C713">
            <v>0</v>
          </cell>
          <cell r="D713" t="str">
            <v xml:space="preserve">   MCF</v>
          </cell>
          <cell r="E713" t="str">
            <v>UNAV</v>
          </cell>
          <cell r="F713" t="str">
            <v xml:space="preserve"> S</v>
          </cell>
          <cell r="G713">
            <v>36796.261805555558</v>
          </cell>
          <cell r="H713" t="str">
            <v>TVOL</v>
          </cell>
        </row>
        <row r="714">
          <cell r="A714">
            <v>46012</v>
          </cell>
          <cell r="B714" t="e">
            <v>#NAME?</v>
          </cell>
          <cell r="C714">
            <v>671.56024200000002</v>
          </cell>
          <cell r="D714" t="str">
            <v xml:space="preserve">   MCF</v>
          </cell>
          <cell r="E714" t="str">
            <v xml:space="preserve">    </v>
          </cell>
          <cell r="F714" t="str">
            <v xml:space="preserve"> S</v>
          </cell>
          <cell r="G714">
            <v>36796.256944444445</v>
          </cell>
          <cell r="H714" t="str">
            <v>TVOL</v>
          </cell>
        </row>
        <row r="715">
          <cell r="A715">
            <v>46013</v>
          </cell>
          <cell r="B715" t="e">
            <v>#NAME?</v>
          </cell>
          <cell r="C715">
            <v>0</v>
          </cell>
          <cell r="D715" t="str">
            <v xml:space="preserve">   MCF</v>
          </cell>
          <cell r="E715" t="str">
            <v>UNAV</v>
          </cell>
          <cell r="F715" t="str">
            <v xml:space="preserve"> S</v>
          </cell>
          <cell r="G715">
            <v>36796.261805555558</v>
          </cell>
          <cell r="H715" t="str">
            <v>TVOL</v>
          </cell>
        </row>
        <row r="716">
          <cell r="A716">
            <v>46016</v>
          </cell>
          <cell r="B716" t="e">
            <v>#NAME?</v>
          </cell>
          <cell r="C716">
            <v>0</v>
          </cell>
          <cell r="D716" t="str">
            <v xml:space="preserve">   MCF</v>
          </cell>
          <cell r="E716" t="str">
            <v>UNAV</v>
          </cell>
          <cell r="F716" t="str">
            <v xml:space="preserve"> S</v>
          </cell>
          <cell r="G716">
            <v>36796.261805555558</v>
          </cell>
          <cell r="H716" t="str">
            <v>TVOL</v>
          </cell>
        </row>
        <row r="717">
          <cell r="A717">
            <v>46017</v>
          </cell>
          <cell r="B717" t="e">
            <v>#NAME?</v>
          </cell>
          <cell r="C717">
            <v>0</v>
          </cell>
          <cell r="D717" t="str">
            <v xml:space="preserve">   MCF</v>
          </cell>
          <cell r="E717" t="str">
            <v>UNAV</v>
          </cell>
          <cell r="F717" t="str">
            <v xml:space="preserve"> S</v>
          </cell>
          <cell r="G717">
            <v>36796.261805555558</v>
          </cell>
          <cell r="H717" t="str">
            <v>TVOL</v>
          </cell>
        </row>
        <row r="718">
          <cell r="A718">
            <v>46024</v>
          </cell>
          <cell r="B718" t="e">
            <v>#NAME?</v>
          </cell>
          <cell r="C718">
            <v>0</v>
          </cell>
          <cell r="D718" t="str">
            <v xml:space="preserve">   MCF</v>
          </cell>
          <cell r="E718" t="str">
            <v xml:space="preserve">    </v>
          </cell>
          <cell r="F718" t="str">
            <v xml:space="preserve"> S</v>
          </cell>
          <cell r="G718">
            <v>36796.256944444445</v>
          </cell>
          <cell r="H718" t="str">
            <v>TVOL</v>
          </cell>
        </row>
        <row r="719">
          <cell r="A719">
            <v>46025</v>
          </cell>
          <cell r="B719" t="e">
            <v>#NAME?</v>
          </cell>
          <cell r="C719">
            <v>0</v>
          </cell>
          <cell r="D719" t="str">
            <v xml:space="preserve">   MCF</v>
          </cell>
          <cell r="E719" t="str">
            <v>UNAV</v>
          </cell>
          <cell r="F719" t="str">
            <v xml:space="preserve"> S</v>
          </cell>
          <cell r="G719">
            <v>36796.261805555558</v>
          </cell>
          <cell r="H719" t="str">
            <v>TVOL</v>
          </cell>
        </row>
        <row r="720">
          <cell r="A720">
            <v>46026</v>
          </cell>
          <cell r="B720" t="e">
            <v>#NAME?</v>
          </cell>
          <cell r="C720">
            <v>0</v>
          </cell>
          <cell r="D720" t="str">
            <v xml:space="preserve">   MCF</v>
          </cell>
          <cell r="E720" t="str">
            <v>UNAV</v>
          </cell>
          <cell r="F720" t="str">
            <v xml:space="preserve"> S</v>
          </cell>
          <cell r="G720">
            <v>36796.261805555558</v>
          </cell>
          <cell r="H720" t="str">
            <v>TVOL</v>
          </cell>
        </row>
        <row r="721">
          <cell r="A721">
            <v>46027</v>
          </cell>
          <cell r="B721" t="e">
            <v>#NAME?</v>
          </cell>
          <cell r="C721">
            <v>0</v>
          </cell>
          <cell r="D721" t="str">
            <v xml:space="preserve">   MCF</v>
          </cell>
          <cell r="E721" t="str">
            <v xml:space="preserve">    </v>
          </cell>
          <cell r="F721" t="str">
            <v xml:space="preserve"> S</v>
          </cell>
          <cell r="G721">
            <v>36796.260416666664</v>
          </cell>
          <cell r="H721" t="str">
            <v>TVOL</v>
          </cell>
        </row>
        <row r="722">
          <cell r="A722">
            <v>46028</v>
          </cell>
          <cell r="B722" t="e">
            <v>#NAME?</v>
          </cell>
          <cell r="C722">
            <v>0</v>
          </cell>
          <cell r="D722" t="str">
            <v xml:space="preserve">   MCF</v>
          </cell>
          <cell r="E722" t="str">
            <v>UNAV</v>
          </cell>
          <cell r="F722" t="str">
            <v xml:space="preserve"> S</v>
          </cell>
          <cell r="G722">
            <v>36796.261805555558</v>
          </cell>
          <cell r="H722" t="str">
            <v>TVOL</v>
          </cell>
        </row>
        <row r="723">
          <cell r="A723">
            <v>46029</v>
          </cell>
          <cell r="B723" t="e">
            <v>#NAME?</v>
          </cell>
          <cell r="C723">
            <v>0</v>
          </cell>
          <cell r="D723" t="str">
            <v xml:space="preserve">   MCF</v>
          </cell>
          <cell r="E723" t="str">
            <v>UNAV</v>
          </cell>
          <cell r="F723" t="str">
            <v xml:space="preserve"> S</v>
          </cell>
          <cell r="G723">
            <v>36796.261805555558</v>
          </cell>
          <cell r="H723" t="str">
            <v>TVOL</v>
          </cell>
        </row>
        <row r="724">
          <cell r="A724">
            <v>46030</v>
          </cell>
          <cell r="B724" t="e">
            <v>#NAME?</v>
          </cell>
          <cell r="C724">
            <v>0</v>
          </cell>
          <cell r="D724" t="str">
            <v xml:space="preserve">   MCF</v>
          </cell>
          <cell r="E724" t="str">
            <v>UNAV</v>
          </cell>
          <cell r="F724" t="str">
            <v xml:space="preserve"> S</v>
          </cell>
          <cell r="G724">
            <v>36796.261805555558</v>
          </cell>
          <cell r="H724" t="str">
            <v>TVOL</v>
          </cell>
        </row>
        <row r="725">
          <cell r="A725">
            <v>46031</v>
          </cell>
          <cell r="B725" t="e">
            <v>#NAME?</v>
          </cell>
          <cell r="C725">
            <v>0</v>
          </cell>
          <cell r="D725" t="str">
            <v xml:space="preserve">   MCF</v>
          </cell>
          <cell r="E725" t="str">
            <v>UNAV</v>
          </cell>
          <cell r="F725" t="str">
            <v xml:space="preserve"> S</v>
          </cell>
          <cell r="G725">
            <v>36796.261805555558</v>
          </cell>
          <cell r="H725" t="str">
            <v>TVOL</v>
          </cell>
        </row>
        <row r="726">
          <cell r="A726">
            <v>46032</v>
          </cell>
          <cell r="B726" t="e">
            <v>#NAME?</v>
          </cell>
          <cell r="C726">
            <v>0</v>
          </cell>
          <cell r="D726" t="str">
            <v xml:space="preserve">   MCF</v>
          </cell>
          <cell r="E726" t="str">
            <v>UNAV</v>
          </cell>
          <cell r="F726" t="str">
            <v xml:space="preserve"> S</v>
          </cell>
          <cell r="G726">
            <v>36796.261805555558</v>
          </cell>
          <cell r="H726" t="str">
            <v>TVOL</v>
          </cell>
        </row>
        <row r="727">
          <cell r="A727">
            <v>46034</v>
          </cell>
          <cell r="B727" t="e">
            <v>#NAME?</v>
          </cell>
          <cell r="C727">
            <v>0</v>
          </cell>
          <cell r="D727" t="str">
            <v xml:space="preserve">   MCF</v>
          </cell>
          <cell r="E727" t="str">
            <v>UNAV</v>
          </cell>
          <cell r="F727" t="str">
            <v xml:space="preserve"> S</v>
          </cell>
          <cell r="G727">
            <v>36796.261805555558</v>
          </cell>
          <cell r="H727" t="str">
            <v>TVOL</v>
          </cell>
        </row>
        <row r="728">
          <cell r="A728">
            <v>46035</v>
          </cell>
          <cell r="B728" t="e">
            <v>#NAME?</v>
          </cell>
          <cell r="C728">
            <v>0</v>
          </cell>
          <cell r="D728" t="str">
            <v xml:space="preserve">   MCF</v>
          </cell>
          <cell r="E728" t="str">
            <v xml:space="preserve">    </v>
          </cell>
          <cell r="F728" t="str">
            <v xml:space="preserve"> S</v>
          </cell>
          <cell r="G728">
            <v>36796.261805555558</v>
          </cell>
          <cell r="H728" t="str">
            <v>TVOL</v>
          </cell>
        </row>
        <row r="729">
          <cell r="A729">
            <v>46037</v>
          </cell>
          <cell r="B729" t="e">
            <v>#NAME?</v>
          </cell>
          <cell r="C729">
            <v>0</v>
          </cell>
          <cell r="D729" t="str">
            <v xml:space="preserve">   MCF</v>
          </cell>
          <cell r="E729" t="str">
            <v>UNAV</v>
          </cell>
          <cell r="F729" t="str">
            <v xml:space="preserve"> S</v>
          </cell>
          <cell r="G729">
            <v>36796.261805555558</v>
          </cell>
          <cell r="H729" t="str">
            <v>TVOL</v>
          </cell>
        </row>
        <row r="730">
          <cell r="A730">
            <v>46038</v>
          </cell>
          <cell r="B730" t="e">
            <v>#NAME?</v>
          </cell>
          <cell r="C730">
            <v>0</v>
          </cell>
          <cell r="D730" t="str">
            <v xml:space="preserve">   MCF</v>
          </cell>
          <cell r="E730" t="str">
            <v>UNAV</v>
          </cell>
          <cell r="F730" t="str">
            <v xml:space="preserve"> S</v>
          </cell>
          <cell r="G730">
            <v>36796.261805555558</v>
          </cell>
          <cell r="H730" t="str">
            <v>TVOL</v>
          </cell>
        </row>
        <row r="731">
          <cell r="A731">
            <v>46042</v>
          </cell>
          <cell r="B731" t="e">
            <v>#NAME?</v>
          </cell>
          <cell r="C731">
            <v>0</v>
          </cell>
          <cell r="D731" t="str">
            <v xml:space="preserve">   MCF</v>
          </cell>
          <cell r="E731" t="str">
            <v>UNAV</v>
          </cell>
          <cell r="F731" t="str">
            <v xml:space="preserve"> S</v>
          </cell>
          <cell r="G731">
            <v>36796.261805555558</v>
          </cell>
          <cell r="H731" t="str">
            <v>TVOL</v>
          </cell>
        </row>
        <row r="732">
          <cell r="A732">
            <v>56000</v>
          </cell>
          <cell r="B732" t="e">
            <v>#NAME?</v>
          </cell>
          <cell r="C732">
            <v>0</v>
          </cell>
          <cell r="D732" t="str">
            <v xml:space="preserve">   MCF</v>
          </cell>
          <cell r="E732" t="str">
            <v>UNAV</v>
          </cell>
          <cell r="F732" t="str">
            <v xml:space="preserve"> S</v>
          </cell>
          <cell r="G732">
            <v>36796.261805555558</v>
          </cell>
          <cell r="H732" t="str">
            <v>TVOL</v>
          </cell>
        </row>
        <row r="733">
          <cell r="A733">
            <v>56006</v>
          </cell>
          <cell r="B733" t="e">
            <v>#NAME?</v>
          </cell>
          <cell r="C733">
            <v>48224.128900000003</v>
          </cell>
          <cell r="D733" t="str">
            <v xml:space="preserve">   MCF</v>
          </cell>
          <cell r="E733" t="str">
            <v xml:space="preserve">    </v>
          </cell>
          <cell r="F733" t="str">
            <v xml:space="preserve"> S</v>
          </cell>
          <cell r="G733">
            <v>36796.256249999999</v>
          </cell>
          <cell r="H733" t="str">
            <v>TVOL</v>
          </cell>
        </row>
        <row r="734">
          <cell r="A734">
            <v>56006</v>
          </cell>
          <cell r="B734" t="e">
            <v>#NAME?</v>
          </cell>
          <cell r="C734">
            <v>48224.128900000003</v>
          </cell>
          <cell r="D734" t="str">
            <v xml:space="preserve">   MCF</v>
          </cell>
          <cell r="E734" t="str">
            <v xml:space="preserve">    </v>
          </cell>
          <cell r="F734" t="str">
            <v xml:space="preserve"> S</v>
          </cell>
          <cell r="G734">
            <v>36796.256249999999</v>
          </cell>
          <cell r="H734" t="str">
            <v>TVOL</v>
          </cell>
        </row>
        <row r="735">
          <cell r="A735">
            <v>56007</v>
          </cell>
          <cell r="B735" t="e">
            <v>#NAME?</v>
          </cell>
          <cell r="C735">
            <v>0</v>
          </cell>
          <cell r="D735" t="str">
            <v xml:space="preserve">   MCF</v>
          </cell>
          <cell r="E735" t="str">
            <v>UNAV</v>
          </cell>
          <cell r="F735" t="str">
            <v xml:space="preserve"> S</v>
          </cell>
          <cell r="G735">
            <v>36796.261805555558</v>
          </cell>
          <cell r="H735" t="str">
            <v>TVOL</v>
          </cell>
        </row>
        <row r="736">
          <cell r="A736">
            <v>56015</v>
          </cell>
          <cell r="B736" t="e">
            <v>#NAME?</v>
          </cell>
          <cell r="C736">
            <v>13626.0527</v>
          </cell>
          <cell r="D736" t="str">
            <v xml:space="preserve">   MCF</v>
          </cell>
          <cell r="E736" t="str">
            <v xml:space="preserve">    </v>
          </cell>
          <cell r="F736" t="str">
            <v xml:space="preserve"> S</v>
          </cell>
          <cell r="G736">
            <v>36796.259722222225</v>
          </cell>
          <cell r="H736" t="str">
            <v>TVOL</v>
          </cell>
        </row>
        <row r="737">
          <cell r="A737">
            <v>56020</v>
          </cell>
          <cell r="B737" t="e">
            <v>#NAME?</v>
          </cell>
          <cell r="C737">
            <v>0</v>
          </cell>
          <cell r="D737" t="str">
            <v xml:space="preserve">   MCF</v>
          </cell>
          <cell r="E737" t="str">
            <v>UNAV</v>
          </cell>
          <cell r="F737" t="str">
            <v xml:space="preserve"> S</v>
          </cell>
          <cell r="G737">
            <v>36796.261805555558</v>
          </cell>
          <cell r="H737" t="str">
            <v>TVOL</v>
          </cell>
        </row>
        <row r="738">
          <cell r="A738">
            <v>56031</v>
          </cell>
          <cell r="B738" t="e">
            <v>#NAME?</v>
          </cell>
          <cell r="C738">
            <v>0</v>
          </cell>
          <cell r="D738" t="str">
            <v xml:space="preserve">   MCF</v>
          </cell>
          <cell r="E738" t="str">
            <v xml:space="preserve">    </v>
          </cell>
          <cell r="F738" t="str">
            <v xml:space="preserve"> S</v>
          </cell>
          <cell r="G738">
            <v>36796.256944444445</v>
          </cell>
          <cell r="H738" t="str">
            <v>TVOL</v>
          </cell>
        </row>
        <row r="739">
          <cell r="A739">
            <v>56032</v>
          </cell>
          <cell r="B739" t="e">
            <v>#NAME?</v>
          </cell>
          <cell r="C739">
            <v>45445.792999999998</v>
          </cell>
          <cell r="D739" t="str">
            <v xml:space="preserve">   MCF</v>
          </cell>
          <cell r="E739" t="str">
            <v xml:space="preserve">    </v>
          </cell>
          <cell r="F739" t="str">
            <v xml:space="preserve"> S</v>
          </cell>
          <cell r="G739">
            <v>36796.260416666664</v>
          </cell>
          <cell r="H739" t="str">
            <v>TVOL</v>
          </cell>
        </row>
        <row r="740">
          <cell r="A740">
            <v>56039</v>
          </cell>
          <cell r="B740" t="e">
            <v>#NAME?</v>
          </cell>
          <cell r="C740">
            <v>348801.46899999998</v>
          </cell>
          <cell r="D740" t="str">
            <v xml:space="preserve">   MCF</v>
          </cell>
          <cell r="E740" t="str">
            <v xml:space="preserve">    </v>
          </cell>
          <cell r="F740" t="str">
            <v xml:space="preserve"> S</v>
          </cell>
          <cell r="G740">
            <v>36796.260416666664</v>
          </cell>
          <cell r="H740" t="str">
            <v>TVOL</v>
          </cell>
        </row>
        <row r="741">
          <cell r="A741">
            <v>56040</v>
          </cell>
          <cell r="B741" t="e">
            <v>#NAME?</v>
          </cell>
          <cell r="C741">
            <v>0</v>
          </cell>
          <cell r="D741" t="str">
            <v xml:space="preserve">   MCF</v>
          </cell>
          <cell r="E741" t="str">
            <v xml:space="preserve">    </v>
          </cell>
          <cell r="F741" t="str">
            <v xml:space="preserve"> S</v>
          </cell>
          <cell r="G741">
            <v>36796.261111111111</v>
          </cell>
          <cell r="H741" t="str">
            <v>TVOL</v>
          </cell>
        </row>
        <row r="742">
          <cell r="A742">
            <v>56041</v>
          </cell>
          <cell r="B742" t="e">
            <v>#NAME?</v>
          </cell>
          <cell r="C742">
            <v>16.728973400000001</v>
          </cell>
          <cell r="D742" t="str">
            <v xml:space="preserve">   MCF</v>
          </cell>
          <cell r="E742" t="str">
            <v xml:space="preserve">    </v>
          </cell>
          <cell r="F742" t="str">
            <v xml:space="preserve"> S</v>
          </cell>
          <cell r="G742">
            <v>36796.259027777778</v>
          </cell>
          <cell r="H742" t="str">
            <v>TVOL</v>
          </cell>
        </row>
        <row r="743">
          <cell r="A743">
            <v>56042</v>
          </cell>
          <cell r="B743" t="e">
            <v>#NAME?</v>
          </cell>
          <cell r="C743">
            <v>18815.4277</v>
          </cell>
          <cell r="D743" t="str">
            <v xml:space="preserve">   MCF</v>
          </cell>
          <cell r="E743" t="str">
            <v xml:space="preserve">    </v>
          </cell>
          <cell r="F743" t="str">
            <v xml:space="preserve"> S</v>
          </cell>
          <cell r="G743">
            <v>36796.259027777778</v>
          </cell>
          <cell r="H743" t="str">
            <v>TVOL</v>
          </cell>
        </row>
        <row r="744">
          <cell r="A744">
            <v>56043</v>
          </cell>
          <cell r="B744" t="e">
            <v>#NAME?</v>
          </cell>
          <cell r="C744">
            <v>265278.21899999998</v>
          </cell>
          <cell r="D744" t="str">
            <v xml:space="preserve">   MCF</v>
          </cell>
          <cell r="E744" t="str">
            <v xml:space="preserve">    </v>
          </cell>
          <cell r="F744" t="str">
            <v xml:space="preserve"> S</v>
          </cell>
          <cell r="G744">
            <v>36796.255555555559</v>
          </cell>
          <cell r="H744" t="str">
            <v>TVOL</v>
          </cell>
        </row>
        <row r="745">
          <cell r="A745">
            <v>56044</v>
          </cell>
          <cell r="B745" t="e">
            <v>#NAME?</v>
          </cell>
          <cell r="C745">
            <v>0</v>
          </cell>
          <cell r="D745" t="str">
            <v xml:space="preserve">   MCF</v>
          </cell>
          <cell r="E745" t="str">
            <v xml:space="preserve">    </v>
          </cell>
          <cell r="F745" t="str">
            <v xml:space="preserve"> S</v>
          </cell>
          <cell r="G745">
            <v>36796.256944444445</v>
          </cell>
          <cell r="H745" t="str">
            <v>TVOL</v>
          </cell>
        </row>
        <row r="746">
          <cell r="A746">
            <v>620614</v>
          </cell>
          <cell r="B746" t="e">
            <v>#NAME?</v>
          </cell>
          <cell r="C746">
            <v>0</v>
          </cell>
          <cell r="D746" t="str">
            <v xml:space="preserve">   MCF</v>
          </cell>
          <cell r="E746" t="str">
            <v>UNAV</v>
          </cell>
          <cell r="F746" t="str">
            <v xml:space="preserve"> S</v>
          </cell>
          <cell r="G746">
            <v>36796.261805555558</v>
          </cell>
          <cell r="H746" t="str">
            <v>TVOL</v>
          </cell>
        </row>
        <row r="747">
          <cell r="A747">
            <v>621300</v>
          </cell>
          <cell r="B747" t="e">
            <v>#NAME?</v>
          </cell>
          <cell r="C747">
            <v>0</v>
          </cell>
          <cell r="D747" t="str">
            <v xml:space="preserve">   MCF</v>
          </cell>
          <cell r="E747" t="str">
            <v>UNAV</v>
          </cell>
          <cell r="F747" t="str">
            <v xml:space="preserve"> S</v>
          </cell>
          <cell r="G747">
            <v>36796.261805555558</v>
          </cell>
          <cell r="H747" t="str">
            <v>TVOL</v>
          </cell>
        </row>
        <row r="748">
          <cell r="A748" t="str">
            <v xml:space="preserve"> 06101BTU  </v>
          </cell>
          <cell r="B748" t="e">
            <v>#NAME?</v>
          </cell>
          <cell r="C748">
            <v>0</v>
          </cell>
          <cell r="D748" t="str">
            <v xml:space="preserve">   BTU</v>
          </cell>
          <cell r="E748" t="str">
            <v>UNAV</v>
          </cell>
          <cell r="F748" t="str">
            <v xml:space="preserve"> S</v>
          </cell>
          <cell r="G748">
            <v>36796.261805555558</v>
          </cell>
          <cell r="H748" t="str">
            <v xml:space="preserve"> BTU</v>
          </cell>
        </row>
        <row r="749">
          <cell r="A749" t="str">
            <v xml:space="preserve"> 06148BTU  </v>
          </cell>
          <cell r="B749" t="e">
            <v>#NAME?</v>
          </cell>
          <cell r="C749">
            <v>1010.98407</v>
          </cell>
          <cell r="D749" t="str">
            <v xml:space="preserve">   BTU</v>
          </cell>
          <cell r="E749" t="str">
            <v xml:space="preserve">    </v>
          </cell>
          <cell r="F749" t="str">
            <v xml:space="preserve"> S</v>
          </cell>
          <cell r="G749">
            <v>36796.261805555558</v>
          </cell>
          <cell r="H749" t="str">
            <v xml:space="preserve"> BTU</v>
          </cell>
        </row>
        <row r="750">
          <cell r="A750" t="str">
            <v xml:space="preserve"> 16001BTU  </v>
          </cell>
          <cell r="B750" t="e">
            <v>#NAME?</v>
          </cell>
          <cell r="C750">
            <v>0</v>
          </cell>
          <cell r="D750" t="str">
            <v xml:space="preserve">   BTU</v>
          </cell>
          <cell r="E750" t="str">
            <v>UNAV</v>
          </cell>
          <cell r="F750" t="str">
            <v xml:space="preserve"> S</v>
          </cell>
          <cell r="G750">
            <v>36796.261805555558</v>
          </cell>
          <cell r="H750" t="str">
            <v xml:space="preserve"> BTU</v>
          </cell>
        </row>
        <row r="751">
          <cell r="A751" t="str">
            <v xml:space="preserve"> 16016BTU  </v>
          </cell>
          <cell r="B751" t="e">
            <v>#NAME?</v>
          </cell>
          <cell r="C751">
            <v>0</v>
          </cell>
          <cell r="D751" t="str">
            <v xml:space="preserve">   BTU</v>
          </cell>
          <cell r="E751" t="str">
            <v>UNAV</v>
          </cell>
          <cell r="F751" t="str">
            <v xml:space="preserve"> S</v>
          </cell>
          <cell r="G751">
            <v>36796.261805555558</v>
          </cell>
          <cell r="H751" t="str">
            <v xml:space="preserve"> BTU</v>
          </cell>
        </row>
        <row r="752">
          <cell r="A752" t="str">
            <v xml:space="preserve"> 16032BTU  </v>
          </cell>
          <cell r="B752" t="e">
            <v>#NAME?</v>
          </cell>
          <cell r="C752">
            <v>0</v>
          </cell>
          <cell r="D752" t="str">
            <v xml:space="preserve">   BTU</v>
          </cell>
          <cell r="E752" t="str">
            <v>UNAV</v>
          </cell>
          <cell r="F752" t="str">
            <v xml:space="preserve"> S</v>
          </cell>
          <cell r="G752">
            <v>36796.261805555558</v>
          </cell>
          <cell r="H752" t="str">
            <v xml:space="preserve"> BTU</v>
          </cell>
        </row>
        <row r="753">
          <cell r="A753" t="str">
            <v xml:space="preserve"> 16036BTU  </v>
          </cell>
          <cell r="B753" t="e">
            <v>#NAME?</v>
          </cell>
          <cell r="C753">
            <v>0</v>
          </cell>
          <cell r="D753" t="str">
            <v xml:space="preserve">   BTU</v>
          </cell>
          <cell r="E753" t="str">
            <v>UNAV</v>
          </cell>
          <cell r="F753" t="str">
            <v xml:space="preserve"> S</v>
          </cell>
          <cell r="G753">
            <v>36796.261805555558</v>
          </cell>
          <cell r="H753" t="str">
            <v xml:space="preserve"> BTU</v>
          </cell>
        </row>
        <row r="754">
          <cell r="A754" t="str">
            <v xml:space="preserve"> 16038BTU  </v>
          </cell>
          <cell r="B754" t="e">
            <v>#NAME?</v>
          </cell>
          <cell r="C754">
            <v>0</v>
          </cell>
          <cell r="D754" t="str">
            <v xml:space="preserve">   BTU</v>
          </cell>
          <cell r="E754" t="str">
            <v>UNAV</v>
          </cell>
          <cell r="F754" t="str">
            <v xml:space="preserve"> S</v>
          </cell>
          <cell r="G754">
            <v>36796.261805555558</v>
          </cell>
          <cell r="H754" t="str">
            <v xml:space="preserve"> BTU</v>
          </cell>
        </row>
        <row r="755">
          <cell r="A755" t="str">
            <v xml:space="preserve"> 16039BTU  </v>
          </cell>
          <cell r="B755" t="e">
            <v>#NAME?</v>
          </cell>
          <cell r="C755">
            <v>0</v>
          </cell>
          <cell r="D755" t="str">
            <v xml:space="preserve">   BTU</v>
          </cell>
          <cell r="E755" t="str">
            <v>UNAV</v>
          </cell>
          <cell r="F755" t="str">
            <v xml:space="preserve"> S</v>
          </cell>
          <cell r="G755">
            <v>36796.261805555558</v>
          </cell>
          <cell r="H755" t="str">
            <v xml:space="preserve"> BTU</v>
          </cell>
        </row>
        <row r="756">
          <cell r="A756" t="str">
            <v xml:space="preserve"> 16047BTU  </v>
          </cell>
          <cell r="B756" t="e">
            <v>#NAME?</v>
          </cell>
          <cell r="C756">
            <v>0</v>
          </cell>
          <cell r="D756" t="str">
            <v xml:space="preserve">   BTU</v>
          </cell>
          <cell r="E756" t="str">
            <v>UNAV</v>
          </cell>
          <cell r="F756" t="str">
            <v xml:space="preserve"> S</v>
          </cell>
          <cell r="G756">
            <v>36796.261805555558</v>
          </cell>
          <cell r="H756" t="str">
            <v xml:space="preserve"> BTU</v>
          </cell>
        </row>
        <row r="757">
          <cell r="A757" t="str">
            <v xml:space="preserve"> 16055BTU  </v>
          </cell>
          <cell r="B757" t="e">
            <v>#NAME?</v>
          </cell>
          <cell r="C757">
            <v>0</v>
          </cell>
          <cell r="D757" t="str">
            <v xml:space="preserve">   BTU</v>
          </cell>
          <cell r="E757" t="str">
            <v>UNAV</v>
          </cell>
          <cell r="F757" t="str">
            <v xml:space="preserve"> S</v>
          </cell>
          <cell r="G757">
            <v>36796.261805555558</v>
          </cell>
          <cell r="H757" t="str">
            <v xml:space="preserve"> BTU</v>
          </cell>
        </row>
        <row r="758">
          <cell r="A758" t="str">
            <v xml:space="preserve"> 16057BTU  </v>
          </cell>
          <cell r="B758" t="e">
            <v>#NAME?</v>
          </cell>
          <cell r="C758">
            <v>0</v>
          </cell>
          <cell r="D758" t="str">
            <v xml:space="preserve">   BTU</v>
          </cell>
          <cell r="E758" t="str">
            <v>UNAV</v>
          </cell>
          <cell r="F758" t="str">
            <v xml:space="preserve"> S</v>
          </cell>
          <cell r="G758">
            <v>36796.261805555558</v>
          </cell>
          <cell r="H758" t="str">
            <v xml:space="preserve"> BTU</v>
          </cell>
        </row>
        <row r="759">
          <cell r="A759" t="str">
            <v xml:space="preserve"> 16058BTU  </v>
          </cell>
          <cell r="B759" t="e">
            <v>#NAME?</v>
          </cell>
          <cell r="C759">
            <v>0</v>
          </cell>
          <cell r="D759" t="str">
            <v xml:space="preserve">   BTU</v>
          </cell>
          <cell r="E759" t="str">
            <v>UNAV</v>
          </cell>
          <cell r="F759" t="str">
            <v xml:space="preserve"> S</v>
          </cell>
          <cell r="G759">
            <v>36796.261805555558</v>
          </cell>
          <cell r="H759" t="str">
            <v xml:space="preserve"> BTU</v>
          </cell>
        </row>
        <row r="760">
          <cell r="A760" t="str">
            <v xml:space="preserve"> 16059BTU  </v>
          </cell>
          <cell r="B760" t="e">
            <v>#NAME?</v>
          </cell>
          <cell r="C760">
            <v>0</v>
          </cell>
          <cell r="D760" t="str">
            <v xml:space="preserve">   BTU</v>
          </cell>
          <cell r="E760" t="str">
            <v>UNAV</v>
          </cell>
          <cell r="F760" t="str">
            <v xml:space="preserve"> S</v>
          </cell>
          <cell r="G760">
            <v>36796.261805555558</v>
          </cell>
          <cell r="H760" t="str">
            <v xml:space="preserve"> BTU</v>
          </cell>
        </row>
        <row r="761">
          <cell r="A761" t="str">
            <v xml:space="preserve"> 16064BTU  </v>
          </cell>
          <cell r="B761" t="e">
            <v>#NAME?</v>
          </cell>
          <cell r="C761">
            <v>0</v>
          </cell>
          <cell r="D761" t="str">
            <v xml:space="preserve">   BTU</v>
          </cell>
          <cell r="E761" t="str">
            <v>UNAV</v>
          </cell>
          <cell r="F761" t="str">
            <v xml:space="preserve"> S</v>
          </cell>
          <cell r="G761">
            <v>36796.261805555558</v>
          </cell>
          <cell r="H761" t="str">
            <v xml:space="preserve"> BTU</v>
          </cell>
        </row>
        <row r="762">
          <cell r="A762" t="str">
            <v xml:space="preserve"> 16066BTU  </v>
          </cell>
          <cell r="B762" t="e">
            <v>#NAME?</v>
          </cell>
          <cell r="C762">
            <v>1013</v>
          </cell>
          <cell r="D762" t="str">
            <v xml:space="preserve">   BTU</v>
          </cell>
          <cell r="E762" t="str">
            <v xml:space="preserve">    </v>
          </cell>
          <cell r="F762" t="str">
            <v xml:space="preserve"> S</v>
          </cell>
          <cell r="G762">
            <v>36796.261805555558</v>
          </cell>
          <cell r="H762" t="str">
            <v xml:space="preserve"> BTU</v>
          </cell>
        </row>
        <row r="763">
          <cell r="A763" t="str">
            <v xml:space="preserve"> 16068BTU  </v>
          </cell>
          <cell r="B763" t="e">
            <v>#NAME?</v>
          </cell>
          <cell r="C763">
            <v>1026</v>
          </cell>
          <cell r="D763" t="str">
            <v xml:space="preserve">   BTU</v>
          </cell>
          <cell r="E763" t="str">
            <v xml:space="preserve">    </v>
          </cell>
          <cell r="F763" t="str">
            <v xml:space="preserve"> S</v>
          </cell>
          <cell r="G763">
            <v>36796.261805555558</v>
          </cell>
          <cell r="H763" t="str">
            <v xml:space="preserve"> BTU</v>
          </cell>
        </row>
        <row r="764">
          <cell r="A764" t="str">
            <v xml:space="preserve"> 16069BTU  </v>
          </cell>
          <cell r="B764" t="e">
            <v>#NAME?</v>
          </cell>
          <cell r="C764">
            <v>0</v>
          </cell>
          <cell r="D764" t="str">
            <v xml:space="preserve">   BTU</v>
          </cell>
          <cell r="E764" t="str">
            <v>UNAV</v>
          </cell>
          <cell r="F764" t="str">
            <v xml:space="preserve"> S</v>
          </cell>
          <cell r="G764">
            <v>36796.261805555558</v>
          </cell>
          <cell r="H764" t="str">
            <v xml:space="preserve"> BTU</v>
          </cell>
        </row>
        <row r="765">
          <cell r="A765" t="str">
            <v xml:space="preserve"> 16070BTU  </v>
          </cell>
          <cell r="B765" t="e">
            <v>#NAME?</v>
          </cell>
          <cell r="C765">
            <v>0</v>
          </cell>
          <cell r="D765" t="str">
            <v xml:space="preserve">   BTU</v>
          </cell>
          <cell r="E765" t="str">
            <v>UNAV</v>
          </cell>
          <cell r="F765" t="str">
            <v xml:space="preserve"> S</v>
          </cell>
          <cell r="G765">
            <v>36796.261805555558</v>
          </cell>
          <cell r="H765" t="str">
            <v xml:space="preserve"> BTU</v>
          </cell>
        </row>
        <row r="766">
          <cell r="A766" t="str">
            <v xml:space="preserve"> 16073BTU  </v>
          </cell>
          <cell r="B766" t="e">
            <v>#NAME?</v>
          </cell>
          <cell r="C766">
            <v>0</v>
          </cell>
          <cell r="D766" t="str">
            <v xml:space="preserve">   BTU</v>
          </cell>
          <cell r="E766" t="str">
            <v>UNAV</v>
          </cell>
          <cell r="F766" t="str">
            <v xml:space="preserve"> S</v>
          </cell>
          <cell r="G766">
            <v>36796.261805555558</v>
          </cell>
          <cell r="H766" t="str">
            <v xml:space="preserve"> BTU</v>
          </cell>
        </row>
        <row r="767">
          <cell r="A767" t="str">
            <v xml:space="preserve"> 16078BTU  </v>
          </cell>
          <cell r="B767" t="e">
            <v>#NAME?</v>
          </cell>
          <cell r="C767">
            <v>0</v>
          </cell>
          <cell r="D767" t="str">
            <v xml:space="preserve">   BTU</v>
          </cell>
          <cell r="E767" t="str">
            <v>UNAV</v>
          </cell>
          <cell r="F767" t="str">
            <v xml:space="preserve"> S</v>
          </cell>
          <cell r="G767">
            <v>36796.261805555558</v>
          </cell>
          <cell r="H767" t="str">
            <v xml:space="preserve"> BTU</v>
          </cell>
        </row>
        <row r="768">
          <cell r="A768" t="str">
            <v xml:space="preserve"> 16080BTU  </v>
          </cell>
          <cell r="B768" t="e">
            <v>#NAME?</v>
          </cell>
          <cell r="C768">
            <v>1033</v>
          </cell>
          <cell r="D768" t="str">
            <v xml:space="preserve">   BTU</v>
          </cell>
          <cell r="E768" t="str">
            <v xml:space="preserve">    </v>
          </cell>
          <cell r="F768" t="str">
            <v xml:space="preserve"> S</v>
          </cell>
          <cell r="G768">
            <v>36796.261805555558</v>
          </cell>
          <cell r="H768" t="str">
            <v xml:space="preserve"> BTU</v>
          </cell>
        </row>
        <row r="769">
          <cell r="A769" t="str">
            <v xml:space="preserve"> 16083BTU  </v>
          </cell>
          <cell r="B769" t="e">
            <v>#NAME?</v>
          </cell>
          <cell r="C769">
            <v>0</v>
          </cell>
          <cell r="D769" t="str">
            <v xml:space="preserve">   BTU</v>
          </cell>
          <cell r="E769" t="str">
            <v>UNAV</v>
          </cell>
          <cell r="F769" t="str">
            <v xml:space="preserve"> S</v>
          </cell>
          <cell r="G769">
            <v>36796.261805555558</v>
          </cell>
          <cell r="H769" t="str">
            <v xml:space="preserve"> BTU</v>
          </cell>
        </row>
        <row r="770">
          <cell r="A770" t="str">
            <v xml:space="preserve"> 16087BTU  </v>
          </cell>
          <cell r="B770" t="e">
            <v>#NAME?</v>
          </cell>
          <cell r="C770">
            <v>1028</v>
          </cell>
          <cell r="D770" t="str">
            <v xml:space="preserve">   BTU</v>
          </cell>
          <cell r="E770" t="str">
            <v xml:space="preserve">    </v>
          </cell>
          <cell r="F770" t="str">
            <v xml:space="preserve"> S</v>
          </cell>
          <cell r="G770">
            <v>36796.261805555558</v>
          </cell>
          <cell r="H770" t="str">
            <v xml:space="preserve"> BTU</v>
          </cell>
        </row>
        <row r="771">
          <cell r="A771" t="str">
            <v xml:space="preserve"> 16088BTU  </v>
          </cell>
          <cell r="B771" t="e">
            <v>#NAME?</v>
          </cell>
          <cell r="C771">
            <v>1010.98407</v>
          </cell>
          <cell r="D771" t="str">
            <v xml:space="preserve">   BTU</v>
          </cell>
          <cell r="E771" t="str">
            <v xml:space="preserve">    </v>
          </cell>
          <cell r="F771" t="str">
            <v xml:space="preserve"> S</v>
          </cell>
          <cell r="G771">
            <v>36796.261805555558</v>
          </cell>
          <cell r="H771" t="str">
            <v xml:space="preserve"> BTU</v>
          </cell>
        </row>
        <row r="772">
          <cell r="A772" t="str">
            <v xml:space="preserve"> 16092BTU  </v>
          </cell>
          <cell r="B772" t="e">
            <v>#NAME?</v>
          </cell>
          <cell r="C772">
            <v>0</v>
          </cell>
          <cell r="D772" t="str">
            <v xml:space="preserve">   BTU</v>
          </cell>
          <cell r="E772" t="str">
            <v>UNAV</v>
          </cell>
          <cell r="F772" t="str">
            <v xml:space="preserve"> S</v>
          </cell>
          <cell r="G772">
            <v>36796.261805555558</v>
          </cell>
          <cell r="H772" t="str">
            <v xml:space="preserve"> BTU</v>
          </cell>
        </row>
        <row r="773">
          <cell r="A773" t="str">
            <v xml:space="preserve"> 16094BTU  </v>
          </cell>
          <cell r="B773" t="e">
            <v>#NAME?</v>
          </cell>
          <cell r="C773">
            <v>0</v>
          </cell>
          <cell r="D773" t="str">
            <v xml:space="preserve">   BTU</v>
          </cell>
          <cell r="E773" t="str">
            <v>UNAV</v>
          </cell>
          <cell r="F773" t="str">
            <v xml:space="preserve"> S</v>
          </cell>
          <cell r="G773">
            <v>36796.261805555558</v>
          </cell>
          <cell r="H773" t="str">
            <v xml:space="preserve"> BTU</v>
          </cell>
        </row>
        <row r="774">
          <cell r="A774" t="str">
            <v xml:space="preserve"> 16098BTU  </v>
          </cell>
          <cell r="B774" t="e">
            <v>#NAME?</v>
          </cell>
          <cell r="C774">
            <v>0</v>
          </cell>
          <cell r="D774" t="str">
            <v xml:space="preserve">   BTU</v>
          </cell>
          <cell r="E774" t="str">
            <v>UNAV</v>
          </cell>
          <cell r="F774" t="str">
            <v xml:space="preserve"> S</v>
          </cell>
          <cell r="G774">
            <v>36796.261805555558</v>
          </cell>
          <cell r="H774" t="str">
            <v xml:space="preserve"> BTU</v>
          </cell>
        </row>
        <row r="775">
          <cell r="A775" t="str">
            <v xml:space="preserve"> 16104BTU  </v>
          </cell>
          <cell r="B775" t="e">
            <v>#NAME?</v>
          </cell>
          <cell r="C775">
            <v>0</v>
          </cell>
          <cell r="D775" t="str">
            <v xml:space="preserve">   BTU</v>
          </cell>
          <cell r="E775" t="str">
            <v>UNAV</v>
          </cell>
          <cell r="F775" t="str">
            <v xml:space="preserve"> S</v>
          </cell>
          <cell r="G775">
            <v>36796.261805555558</v>
          </cell>
          <cell r="H775" t="str">
            <v xml:space="preserve"> BTU</v>
          </cell>
        </row>
        <row r="776">
          <cell r="A776" t="str">
            <v xml:space="preserve"> 16105BTU  </v>
          </cell>
          <cell r="B776" t="e">
            <v>#NAME?</v>
          </cell>
          <cell r="C776">
            <v>0</v>
          </cell>
          <cell r="D776" t="str">
            <v xml:space="preserve">   BTU</v>
          </cell>
          <cell r="E776" t="str">
            <v>UNAV</v>
          </cell>
          <cell r="F776" t="str">
            <v xml:space="preserve"> S</v>
          </cell>
          <cell r="G776">
            <v>36796.261805555558</v>
          </cell>
          <cell r="H776" t="str">
            <v xml:space="preserve"> BTU</v>
          </cell>
        </row>
        <row r="777">
          <cell r="A777" t="str">
            <v xml:space="preserve"> 16107BTU  </v>
          </cell>
          <cell r="B777" t="e">
            <v>#NAME?</v>
          </cell>
          <cell r="C777">
            <v>0</v>
          </cell>
          <cell r="D777" t="str">
            <v xml:space="preserve">   BTU</v>
          </cell>
          <cell r="E777" t="str">
            <v>UNAV</v>
          </cell>
          <cell r="F777" t="str">
            <v xml:space="preserve"> S</v>
          </cell>
          <cell r="G777">
            <v>36796.261805555558</v>
          </cell>
          <cell r="H777" t="str">
            <v xml:space="preserve"> BTU</v>
          </cell>
        </row>
        <row r="778">
          <cell r="A778" t="str">
            <v xml:space="preserve"> 16108BTU  </v>
          </cell>
          <cell r="B778" t="e">
            <v>#NAME?</v>
          </cell>
          <cell r="C778">
            <v>0</v>
          </cell>
          <cell r="D778" t="str">
            <v xml:space="preserve">   BTU</v>
          </cell>
          <cell r="E778" t="str">
            <v>UNAV</v>
          </cell>
          <cell r="F778" t="str">
            <v xml:space="preserve"> S</v>
          </cell>
          <cell r="G778">
            <v>36796.261805555558</v>
          </cell>
          <cell r="H778" t="str">
            <v xml:space="preserve"> BTU</v>
          </cell>
        </row>
        <row r="779">
          <cell r="A779" t="str">
            <v xml:space="preserve"> 16109BTU  </v>
          </cell>
          <cell r="B779" t="e">
            <v>#NAME?</v>
          </cell>
          <cell r="C779">
            <v>0</v>
          </cell>
          <cell r="D779" t="str">
            <v xml:space="preserve">   BTU</v>
          </cell>
          <cell r="E779" t="str">
            <v>UNAV</v>
          </cell>
          <cell r="F779" t="str">
            <v xml:space="preserve"> S</v>
          </cell>
          <cell r="G779">
            <v>36796.261805555558</v>
          </cell>
          <cell r="H779" t="str">
            <v xml:space="preserve"> BTU</v>
          </cell>
        </row>
        <row r="780">
          <cell r="A780" t="str">
            <v xml:space="preserve"> 16112BTU  </v>
          </cell>
          <cell r="B780" t="e">
            <v>#NAME?</v>
          </cell>
          <cell r="C780">
            <v>0</v>
          </cell>
          <cell r="D780" t="str">
            <v xml:space="preserve">   BTU</v>
          </cell>
          <cell r="E780" t="str">
            <v>UNAV</v>
          </cell>
          <cell r="F780" t="str">
            <v xml:space="preserve"> S</v>
          </cell>
          <cell r="G780">
            <v>36796.261805555558</v>
          </cell>
          <cell r="H780" t="str">
            <v xml:space="preserve"> BTU</v>
          </cell>
        </row>
        <row r="781">
          <cell r="A781" t="str">
            <v xml:space="preserve"> 16114BTU  </v>
          </cell>
          <cell r="B781" t="e">
            <v>#NAME?</v>
          </cell>
          <cell r="C781">
            <v>0</v>
          </cell>
          <cell r="D781" t="str">
            <v xml:space="preserve">   BTU</v>
          </cell>
          <cell r="E781" t="str">
            <v>UNAV</v>
          </cell>
          <cell r="F781" t="str">
            <v xml:space="preserve"> S</v>
          </cell>
          <cell r="G781">
            <v>36796.261805555558</v>
          </cell>
          <cell r="H781" t="str">
            <v xml:space="preserve"> BTU</v>
          </cell>
        </row>
        <row r="782">
          <cell r="A782" t="str">
            <v xml:space="preserve"> 16119BTU  </v>
          </cell>
          <cell r="B782" t="e">
            <v>#NAME?</v>
          </cell>
          <cell r="C782">
            <v>0</v>
          </cell>
          <cell r="D782" t="str">
            <v xml:space="preserve">   BTU</v>
          </cell>
          <cell r="E782" t="str">
            <v>UNAV</v>
          </cell>
          <cell r="F782" t="str">
            <v xml:space="preserve"> S</v>
          </cell>
          <cell r="G782">
            <v>36796.261805555558</v>
          </cell>
          <cell r="H782" t="str">
            <v xml:space="preserve"> BTU</v>
          </cell>
        </row>
        <row r="783">
          <cell r="A783" t="str">
            <v xml:space="preserve"> 16122BTU  </v>
          </cell>
          <cell r="B783" t="e">
            <v>#NAME?</v>
          </cell>
          <cell r="C783">
            <v>0</v>
          </cell>
          <cell r="D783" t="str">
            <v xml:space="preserve">   BTU</v>
          </cell>
          <cell r="E783" t="str">
            <v>UNAV</v>
          </cell>
          <cell r="F783" t="str">
            <v xml:space="preserve"> S</v>
          </cell>
          <cell r="G783">
            <v>36796.261805555558</v>
          </cell>
          <cell r="H783" t="str">
            <v xml:space="preserve"> BTU</v>
          </cell>
        </row>
        <row r="784">
          <cell r="A784" t="str">
            <v xml:space="preserve"> 16124BTU  </v>
          </cell>
          <cell r="B784" t="e">
            <v>#NAME?</v>
          </cell>
          <cell r="C784">
            <v>0</v>
          </cell>
          <cell r="D784" t="str">
            <v xml:space="preserve">   BTU</v>
          </cell>
          <cell r="E784" t="str">
            <v xml:space="preserve">    </v>
          </cell>
          <cell r="F784" t="str">
            <v xml:space="preserve"> S</v>
          </cell>
          <cell r="G784">
            <v>36796.261805555558</v>
          </cell>
          <cell r="H784" t="str">
            <v xml:space="preserve"> BTU</v>
          </cell>
        </row>
        <row r="785">
          <cell r="A785" t="str">
            <v xml:space="preserve"> 16127BTU  </v>
          </cell>
          <cell r="B785" t="e">
            <v>#NAME?</v>
          </cell>
          <cell r="C785">
            <v>1015</v>
          </cell>
          <cell r="D785" t="str">
            <v xml:space="preserve">   BTU</v>
          </cell>
          <cell r="E785" t="str">
            <v xml:space="preserve">    </v>
          </cell>
          <cell r="F785" t="str">
            <v xml:space="preserve"> S</v>
          </cell>
          <cell r="G785">
            <v>36796.261805555558</v>
          </cell>
          <cell r="H785" t="str">
            <v xml:space="preserve"> BTU</v>
          </cell>
        </row>
        <row r="786">
          <cell r="A786" t="str">
            <v xml:space="preserve"> 16128BTU  </v>
          </cell>
          <cell r="B786" t="e">
            <v>#NAME?</v>
          </cell>
          <cell r="C786">
            <v>0</v>
          </cell>
          <cell r="D786" t="str">
            <v xml:space="preserve">   BTU</v>
          </cell>
          <cell r="E786" t="str">
            <v>UNAV</v>
          </cell>
          <cell r="F786" t="str">
            <v xml:space="preserve"> S</v>
          </cell>
          <cell r="G786">
            <v>36796.261805555558</v>
          </cell>
          <cell r="H786" t="str">
            <v xml:space="preserve"> BTU</v>
          </cell>
        </row>
        <row r="787">
          <cell r="A787" t="str">
            <v xml:space="preserve"> 16130BTU  </v>
          </cell>
          <cell r="B787" t="e">
            <v>#NAME?</v>
          </cell>
          <cell r="C787">
            <v>1005</v>
          </cell>
          <cell r="D787" t="str">
            <v xml:space="preserve">   BTU</v>
          </cell>
          <cell r="E787" t="str">
            <v xml:space="preserve">    </v>
          </cell>
          <cell r="F787" t="str">
            <v xml:space="preserve"> S</v>
          </cell>
          <cell r="G787">
            <v>36796.261805555558</v>
          </cell>
          <cell r="H787" t="str">
            <v xml:space="preserve"> BTU</v>
          </cell>
        </row>
        <row r="788">
          <cell r="A788" t="str">
            <v xml:space="preserve"> 16136BTU  </v>
          </cell>
          <cell r="B788" t="e">
            <v>#NAME?</v>
          </cell>
          <cell r="C788">
            <v>0</v>
          </cell>
          <cell r="D788" t="str">
            <v xml:space="preserve">   BTU</v>
          </cell>
          <cell r="E788" t="str">
            <v>UNAV</v>
          </cell>
          <cell r="F788" t="str">
            <v xml:space="preserve"> S</v>
          </cell>
          <cell r="G788">
            <v>36796.261805555558</v>
          </cell>
          <cell r="H788" t="str">
            <v xml:space="preserve"> BTU</v>
          </cell>
        </row>
        <row r="789">
          <cell r="A789" t="str">
            <v xml:space="preserve"> 16138BTU  </v>
          </cell>
          <cell r="B789" t="e">
            <v>#NAME?</v>
          </cell>
          <cell r="C789">
            <v>0</v>
          </cell>
          <cell r="D789" t="str">
            <v xml:space="preserve">   BTU</v>
          </cell>
          <cell r="E789" t="str">
            <v>UNAV</v>
          </cell>
          <cell r="F789" t="str">
            <v xml:space="preserve"> S</v>
          </cell>
          <cell r="G789">
            <v>36796.261805555558</v>
          </cell>
          <cell r="H789" t="str">
            <v xml:space="preserve"> BTU</v>
          </cell>
        </row>
        <row r="790">
          <cell r="A790" t="str">
            <v xml:space="preserve"> 16146BTU  </v>
          </cell>
          <cell r="B790" t="e">
            <v>#NAME?</v>
          </cell>
          <cell r="C790">
            <v>0</v>
          </cell>
          <cell r="D790" t="str">
            <v xml:space="preserve">   BTU</v>
          </cell>
          <cell r="E790" t="str">
            <v>UNAV</v>
          </cell>
          <cell r="F790" t="str">
            <v xml:space="preserve"> S</v>
          </cell>
          <cell r="G790">
            <v>36796.261805555558</v>
          </cell>
          <cell r="H790" t="str">
            <v xml:space="preserve"> BTU</v>
          </cell>
        </row>
        <row r="791">
          <cell r="A791" t="str">
            <v xml:space="preserve"> 16147BTU  </v>
          </cell>
          <cell r="B791" t="e">
            <v>#NAME?</v>
          </cell>
          <cell r="C791">
            <v>0</v>
          </cell>
          <cell r="D791" t="str">
            <v xml:space="preserve">   BTU</v>
          </cell>
          <cell r="E791" t="str">
            <v>UNAV</v>
          </cell>
          <cell r="F791" t="str">
            <v xml:space="preserve"> S</v>
          </cell>
          <cell r="G791">
            <v>36796.261805555558</v>
          </cell>
          <cell r="H791" t="str">
            <v xml:space="preserve"> BTU</v>
          </cell>
        </row>
        <row r="792">
          <cell r="A792" t="str">
            <v xml:space="preserve"> 16151BTU  </v>
          </cell>
          <cell r="B792" t="e">
            <v>#NAME?</v>
          </cell>
          <cell r="C792">
            <v>0</v>
          </cell>
          <cell r="D792" t="str">
            <v xml:space="preserve">   BTU</v>
          </cell>
          <cell r="E792" t="str">
            <v>UNAV</v>
          </cell>
          <cell r="F792" t="str">
            <v xml:space="preserve"> S</v>
          </cell>
          <cell r="G792">
            <v>36796.261805555558</v>
          </cell>
          <cell r="H792" t="str">
            <v xml:space="preserve"> BTU</v>
          </cell>
        </row>
        <row r="793">
          <cell r="A793" t="str">
            <v xml:space="preserve"> 16152BTU  </v>
          </cell>
          <cell r="B793" t="e">
            <v>#NAME?</v>
          </cell>
          <cell r="C793">
            <v>1179</v>
          </cell>
          <cell r="D793" t="str">
            <v xml:space="preserve">   BTU</v>
          </cell>
          <cell r="E793" t="str">
            <v xml:space="preserve">    </v>
          </cell>
          <cell r="F793" t="str">
            <v xml:space="preserve"> S</v>
          </cell>
          <cell r="G793">
            <v>36796.261805555558</v>
          </cell>
          <cell r="H793" t="str">
            <v xml:space="preserve"> BTU</v>
          </cell>
        </row>
        <row r="794">
          <cell r="A794" t="str">
            <v xml:space="preserve"> 16154BTU  </v>
          </cell>
          <cell r="B794" t="e">
            <v>#NAME?</v>
          </cell>
          <cell r="C794">
            <v>0</v>
          </cell>
          <cell r="D794" t="str">
            <v xml:space="preserve">   BTU</v>
          </cell>
          <cell r="E794" t="str">
            <v>UNAV</v>
          </cell>
          <cell r="F794" t="str">
            <v xml:space="preserve"> S</v>
          </cell>
          <cell r="G794">
            <v>36796.261805555558</v>
          </cell>
          <cell r="H794" t="str">
            <v xml:space="preserve"> BTU</v>
          </cell>
        </row>
        <row r="795">
          <cell r="A795" t="str">
            <v xml:space="preserve"> 16159BTU  </v>
          </cell>
          <cell r="B795" t="e">
            <v>#NAME?</v>
          </cell>
          <cell r="C795">
            <v>0</v>
          </cell>
          <cell r="D795" t="str">
            <v xml:space="preserve">   BTU</v>
          </cell>
          <cell r="E795" t="str">
            <v>UNAV</v>
          </cell>
          <cell r="F795" t="str">
            <v xml:space="preserve"> S</v>
          </cell>
          <cell r="G795">
            <v>36796.261805555558</v>
          </cell>
          <cell r="H795" t="str">
            <v xml:space="preserve"> BTU</v>
          </cell>
        </row>
        <row r="796">
          <cell r="A796" t="str">
            <v xml:space="preserve"> 16161BTU  </v>
          </cell>
          <cell r="B796" t="e">
            <v>#NAME?</v>
          </cell>
          <cell r="C796">
            <v>0</v>
          </cell>
          <cell r="D796" t="str">
            <v xml:space="preserve">   BTU</v>
          </cell>
          <cell r="E796" t="str">
            <v>UNAV</v>
          </cell>
          <cell r="F796" t="str">
            <v xml:space="preserve"> S</v>
          </cell>
          <cell r="G796">
            <v>36796.261805555558</v>
          </cell>
          <cell r="H796" t="str">
            <v xml:space="preserve"> BTU</v>
          </cell>
        </row>
        <row r="797">
          <cell r="A797" t="str">
            <v xml:space="preserve"> 16164BTU  </v>
          </cell>
          <cell r="B797" t="e">
            <v>#NAME?</v>
          </cell>
          <cell r="C797">
            <v>0</v>
          </cell>
          <cell r="D797" t="str">
            <v xml:space="preserve">   BTU</v>
          </cell>
          <cell r="E797" t="str">
            <v>UNAV</v>
          </cell>
          <cell r="F797" t="str">
            <v xml:space="preserve"> S</v>
          </cell>
          <cell r="G797">
            <v>36796.261805555558</v>
          </cell>
          <cell r="H797" t="str">
            <v xml:space="preserve"> BTU</v>
          </cell>
        </row>
        <row r="798">
          <cell r="A798" t="str">
            <v xml:space="preserve"> 16167BTU  </v>
          </cell>
          <cell r="B798" t="e">
            <v>#NAME?</v>
          </cell>
          <cell r="C798">
            <v>0</v>
          </cell>
          <cell r="D798" t="str">
            <v xml:space="preserve">   BTU</v>
          </cell>
          <cell r="E798" t="str">
            <v>UNAV</v>
          </cell>
          <cell r="F798" t="str">
            <v xml:space="preserve"> S</v>
          </cell>
          <cell r="G798">
            <v>36796.261805555558</v>
          </cell>
          <cell r="H798" t="str">
            <v xml:space="preserve"> BTU</v>
          </cell>
        </row>
        <row r="799">
          <cell r="A799" t="str">
            <v xml:space="preserve"> 16168BTU  </v>
          </cell>
          <cell r="B799" t="e">
            <v>#NAME?</v>
          </cell>
          <cell r="C799">
            <v>0</v>
          </cell>
          <cell r="D799" t="str">
            <v xml:space="preserve">   BTU</v>
          </cell>
          <cell r="E799" t="str">
            <v>UNAV</v>
          </cell>
          <cell r="F799" t="str">
            <v xml:space="preserve"> S</v>
          </cell>
          <cell r="G799">
            <v>36796.261805555558</v>
          </cell>
          <cell r="H799" t="str">
            <v xml:space="preserve"> BTU</v>
          </cell>
        </row>
        <row r="800">
          <cell r="A800" t="str">
            <v xml:space="preserve"> 16169BTU  </v>
          </cell>
          <cell r="B800" t="e">
            <v>#NAME?</v>
          </cell>
          <cell r="C800">
            <v>0</v>
          </cell>
          <cell r="D800" t="str">
            <v xml:space="preserve">   BTU</v>
          </cell>
          <cell r="E800" t="str">
            <v>UNAV</v>
          </cell>
          <cell r="F800" t="str">
            <v xml:space="preserve"> S</v>
          </cell>
          <cell r="G800">
            <v>36796.261805555558</v>
          </cell>
          <cell r="H800" t="str">
            <v xml:space="preserve"> BTU</v>
          </cell>
        </row>
        <row r="801">
          <cell r="A801" t="str">
            <v xml:space="preserve"> 16170BTU  </v>
          </cell>
          <cell r="B801" t="e">
            <v>#NAME?</v>
          </cell>
          <cell r="C801">
            <v>0</v>
          </cell>
          <cell r="D801" t="str">
            <v xml:space="preserve">   BTU</v>
          </cell>
          <cell r="E801" t="str">
            <v>UNAV</v>
          </cell>
          <cell r="F801" t="str">
            <v xml:space="preserve"> S</v>
          </cell>
          <cell r="G801">
            <v>36796.261805555558</v>
          </cell>
          <cell r="H801" t="str">
            <v xml:space="preserve"> BTU</v>
          </cell>
        </row>
        <row r="802">
          <cell r="A802" t="str">
            <v xml:space="preserve"> 16171BTU  </v>
          </cell>
          <cell r="B802" t="e">
            <v>#NAME?</v>
          </cell>
          <cell r="C802">
            <v>0</v>
          </cell>
          <cell r="D802" t="str">
            <v xml:space="preserve">   BTU</v>
          </cell>
          <cell r="E802" t="str">
            <v>UNAV</v>
          </cell>
          <cell r="F802" t="str">
            <v xml:space="preserve"> S</v>
          </cell>
          <cell r="G802">
            <v>36796.261805555558</v>
          </cell>
          <cell r="H802" t="str">
            <v xml:space="preserve"> BTU</v>
          </cell>
        </row>
        <row r="803">
          <cell r="A803" t="str">
            <v xml:space="preserve"> 16174BTU  </v>
          </cell>
          <cell r="B803" t="e">
            <v>#NAME?</v>
          </cell>
          <cell r="C803">
            <v>0</v>
          </cell>
          <cell r="D803" t="str">
            <v xml:space="preserve">   BTU</v>
          </cell>
          <cell r="E803" t="str">
            <v>UNAV</v>
          </cell>
          <cell r="F803" t="str">
            <v xml:space="preserve"> S</v>
          </cell>
          <cell r="G803">
            <v>36796.261805555558</v>
          </cell>
          <cell r="H803" t="str">
            <v xml:space="preserve"> BTU</v>
          </cell>
        </row>
        <row r="804">
          <cell r="A804" t="str">
            <v xml:space="preserve"> 16178BTU  </v>
          </cell>
          <cell r="B804" t="e">
            <v>#NAME?</v>
          </cell>
          <cell r="C804">
            <v>0</v>
          </cell>
          <cell r="D804" t="str">
            <v xml:space="preserve">   BTU</v>
          </cell>
          <cell r="E804" t="str">
            <v>UNAV</v>
          </cell>
          <cell r="F804" t="str">
            <v xml:space="preserve"> S</v>
          </cell>
          <cell r="G804">
            <v>36796.261805555558</v>
          </cell>
          <cell r="H804" t="str">
            <v xml:space="preserve"> BTU</v>
          </cell>
        </row>
        <row r="805">
          <cell r="A805" t="str">
            <v xml:space="preserve"> 16179BTU  </v>
          </cell>
          <cell r="B805" t="e">
            <v>#NAME?</v>
          </cell>
          <cell r="C805">
            <v>1035.1430700000001</v>
          </cell>
          <cell r="D805" t="str">
            <v xml:space="preserve">   BTU</v>
          </cell>
          <cell r="E805" t="str">
            <v xml:space="preserve">    </v>
          </cell>
          <cell r="F805" t="str">
            <v xml:space="preserve"> S</v>
          </cell>
          <cell r="G805">
            <v>36796.261805555558</v>
          </cell>
          <cell r="H805" t="str">
            <v xml:space="preserve"> BTU</v>
          </cell>
        </row>
        <row r="806">
          <cell r="A806" t="str">
            <v xml:space="preserve"> 16181BTU  </v>
          </cell>
          <cell r="B806" t="e">
            <v>#NAME?</v>
          </cell>
          <cell r="C806">
            <v>0</v>
          </cell>
          <cell r="D806" t="str">
            <v xml:space="preserve">   BTU</v>
          </cell>
          <cell r="E806" t="str">
            <v>UNAV</v>
          </cell>
          <cell r="F806" t="str">
            <v xml:space="preserve"> S</v>
          </cell>
          <cell r="G806">
            <v>36796.261805555558</v>
          </cell>
          <cell r="H806" t="str">
            <v xml:space="preserve"> BTU</v>
          </cell>
        </row>
        <row r="807">
          <cell r="A807" t="str">
            <v xml:space="preserve"> 16182BTU  </v>
          </cell>
          <cell r="B807" t="e">
            <v>#NAME?</v>
          </cell>
          <cell r="C807">
            <v>0</v>
          </cell>
          <cell r="D807" t="str">
            <v xml:space="preserve">   BTU</v>
          </cell>
          <cell r="E807" t="str">
            <v>UNAV</v>
          </cell>
          <cell r="F807" t="str">
            <v xml:space="preserve"> S</v>
          </cell>
          <cell r="G807">
            <v>36796.261805555558</v>
          </cell>
          <cell r="H807" t="str">
            <v xml:space="preserve"> BTU</v>
          </cell>
        </row>
        <row r="808">
          <cell r="A808" t="str">
            <v xml:space="preserve"> 16188BTU  </v>
          </cell>
          <cell r="B808" t="e">
            <v>#NAME?</v>
          </cell>
          <cell r="C808">
            <v>0</v>
          </cell>
          <cell r="D808" t="str">
            <v xml:space="preserve">   BTU</v>
          </cell>
          <cell r="E808" t="str">
            <v>UNAV</v>
          </cell>
          <cell r="F808" t="str">
            <v xml:space="preserve"> S</v>
          </cell>
          <cell r="G808">
            <v>36796.261805555558</v>
          </cell>
          <cell r="H808" t="str">
            <v xml:space="preserve"> BTU</v>
          </cell>
        </row>
        <row r="809">
          <cell r="A809" t="str">
            <v xml:space="preserve"> 16189BTU  </v>
          </cell>
          <cell r="B809" t="e">
            <v>#NAME?</v>
          </cell>
          <cell r="C809">
            <v>0</v>
          </cell>
          <cell r="D809" t="str">
            <v xml:space="preserve">   BTU</v>
          </cell>
          <cell r="E809" t="str">
            <v>UNAV</v>
          </cell>
          <cell r="F809" t="str">
            <v xml:space="preserve"> S</v>
          </cell>
          <cell r="G809">
            <v>36796.261805555558</v>
          </cell>
          <cell r="H809" t="str">
            <v xml:space="preserve"> BTU</v>
          </cell>
        </row>
        <row r="810">
          <cell r="A810" t="str">
            <v xml:space="preserve"> 16198BTU  </v>
          </cell>
          <cell r="B810" t="e">
            <v>#NAME?</v>
          </cell>
          <cell r="C810">
            <v>0</v>
          </cell>
          <cell r="D810" t="str">
            <v xml:space="preserve">   BTU</v>
          </cell>
          <cell r="E810" t="str">
            <v>UNAV</v>
          </cell>
          <cell r="F810" t="str">
            <v xml:space="preserve"> S</v>
          </cell>
          <cell r="G810">
            <v>36796.261805555558</v>
          </cell>
          <cell r="H810" t="str">
            <v xml:space="preserve"> BTU</v>
          </cell>
        </row>
        <row r="811">
          <cell r="A811" t="str">
            <v xml:space="preserve"> 16199BTU  </v>
          </cell>
          <cell r="B811" t="e">
            <v>#NAME?</v>
          </cell>
          <cell r="C811">
            <v>0</v>
          </cell>
          <cell r="D811" t="str">
            <v xml:space="preserve">   BTU</v>
          </cell>
          <cell r="E811" t="str">
            <v>UNAV</v>
          </cell>
          <cell r="F811" t="str">
            <v xml:space="preserve"> S</v>
          </cell>
          <cell r="G811">
            <v>36796.261805555558</v>
          </cell>
          <cell r="H811" t="str">
            <v xml:space="preserve"> BTU</v>
          </cell>
        </row>
        <row r="812">
          <cell r="A812" t="str">
            <v xml:space="preserve"> 16201BTU  </v>
          </cell>
          <cell r="B812" t="e">
            <v>#NAME?</v>
          </cell>
          <cell r="C812">
            <v>0</v>
          </cell>
          <cell r="D812" t="str">
            <v xml:space="preserve">   BTU</v>
          </cell>
          <cell r="E812" t="str">
            <v>UNAV</v>
          </cell>
          <cell r="F812" t="str">
            <v xml:space="preserve"> S</v>
          </cell>
          <cell r="G812">
            <v>36796.261805555558</v>
          </cell>
          <cell r="H812" t="str">
            <v xml:space="preserve"> BTU</v>
          </cell>
        </row>
        <row r="813">
          <cell r="A813" t="str">
            <v xml:space="preserve"> 16204BTU  </v>
          </cell>
          <cell r="B813" t="e">
            <v>#NAME?</v>
          </cell>
          <cell r="C813">
            <v>0</v>
          </cell>
          <cell r="D813" t="str">
            <v xml:space="preserve">   BTU</v>
          </cell>
          <cell r="E813" t="str">
            <v>UNAV</v>
          </cell>
          <cell r="F813" t="str">
            <v xml:space="preserve"> S</v>
          </cell>
          <cell r="G813">
            <v>36796.261805555558</v>
          </cell>
          <cell r="H813" t="str">
            <v xml:space="preserve"> BTU</v>
          </cell>
        </row>
        <row r="814">
          <cell r="A814" t="str">
            <v xml:space="preserve"> 16208BTU  </v>
          </cell>
          <cell r="B814" t="e">
            <v>#NAME?</v>
          </cell>
          <cell r="C814">
            <v>0</v>
          </cell>
          <cell r="D814" t="str">
            <v xml:space="preserve">   BTU</v>
          </cell>
          <cell r="E814" t="str">
            <v>UNAV</v>
          </cell>
          <cell r="F814" t="str">
            <v xml:space="preserve"> S</v>
          </cell>
          <cell r="G814">
            <v>36796.261805555558</v>
          </cell>
          <cell r="H814" t="str">
            <v xml:space="preserve"> BTU</v>
          </cell>
        </row>
        <row r="815">
          <cell r="A815" t="str">
            <v xml:space="preserve"> 16209BTU  </v>
          </cell>
          <cell r="B815" t="e">
            <v>#NAME?</v>
          </cell>
          <cell r="C815">
            <v>0</v>
          </cell>
          <cell r="D815" t="str">
            <v xml:space="preserve">   BTU</v>
          </cell>
          <cell r="E815" t="str">
            <v>UNAV</v>
          </cell>
          <cell r="F815" t="str">
            <v xml:space="preserve"> S</v>
          </cell>
          <cell r="G815">
            <v>36796.261805555558</v>
          </cell>
          <cell r="H815" t="str">
            <v xml:space="preserve"> BTU</v>
          </cell>
        </row>
        <row r="816">
          <cell r="A816" t="str">
            <v xml:space="preserve"> 16210BTU  </v>
          </cell>
          <cell r="B816" t="e">
            <v>#NAME?</v>
          </cell>
          <cell r="C816">
            <v>0</v>
          </cell>
          <cell r="D816" t="str">
            <v xml:space="preserve">   BTU</v>
          </cell>
          <cell r="E816" t="str">
            <v>UNAV</v>
          </cell>
          <cell r="F816" t="str">
            <v xml:space="preserve"> S</v>
          </cell>
          <cell r="G816">
            <v>36796.261805555558</v>
          </cell>
          <cell r="H816" t="str">
            <v xml:space="preserve"> BTU</v>
          </cell>
        </row>
        <row r="817">
          <cell r="A817" t="str">
            <v xml:space="preserve"> 16215BTU  </v>
          </cell>
          <cell r="B817" t="e">
            <v>#NAME?</v>
          </cell>
          <cell r="C817">
            <v>0</v>
          </cell>
          <cell r="D817" t="str">
            <v xml:space="preserve">   BTU</v>
          </cell>
          <cell r="E817" t="str">
            <v>UNAV</v>
          </cell>
          <cell r="F817" t="str">
            <v xml:space="preserve"> S</v>
          </cell>
          <cell r="G817">
            <v>36796.261805555558</v>
          </cell>
          <cell r="H817" t="str">
            <v xml:space="preserve"> BTU</v>
          </cell>
        </row>
        <row r="818">
          <cell r="A818" t="str">
            <v xml:space="preserve"> 16218BTU  </v>
          </cell>
          <cell r="B818" t="e">
            <v>#NAME?</v>
          </cell>
          <cell r="C818">
            <v>1014</v>
          </cell>
          <cell r="D818" t="str">
            <v xml:space="preserve">   BTU</v>
          </cell>
          <cell r="E818" t="str">
            <v xml:space="preserve">    </v>
          </cell>
          <cell r="F818" t="str">
            <v xml:space="preserve"> S</v>
          </cell>
          <cell r="G818">
            <v>36796.261805555558</v>
          </cell>
          <cell r="H818" t="str">
            <v xml:space="preserve"> BTU</v>
          </cell>
        </row>
        <row r="819">
          <cell r="A819" t="str">
            <v xml:space="preserve"> 16219BTU  </v>
          </cell>
          <cell r="B819" t="e">
            <v>#NAME?</v>
          </cell>
          <cell r="C819">
            <v>0</v>
          </cell>
          <cell r="D819" t="str">
            <v xml:space="preserve">   BTU</v>
          </cell>
          <cell r="E819" t="str">
            <v>UNAV</v>
          </cell>
          <cell r="F819" t="str">
            <v xml:space="preserve"> S</v>
          </cell>
          <cell r="G819">
            <v>36796.261805555558</v>
          </cell>
          <cell r="H819" t="str">
            <v xml:space="preserve"> BTU</v>
          </cell>
        </row>
        <row r="820">
          <cell r="A820" t="str">
            <v xml:space="preserve"> 16222BTU  </v>
          </cell>
          <cell r="B820" t="e">
            <v>#NAME?</v>
          </cell>
          <cell r="C820">
            <v>0</v>
          </cell>
          <cell r="D820" t="str">
            <v xml:space="preserve">   BTU</v>
          </cell>
          <cell r="E820" t="str">
            <v>UNAV</v>
          </cell>
          <cell r="F820" t="str">
            <v xml:space="preserve"> S</v>
          </cell>
          <cell r="G820">
            <v>36796.261805555558</v>
          </cell>
          <cell r="H820" t="str">
            <v xml:space="preserve"> BTU</v>
          </cell>
        </row>
        <row r="821">
          <cell r="A821" t="str">
            <v xml:space="preserve"> 16223BTU  </v>
          </cell>
          <cell r="B821" t="e">
            <v>#NAME?</v>
          </cell>
          <cell r="C821">
            <v>0</v>
          </cell>
          <cell r="D821" t="str">
            <v xml:space="preserve">   BTU</v>
          </cell>
          <cell r="E821" t="str">
            <v>UNAV</v>
          </cell>
          <cell r="F821" t="str">
            <v xml:space="preserve"> S</v>
          </cell>
          <cell r="G821">
            <v>36796.261805555558</v>
          </cell>
          <cell r="H821" t="str">
            <v xml:space="preserve"> BTU</v>
          </cell>
        </row>
        <row r="822">
          <cell r="A822" t="str">
            <v xml:space="preserve"> 16226BTU  </v>
          </cell>
          <cell r="B822" t="e">
            <v>#NAME?</v>
          </cell>
          <cell r="C822">
            <v>0</v>
          </cell>
          <cell r="D822" t="str">
            <v xml:space="preserve">   BTU</v>
          </cell>
          <cell r="E822" t="str">
            <v>UNAV</v>
          </cell>
          <cell r="F822" t="str">
            <v xml:space="preserve"> S</v>
          </cell>
          <cell r="G822">
            <v>36796.261805555558</v>
          </cell>
          <cell r="H822" t="str">
            <v xml:space="preserve"> BTU</v>
          </cell>
        </row>
        <row r="823">
          <cell r="A823" t="str">
            <v xml:space="preserve"> 16227BTU  </v>
          </cell>
          <cell r="B823" t="e">
            <v>#NAME?</v>
          </cell>
          <cell r="C823">
            <v>0</v>
          </cell>
          <cell r="D823" t="str">
            <v xml:space="preserve">   BTU</v>
          </cell>
          <cell r="E823" t="str">
            <v>UNAV</v>
          </cell>
          <cell r="F823" t="str">
            <v xml:space="preserve"> S</v>
          </cell>
          <cell r="G823">
            <v>36796.261805555558</v>
          </cell>
          <cell r="H823" t="str">
            <v xml:space="preserve"> BTU</v>
          </cell>
        </row>
        <row r="824">
          <cell r="A824" t="str">
            <v xml:space="preserve"> 16229BTU  </v>
          </cell>
          <cell r="B824" t="e">
            <v>#NAME?</v>
          </cell>
          <cell r="C824">
            <v>0</v>
          </cell>
          <cell r="D824" t="str">
            <v xml:space="preserve">   BTU</v>
          </cell>
          <cell r="E824" t="str">
            <v>UNAV</v>
          </cell>
          <cell r="F824" t="str">
            <v xml:space="preserve"> S</v>
          </cell>
          <cell r="G824">
            <v>36796.261805555558</v>
          </cell>
          <cell r="H824" t="str">
            <v xml:space="preserve"> BTU</v>
          </cell>
        </row>
        <row r="825">
          <cell r="A825" t="str">
            <v xml:space="preserve"> 16234BTU  </v>
          </cell>
          <cell r="B825" t="e">
            <v>#NAME?</v>
          </cell>
          <cell r="C825">
            <v>0</v>
          </cell>
          <cell r="D825" t="str">
            <v xml:space="preserve">   BTU</v>
          </cell>
          <cell r="E825" t="str">
            <v>UNAV</v>
          </cell>
          <cell r="F825" t="str">
            <v xml:space="preserve"> S</v>
          </cell>
          <cell r="G825">
            <v>36796.261805555558</v>
          </cell>
          <cell r="H825" t="str">
            <v xml:space="preserve"> BTU</v>
          </cell>
        </row>
        <row r="826">
          <cell r="A826" t="str">
            <v xml:space="preserve"> 16236BTU  </v>
          </cell>
          <cell r="B826" t="e">
            <v>#NAME?</v>
          </cell>
          <cell r="C826">
            <v>0</v>
          </cell>
          <cell r="D826" t="str">
            <v xml:space="preserve">   BTU</v>
          </cell>
          <cell r="E826" t="str">
            <v>UNAV</v>
          </cell>
          <cell r="F826" t="str">
            <v xml:space="preserve"> S</v>
          </cell>
          <cell r="G826">
            <v>36796.261805555558</v>
          </cell>
          <cell r="H826" t="str">
            <v xml:space="preserve"> BTU</v>
          </cell>
        </row>
        <row r="827">
          <cell r="A827" t="str">
            <v xml:space="preserve"> 16237BTU  </v>
          </cell>
          <cell r="B827" t="e">
            <v>#NAME?</v>
          </cell>
          <cell r="C827">
            <v>0</v>
          </cell>
          <cell r="D827" t="str">
            <v xml:space="preserve">   BTU</v>
          </cell>
          <cell r="E827" t="str">
            <v>UNAV</v>
          </cell>
          <cell r="F827" t="str">
            <v xml:space="preserve"> S</v>
          </cell>
          <cell r="G827">
            <v>36796.261805555558</v>
          </cell>
          <cell r="H827" t="str">
            <v xml:space="preserve"> BTU</v>
          </cell>
        </row>
        <row r="828">
          <cell r="A828" t="str">
            <v xml:space="preserve"> 16240BTU  </v>
          </cell>
          <cell r="B828" t="e">
            <v>#NAME?</v>
          </cell>
          <cell r="C828">
            <v>0</v>
          </cell>
          <cell r="D828" t="str">
            <v xml:space="preserve">   BTU</v>
          </cell>
          <cell r="E828" t="str">
            <v>UNAV</v>
          </cell>
          <cell r="F828" t="str">
            <v xml:space="preserve"> S</v>
          </cell>
          <cell r="G828">
            <v>36796.261805555558</v>
          </cell>
          <cell r="H828" t="str">
            <v xml:space="preserve"> BTU</v>
          </cell>
        </row>
        <row r="829">
          <cell r="A829" t="str">
            <v xml:space="preserve"> 16241BTU  </v>
          </cell>
          <cell r="B829" t="e">
            <v>#NAME?</v>
          </cell>
          <cell r="C829">
            <v>0</v>
          </cell>
          <cell r="D829" t="str">
            <v xml:space="preserve">   BTU</v>
          </cell>
          <cell r="E829" t="str">
            <v>UNAV</v>
          </cell>
          <cell r="F829" t="str">
            <v xml:space="preserve"> S</v>
          </cell>
          <cell r="G829">
            <v>36796.261805555558</v>
          </cell>
          <cell r="H829" t="str">
            <v xml:space="preserve"> BTU</v>
          </cell>
        </row>
        <row r="830">
          <cell r="A830" t="str">
            <v xml:space="preserve"> 16242BTU  </v>
          </cell>
          <cell r="B830" t="e">
            <v>#NAME?</v>
          </cell>
          <cell r="C830">
            <v>0</v>
          </cell>
          <cell r="D830" t="str">
            <v xml:space="preserve">   BTU</v>
          </cell>
          <cell r="E830" t="str">
            <v>UNAV</v>
          </cell>
          <cell r="F830" t="str">
            <v xml:space="preserve"> S</v>
          </cell>
          <cell r="G830">
            <v>36796.261805555558</v>
          </cell>
          <cell r="H830" t="str">
            <v xml:space="preserve"> BTU</v>
          </cell>
        </row>
        <row r="831">
          <cell r="A831" t="str">
            <v xml:space="preserve"> 16243BTU  </v>
          </cell>
          <cell r="B831" t="e">
            <v>#NAME?</v>
          </cell>
          <cell r="C831">
            <v>0</v>
          </cell>
          <cell r="D831" t="str">
            <v xml:space="preserve">   BTU</v>
          </cell>
          <cell r="E831" t="str">
            <v>UNAV</v>
          </cell>
          <cell r="F831" t="str">
            <v xml:space="preserve"> S</v>
          </cell>
          <cell r="G831">
            <v>36796.261805555558</v>
          </cell>
          <cell r="H831" t="str">
            <v xml:space="preserve"> BTU</v>
          </cell>
        </row>
        <row r="832">
          <cell r="A832" t="str">
            <v xml:space="preserve"> 16244BTU  </v>
          </cell>
          <cell r="B832" t="e">
            <v>#NAME?</v>
          </cell>
          <cell r="C832">
            <v>1019</v>
          </cell>
          <cell r="D832" t="str">
            <v xml:space="preserve">   BTU</v>
          </cell>
          <cell r="E832" t="str">
            <v xml:space="preserve">    </v>
          </cell>
          <cell r="F832" t="str">
            <v xml:space="preserve"> S</v>
          </cell>
          <cell r="G832">
            <v>36796.261805555558</v>
          </cell>
          <cell r="H832" t="str">
            <v xml:space="preserve"> BTU</v>
          </cell>
        </row>
        <row r="833">
          <cell r="A833" t="str">
            <v xml:space="preserve"> 16247BTU  </v>
          </cell>
          <cell r="B833" t="e">
            <v>#NAME?</v>
          </cell>
          <cell r="C833">
            <v>1214</v>
          </cell>
          <cell r="D833" t="str">
            <v xml:space="preserve">   BTU</v>
          </cell>
          <cell r="E833" t="str">
            <v xml:space="preserve">    </v>
          </cell>
          <cell r="F833" t="str">
            <v xml:space="preserve"> S</v>
          </cell>
          <cell r="G833">
            <v>36796.261805555558</v>
          </cell>
          <cell r="H833" t="str">
            <v xml:space="preserve"> BTU</v>
          </cell>
        </row>
        <row r="834">
          <cell r="A834" t="str">
            <v xml:space="preserve"> 16248BTU  </v>
          </cell>
          <cell r="B834" t="e">
            <v>#NAME?</v>
          </cell>
          <cell r="C834">
            <v>0</v>
          </cell>
          <cell r="D834" t="str">
            <v xml:space="preserve">   BTU</v>
          </cell>
          <cell r="E834" t="str">
            <v>UNAV</v>
          </cell>
          <cell r="F834" t="str">
            <v xml:space="preserve"> S</v>
          </cell>
          <cell r="G834">
            <v>36796.261805555558</v>
          </cell>
          <cell r="H834" t="str">
            <v xml:space="preserve"> BTU</v>
          </cell>
        </row>
        <row r="835">
          <cell r="A835" t="str">
            <v xml:space="preserve"> 16252BTU  </v>
          </cell>
          <cell r="B835" t="e">
            <v>#NAME?</v>
          </cell>
          <cell r="C835">
            <v>0</v>
          </cell>
          <cell r="D835" t="str">
            <v xml:space="preserve">   BTU</v>
          </cell>
          <cell r="E835" t="str">
            <v>UNAV</v>
          </cell>
          <cell r="F835" t="str">
            <v xml:space="preserve"> S</v>
          </cell>
          <cell r="G835">
            <v>36796.261805555558</v>
          </cell>
          <cell r="H835" t="str">
            <v xml:space="preserve"> BTU</v>
          </cell>
        </row>
        <row r="836">
          <cell r="A836" t="str">
            <v xml:space="preserve"> 16253BTU  </v>
          </cell>
          <cell r="B836" t="e">
            <v>#NAME?</v>
          </cell>
          <cell r="C836">
            <v>0</v>
          </cell>
          <cell r="D836" t="str">
            <v xml:space="preserve">   BTU</v>
          </cell>
          <cell r="E836" t="str">
            <v>UNAV</v>
          </cell>
          <cell r="F836" t="str">
            <v xml:space="preserve"> S</v>
          </cell>
          <cell r="G836">
            <v>36796.261805555558</v>
          </cell>
          <cell r="H836" t="str">
            <v xml:space="preserve"> BTU</v>
          </cell>
        </row>
        <row r="837">
          <cell r="A837" t="str">
            <v xml:space="preserve"> 16254BTU  </v>
          </cell>
          <cell r="B837" t="e">
            <v>#NAME?</v>
          </cell>
          <cell r="C837">
            <v>0</v>
          </cell>
          <cell r="D837" t="str">
            <v xml:space="preserve">   BTU</v>
          </cell>
          <cell r="E837" t="str">
            <v>UNAV</v>
          </cell>
          <cell r="F837" t="str">
            <v xml:space="preserve"> S</v>
          </cell>
          <cell r="G837">
            <v>36796.261805555558</v>
          </cell>
          <cell r="H837" t="str">
            <v xml:space="preserve"> BTU</v>
          </cell>
        </row>
        <row r="838">
          <cell r="A838" t="str">
            <v xml:space="preserve"> 16255BTU  </v>
          </cell>
          <cell r="B838" t="e">
            <v>#NAME?</v>
          </cell>
          <cell r="C838">
            <v>0</v>
          </cell>
          <cell r="D838" t="str">
            <v xml:space="preserve">   BTU</v>
          </cell>
          <cell r="E838" t="str">
            <v>UNAV</v>
          </cell>
          <cell r="F838" t="str">
            <v xml:space="preserve"> S</v>
          </cell>
          <cell r="G838">
            <v>36796.261805555558</v>
          </cell>
          <cell r="H838" t="str">
            <v xml:space="preserve"> BTU</v>
          </cell>
        </row>
        <row r="839">
          <cell r="A839" t="str">
            <v xml:space="preserve"> 16257BTU  </v>
          </cell>
          <cell r="B839" t="e">
            <v>#NAME?</v>
          </cell>
          <cell r="C839">
            <v>0</v>
          </cell>
          <cell r="D839" t="str">
            <v xml:space="preserve">   BTU</v>
          </cell>
          <cell r="E839" t="str">
            <v>UNAV</v>
          </cell>
          <cell r="F839" t="str">
            <v xml:space="preserve"> S</v>
          </cell>
          <cell r="G839">
            <v>36796.261805555558</v>
          </cell>
          <cell r="H839" t="str">
            <v xml:space="preserve"> BTU</v>
          </cell>
        </row>
        <row r="840">
          <cell r="A840" t="str">
            <v xml:space="preserve"> 16258BTU  </v>
          </cell>
          <cell r="B840" t="e">
            <v>#NAME?</v>
          </cell>
          <cell r="C840">
            <v>0</v>
          </cell>
          <cell r="D840" t="str">
            <v xml:space="preserve">   BTU</v>
          </cell>
          <cell r="E840" t="str">
            <v>UNAV</v>
          </cell>
          <cell r="F840" t="str">
            <v xml:space="preserve"> S</v>
          </cell>
          <cell r="G840">
            <v>36796.261805555558</v>
          </cell>
          <cell r="H840" t="str">
            <v xml:space="preserve"> BTU</v>
          </cell>
        </row>
        <row r="841">
          <cell r="A841" t="str">
            <v xml:space="preserve"> 16259BTU  </v>
          </cell>
          <cell r="B841" t="e">
            <v>#NAME?</v>
          </cell>
          <cell r="C841">
            <v>0</v>
          </cell>
          <cell r="D841" t="str">
            <v xml:space="preserve">   BTU</v>
          </cell>
          <cell r="E841" t="str">
            <v>UNAV</v>
          </cell>
          <cell r="F841" t="str">
            <v xml:space="preserve"> S</v>
          </cell>
          <cell r="G841">
            <v>36796.261805555558</v>
          </cell>
          <cell r="H841" t="str">
            <v xml:space="preserve"> BTU</v>
          </cell>
        </row>
        <row r="842">
          <cell r="A842" t="str">
            <v xml:space="preserve"> 16262BTU  </v>
          </cell>
          <cell r="B842" t="e">
            <v>#NAME?</v>
          </cell>
          <cell r="C842">
            <v>0</v>
          </cell>
          <cell r="D842" t="str">
            <v xml:space="preserve">   BTU</v>
          </cell>
          <cell r="E842" t="str">
            <v>UNAV</v>
          </cell>
          <cell r="F842" t="str">
            <v xml:space="preserve"> S</v>
          </cell>
          <cell r="G842">
            <v>36796.261805555558</v>
          </cell>
          <cell r="H842" t="str">
            <v xml:space="preserve"> BTU</v>
          </cell>
        </row>
        <row r="843">
          <cell r="A843" t="str">
            <v xml:space="preserve"> 16263BTU  </v>
          </cell>
          <cell r="B843" t="e">
            <v>#NAME?</v>
          </cell>
          <cell r="C843">
            <v>0</v>
          </cell>
          <cell r="D843" t="str">
            <v xml:space="preserve">   BTU</v>
          </cell>
          <cell r="E843" t="str">
            <v>UNAV</v>
          </cell>
          <cell r="F843" t="str">
            <v xml:space="preserve"> S</v>
          </cell>
          <cell r="G843">
            <v>36796.261805555558</v>
          </cell>
          <cell r="H843" t="str">
            <v xml:space="preserve"> BTU</v>
          </cell>
        </row>
        <row r="844">
          <cell r="A844" t="str">
            <v xml:space="preserve"> 16264BTU  </v>
          </cell>
          <cell r="B844" t="e">
            <v>#NAME?</v>
          </cell>
          <cell r="C844">
            <v>0</v>
          </cell>
          <cell r="D844" t="str">
            <v xml:space="preserve">   BTU</v>
          </cell>
          <cell r="E844" t="str">
            <v>UNAV</v>
          </cell>
          <cell r="F844" t="str">
            <v xml:space="preserve"> S</v>
          </cell>
          <cell r="G844">
            <v>36796.261805555558</v>
          </cell>
          <cell r="H844" t="str">
            <v xml:space="preserve"> BTU</v>
          </cell>
        </row>
        <row r="845">
          <cell r="A845" t="str">
            <v xml:space="preserve"> 16266BTU  </v>
          </cell>
          <cell r="B845" t="e">
            <v>#NAME?</v>
          </cell>
          <cell r="C845">
            <v>0</v>
          </cell>
          <cell r="D845" t="str">
            <v xml:space="preserve">   BTU</v>
          </cell>
          <cell r="E845" t="str">
            <v>UNAV</v>
          </cell>
          <cell r="F845" t="str">
            <v xml:space="preserve"> S</v>
          </cell>
          <cell r="G845">
            <v>36796.261805555558</v>
          </cell>
          <cell r="H845" t="str">
            <v xml:space="preserve"> BTU</v>
          </cell>
        </row>
        <row r="846">
          <cell r="A846" t="str">
            <v xml:space="preserve"> 16267BTU  </v>
          </cell>
          <cell r="B846" t="e">
            <v>#NAME?</v>
          </cell>
          <cell r="C846">
            <v>0</v>
          </cell>
          <cell r="D846" t="str">
            <v xml:space="preserve">   BTU</v>
          </cell>
          <cell r="E846" t="str">
            <v>UNAV</v>
          </cell>
          <cell r="F846" t="str">
            <v xml:space="preserve"> S</v>
          </cell>
          <cell r="G846">
            <v>36796.261805555558</v>
          </cell>
          <cell r="H846" t="str">
            <v xml:space="preserve"> BTU</v>
          </cell>
        </row>
        <row r="847">
          <cell r="A847" t="str">
            <v xml:space="preserve"> 16271BTU  </v>
          </cell>
          <cell r="B847" t="e">
            <v>#NAME?</v>
          </cell>
          <cell r="C847">
            <v>0</v>
          </cell>
          <cell r="D847" t="str">
            <v xml:space="preserve">   BTU</v>
          </cell>
          <cell r="E847" t="str">
            <v>UNAV</v>
          </cell>
          <cell r="F847" t="str">
            <v xml:space="preserve"> S</v>
          </cell>
          <cell r="G847">
            <v>36796.261805555558</v>
          </cell>
          <cell r="H847" t="str">
            <v xml:space="preserve"> BTU</v>
          </cell>
        </row>
        <row r="848">
          <cell r="A848" t="str">
            <v xml:space="preserve"> 16272BTU  </v>
          </cell>
          <cell r="B848" t="e">
            <v>#NAME?</v>
          </cell>
          <cell r="C848">
            <v>0</v>
          </cell>
          <cell r="D848" t="str">
            <v xml:space="preserve">   BTU</v>
          </cell>
          <cell r="E848" t="str">
            <v>UNAV</v>
          </cell>
          <cell r="F848" t="str">
            <v xml:space="preserve"> S</v>
          </cell>
          <cell r="G848">
            <v>36796.261805555558</v>
          </cell>
          <cell r="H848" t="str">
            <v xml:space="preserve"> BTU</v>
          </cell>
        </row>
        <row r="849">
          <cell r="A849" t="str">
            <v xml:space="preserve"> 16273BTU  </v>
          </cell>
          <cell r="B849" t="e">
            <v>#NAME?</v>
          </cell>
          <cell r="C849">
            <v>0</v>
          </cell>
          <cell r="D849" t="str">
            <v xml:space="preserve">   BTU</v>
          </cell>
          <cell r="E849" t="str">
            <v>UNAV</v>
          </cell>
          <cell r="F849" t="str">
            <v xml:space="preserve"> S</v>
          </cell>
          <cell r="G849">
            <v>36796.261805555558</v>
          </cell>
          <cell r="H849" t="str">
            <v xml:space="preserve"> BTU</v>
          </cell>
        </row>
        <row r="850">
          <cell r="A850" t="str">
            <v xml:space="preserve"> 16275BTU  </v>
          </cell>
          <cell r="B850" t="e">
            <v>#NAME?</v>
          </cell>
          <cell r="C850">
            <v>0</v>
          </cell>
          <cell r="D850" t="str">
            <v xml:space="preserve">   BTU</v>
          </cell>
          <cell r="E850" t="str">
            <v>UNAV</v>
          </cell>
          <cell r="F850" t="str">
            <v xml:space="preserve"> S</v>
          </cell>
          <cell r="G850">
            <v>36796.261805555558</v>
          </cell>
          <cell r="H850" t="str">
            <v xml:space="preserve"> BTU</v>
          </cell>
        </row>
        <row r="851">
          <cell r="A851" t="str">
            <v xml:space="preserve"> 16276BTU  </v>
          </cell>
          <cell r="B851" t="e">
            <v>#NAME?</v>
          </cell>
          <cell r="C851">
            <v>0</v>
          </cell>
          <cell r="D851" t="str">
            <v xml:space="preserve">   BTU</v>
          </cell>
          <cell r="E851" t="str">
            <v>UNAV</v>
          </cell>
          <cell r="F851" t="str">
            <v xml:space="preserve"> S</v>
          </cell>
          <cell r="G851">
            <v>36796.261805555558</v>
          </cell>
          <cell r="H851" t="str">
            <v xml:space="preserve"> BTU</v>
          </cell>
        </row>
        <row r="852">
          <cell r="A852" t="str">
            <v xml:space="preserve"> 16277BTU  </v>
          </cell>
          <cell r="B852" t="e">
            <v>#NAME?</v>
          </cell>
          <cell r="C852">
            <v>0</v>
          </cell>
          <cell r="D852" t="str">
            <v xml:space="preserve">   BTU</v>
          </cell>
          <cell r="E852" t="str">
            <v>UNAV</v>
          </cell>
          <cell r="F852" t="str">
            <v xml:space="preserve"> S</v>
          </cell>
          <cell r="G852">
            <v>36796.261805555558</v>
          </cell>
          <cell r="H852" t="str">
            <v xml:space="preserve"> BTU</v>
          </cell>
        </row>
        <row r="853">
          <cell r="A853" t="str">
            <v xml:space="preserve"> 16279BTU  </v>
          </cell>
          <cell r="B853" t="e">
            <v>#NAME?</v>
          </cell>
          <cell r="C853">
            <v>0</v>
          </cell>
          <cell r="D853" t="str">
            <v xml:space="preserve">   BTU</v>
          </cell>
          <cell r="E853" t="str">
            <v>UNAV</v>
          </cell>
          <cell r="F853" t="str">
            <v xml:space="preserve"> S</v>
          </cell>
          <cell r="G853">
            <v>36796.261805555558</v>
          </cell>
          <cell r="H853" t="str">
            <v xml:space="preserve"> BTU</v>
          </cell>
        </row>
        <row r="854">
          <cell r="A854" t="str">
            <v xml:space="preserve"> 16281BTU  </v>
          </cell>
          <cell r="B854" t="e">
            <v>#NAME?</v>
          </cell>
          <cell r="C854">
            <v>0</v>
          </cell>
          <cell r="D854" t="str">
            <v xml:space="preserve">   BTU</v>
          </cell>
          <cell r="E854" t="str">
            <v>UNAV</v>
          </cell>
          <cell r="F854" t="str">
            <v xml:space="preserve"> S</v>
          </cell>
          <cell r="G854">
            <v>36796.261805555558</v>
          </cell>
          <cell r="H854" t="str">
            <v xml:space="preserve"> BTU</v>
          </cell>
        </row>
        <row r="855">
          <cell r="A855" t="str">
            <v xml:space="preserve"> 16282BTU  </v>
          </cell>
          <cell r="B855" t="e">
            <v>#NAME?</v>
          </cell>
          <cell r="C855">
            <v>0</v>
          </cell>
          <cell r="D855" t="str">
            <v xml:space="preserve">   BTU</v>
          </cell>
          <cell r="E855" t="str">
            <v>UNAV</v>
          </cell>
          <cell r="F855" t="str">
            <v xml:space="preserve"> S</v>
          </cell>
          <cell r="G855">
            <v>36796.261805555558</v>
          </cell>
          <cell r="H855" t="str">
            <v xml:space="preserve"> BTU</v>
          </cell>
        </row>
        <row r="856">
          <cell r="A856" t="str">
            <v xml:space="preserve"> 16286BTU  </v>
          </cell>
          <cell r="B856" t="e">
            <v>#NAME?</v>
          </cell>
          <cell r="C856">
            <v>1030</v>
          </cell>
          <cell r="D856" t="str">
            <v xml:space="preserve">   BTU</v>
          </cell>
          <cell r="E856" t="str">
            <v xml:space="preserve">    </v>
          </cell>
          <cell r="F856" t="str">
            <v xml:space="preserve"> S</v>
          </cell>
          <cell r="G856">
            <v>36796.261805555558</v>
          </cell>
          <cell r="H856" t="str">
            <v xml:space="preserve"> BTU</v>
          </cell>
        </row>
        <row r="857">
          <cell r="A857" t="str">
            <v xml:space="preserve"> 16288BTU  </v>
          </cell>
          <cell r="B857" t="e">
            <v>#NAME?</v>
          </cell>
          <cell r="C857">
            <v>0</v>
          </cell>
          <cell r="D857" t="str">
            <v xml:space="preserve">   BTU</v>
          </cell>
          <cell r="E857" t="str">
            <v>UNAV</v>
          </cell>
          <cell r="F857" t="str">
            <v xml:space="preserve"> S</v>
          </cell>
          <cell r="G857">
            <v>36796.261805555558</v>
          </cell>
          <cell r="H857" t="str">
            <v xml:space="preserve"> BTU</v>
          </cell>
        </row>
        <row r="858">
          <cell r="A858" t="str">
            <v xml:space="preserve"> 16289BTU  </v>
          </cell>
          <cell r="B858" t="e">
            <v>#NAME?</v>
          </cell>
          <cell r="C858">
            <v>0</v>
          </cell>
          <cell r="D858" t="str">
            <v xml:space="preserve">   BTU</v>
          </cell>
          <cell r="E858" t="str">
            <v>UNAV</v>
          </cell>
          <cell r="F858" t="str">
            <v xml:space="preserve"> S</v>
          </cell>
          <cell r="G858">
            <v>36796.261805555558</v>
          </cell>
          <cell r="H858" t="str">
            <v xml:space="preserve"> BTU</v>
          </cell>
        </row>
        <row r="859">
          <cell r="A859" t="str">
            <v xml:space="preserve"> 16290BTU  </v>
          </cell>
          <cell r="B859" t="e">
            <v>#NAME?</v>
          </cell>
          <cell r="C859">
            <v>1054.06897</v>
          </cell>
          <cell r="D859" t="str">
            <v xml:space="preserve">   BTU</v>
          </cell>
          <cell r="E859" t="str">
            <v xml:space="preserve">    </v>
          </cell>
          <cell r="F859" t="str">
            <v xml:space="preserve"> S</v>
          </cell>
          <cell r="G859">
            <v>36796.261805555558</v>
          </cell>
          <cell r="H859" t="str">
            <v xml:space="preserve"> BTU</v>
          </cell>
        </row>
        <row r="860">
          <cell r="A860" t="str">
            <v xml:space="preserve"> 16291BTU  </v>
          </cell>
          <cell r="B860" t="e">
            <v>#NAME?</v>
          </cell>
          <cell r="C860">
            <v>1014</v>
          </cell>
          <cell r="D860" t="str">
            <v xml:space="preserve">   BTU</v>
          </cell>
          <cell r="E860" t="str">
            <v xml:space="preserve">    </v>
          </cell>
          <cell r="F860" t="str">
            <v xml:space="preserve"> S</v>
          </cell>
          <cell r="G860">
            <v>36796.261805555558</v>
          </cell>
          <cell r="H860" t="str">
            <v xml:space="preserve"> BTU</v>
          </cell>
        </row>
        <row r="861">
          <cell r="A861" t="str">
            <v xml:space="preserve"> 16292BTU  </v>
          </cell>
          <cell r="B861" t="e">
            <v>#NAME?</v>
          </cell>
          <cell r="C861">
            <v>0</v>
          </cell>
          <cell r="D861" t="str">
            <v xml:space="preserve">   BTU</v>
          </cell>
          <cell r="E861" t="str">
            <v>UNAV</v>
          </cell>
          <cell r="F861" t="str">
            <v xml:space="preserve"> S</v>
          </cell>
          <cell r="G861">
            <v>36796.261805555558</v>
          </cell>
          <cell r="H861" t="str">
            <v xml:space="preserve"> BTU</v>
          </cell>
        </row>
        <row r="862">
          <cell r="A862" t="str">
            <v xml:space="preserve"> 16293BTU  </v>
          </cell>
          <cell r="B862" t="e">
            <v>#NAME?</v>
          </cell>
          <cell r="C862">
            <v>0</v>
          </cell>
          <cell r="D862" t="str">
            <v xml:space="preserve">   BTU</v>
          </cell>
          <cell r="E862" t="str">
            <v>UNAV</v>
          </cell>
          <cell r="F862" t="str">
            <v xml:space="preserve"> S</v>
          </cell>
          <cell r="G862">
            <v>36796.261805555558</v>
          </cell>
          <cell r="H862" t="str">
            <v xml:space="preserve"> BTU</v>
          </cell>
        </row>
        <row r="863">
          <cell r="A863" t="str">
            <v xml:space="preserve"> 16294BTU  </v>
          </cell>
          <cell r="B863" t="e">
            <v>#NAME?</v>
          </cell>
          <cell r="C863">
            <v>0</v>
          </cell>
          <cell r="D863" t="str">
            <v xml:space="preserve">   BTU</v>
          </cell>
          <cell r="E863" t="str">
            <v>UNAV</v>
          </cell>
          <cell r="F863" t="str">
            <v xml:space="preserve"> S</v>
          </cell>
          <cell r="G863">
            <v>36796.261805555558</v>
          </cell>
          <cell r="H863" t="str">
            <v xml:space="preserve"> BTU</v>
          </cell>
        </row>
        <row r="864">
          <cell r="A864" t="str">
            <v xml:space="preserve"> 16295BTU  </v>
          </cell>
          <cell r="B864" t="e">
            <v>#NAME?</v>
          </cell>
          <cell r="C864">
            <v>0</v>
          </cell>
          <cell r="D864" t="str">
            <v xml:space="preserve">   BTU</v>
          </cell>
          <cell r="E864" t="str">
            <v>UNAV</v>
          </cell>
          <cell r="F864" t="str">
            <v xml:space="preserve"> S</v>
          </cell>
          <cell r="G864">
            <v>36796.261805555558</v>
          </cell>
          <cell r="H864" t="str">
            <v xml:space="preserve"> BTU</v>
          </cell>
        </row>
        <row r="865">
          <cell r="A865" t="str">
            <v xml:space="preserve"> 16296BTU  </v>
          </cell>
          <cell r="B865" t="e">
            <v>#NAME?</v>
          </cell>
          <cell r="C865">
            <v>0</v>
          </cell>
          <cell r="D865" t="str">
            <v xml:space="preserve">   BTU</v>
          </cell>
          <cell r="E865" t="str">
            <v>UNAV</v>
          </cell>
          <cell r="F865" t="str">
            <v xml:space="preserve"> S</v>
          </cell>
          <cell r="G865">
            <v>36796.261805555558</v>
          </cell>
          <cell r="H865" t="str">
            <v xml:space="preserve"> BTU</v>
          </cell>
        </row>
        <row r="866">
          <cell r="A866" t="str">
            <v xml:space="preserve"> 16297BTU  </v>
          </cell>
          <cell r="B866" t="e">
            <v>#NAME?</v>
          </cell>
          <cell r="C866">
            <v>1089.1505099999999</v>
          </cell>
          <cell r="D866" t="str">
            <v xml:space="preserve">   BTU</v>
          </cell>
          <cell r="E866" t="str">
            <v xml:space="preserve">    </v>
          </cell>
          <cell r="F866" t="str">
            <v xml:space="preserve"> S</v>
          </cell>
          <cell r="G866">
            <v>36796.261805555558</v>
          </cell>
          <cell r="H866" t="str">
            <v xml:space="preserve"> BTU</v>
          </cell>
        </row>
        <row r="867">
          <cell r="A867" t="str">
            <v xml:space="preserve"> 16298BTU  </v>
          </cell>
          <cell r="B867" t="e">
            <v>#NAME?</v>
          </cell>
          <cell r="C867">
            <v>1036.57898</v>
          </cell>
          <cell r="D867" t="str">
            <v xml:space="preserve">   BTU</v>
          </cell>
          <cell r="E867" t="str">
            <v xml:space="preserve">    </v>
          </cell>
          <cell r="F867" t="str">
            <v xml:space="preserve"> S</v>
          </cell>
          <cell r="G867">
            <v>36796.261805555558</v>
          </cell>
          <cell r="H867" t="str">
            <v xml:space="preserve"> BTU</v>
          </cell>
        </row>
        <row r="868">
          <cell r="A868" t="str">
            <v xml:space="preserve"> 16299BTU  </v>
          </cell>
          <cell r="B868" t="e">
            <v>#NAME?</v>
          </cell>
          <cell r="C868">
            <v>0</v>
          </cell>
          <cell r="D868" t="str">
            <v xml:space="preserve">   BTU</v>
          </cell>
          <cell r="E868" t="str">
            <v>UNAV</v>
          </cell>
          <cell r="F868" t="str">
            <v xml:space="preserve"> S</v>
          </cell>
          <cell r="G868">
            <v>36796.261805555558</v>
          </cell>
          <cell r="H868" t="str">
            <v xml:space="preserve"> BTU</v>
          </cell>
        </row>
        <row r="869">
          <cell r="A869" t="str">
            <v xml:space="preserve"> 16300BTU  </v>
          </cell>
          <cell r="B869" t="e">
            <v>#NAME?</v>
          </cell>
          <cell r="C869">
            <v>0</v>
          </cell>
          <cell r="D869" t="str">
            <v xml:space="preserve">   BTU</v>
          </cell>
          <cell r="E869" t="str">
            <v>UNAV</v>
          </cell>
          <cell r="F869" t="str">
            <v xml:space="preserve"> S</v>
          </cell>
          <cell r="G869">
            <v>36796.261805555558</v>
          </cell>
          <cell r="H869" t="str">
            <v xml:space="preserve"> BTU</v>
          </cell>
        </row>
        <row r="870">
          <cell r="A870" t="str">
            <v xml:space="preserve"> 16301BTU  </v>
          </cell>
          <cell r="B870" t="e">
            <v>#NAME?</v>
          </cell>
          <cell r="C870">
            <v>0</v>
          </cell>
          <cell r="D870" t="str">
            <v xml:space="preserve">   BTU</v>
          </cell>
          <cell r="E870" t="str">
            <v>UNAV</v>
          </cell>
          <cell r="F870" t="str">
            <v xml:space="preserve"> S</v>
          </cell>
          <cell r="G870">
            <v>36796.261805555558</v>
          </cell>
          <cell r="H870" t="str">
            <v xml:space="preserve"> BTU</v>
          </cell>
        </row>
        <row r="871">
          <cell r="A871" t="str">
            <v xml:space="preserve"> 16304BTU  </v>
          </cell>
          <cell r="B871" t="e">
            <v>#NAME?</v>
          </cell>
          <cell r="C871">
            <v>0</v>
          </cell>
          <cell r="D871" t="str">
            <v xml:space="preserve">   BTU</v>
          </cell>
          <cell r="E871" t="str">
            <v>UNAV</v>
          </cell>
          <cell r="F871" t="str">
            <v xml:space="preserve"> S</v>
          </cell>
          <cell r="G871">
            <v>36796.261805555558</v>
          </cell>
          <cell r="H871" t="str">
            <v xml:space="preserve"> BTU</v>
          </cell>
        </row>
        <row r="872">
          <cell r="A872" t="str">
            <v xml:space="preserve"> 16306BTU  </v>
          </cell>
          <cell r="B872" t="e">
            <v>#NAME?</v>
          </cell>
          <cell r="C872">
            <v>1025.5241699999999</v>
          </cell>
          <cell r="D872" t="str">
            <v xml:space="preserve">   BTU</v>
          </cell>
          <cell r="E872" t="str">
            <v xml:space="preserve">    </v>
          </cell>
          <cell r="F872" t="str">
            <v xml:space="preserve"> S</v>
          </cell>
          <cell r="G872">
            <v>36796.261805555558</v>
          </cell>
          <cell r="H872" t="str">
            <v xml:space="preserve"> BTU</v>
          </cell>
        </row>
        <row r="873">
          <cell r="A873" t="str">
            <v xml:space="preserve"> 16307BTU  </v>
          </cell>
          <cell r="B873" t="e">
            <v>#NAME?</v>
          </cell>
          <cell r="C873">
            <v>0</v>
          </cell>
          <cell r="D873" t="str">
            <v xml:space="preserve">   BTU</v>
          </cell>
          <cell r="E873" t="str">
            <v>UNAV</v>
          </cell>
          <cell r="F873" t="str">
            <v xml:space="preserve"> S</v>
          </cell>
          <cell r="G873">
            <v>36796.261805555558</v>
          </cell>
          <cell r="H873" t="str">
            <v xml:space="preserve"> BTU</v>
          </cell>
        </row>
        <row r="874">
          <cell r="A874" t="str">
            <v xml:space="preserve"> 16308BTU  </v>
          </cell>
          <cell r="B874" t="e">
            <v>#NAME?</v>
          </cell>
          <cell r="C874">
            <v>0</v>
          </cell>
          <cell r="D874" t="str">
            <v xml:space="preserve">   BTU</v>
          </cell>
          <cell r="E874" t="str">
            <v>UNAV</v>
          </cell>
          <cell r="F874" t="str">
            <v xml:space="preserve"> S</v>
          </cell>
          <cell r="G874">
            <v>36796.261805555558</v>
          </cell>
          <cell r="H874" t="str">
            <v xml:space="preserve"> BTU</v>
          </cell>
        </row>
        <row r="875">
          <cell r="A875" t="str">
            <v xml:space="preserve"> 16309BTU  </v>
          </cell>
          <cell r="B875" t="e">
            <v>#NAME?</v>
          </cell>
          <cell r="C875">
            <v>0</v>
          </cell>
          <cell r="D875" t="str">
            <v xml:space="preserve">   BTU</v>
          </cell>
          <cell r="E875" t="str">
            <v>UNAV</v>
          </cell>
          <cell r="F875" t="str">
            <v xml:space="preserve"> S</v>
          </cell>
          <cell r="G875">
            <v>36796.261805555558</v>
          </cell>
          <cell r="H875" t="str">
            <v xml:space="preserve"> BTU</v>
          </cell>
        </row>
        <row r="876">
          <cell r="A876" t="str">
            <v xml:space="preserve"> 16310BTU  </v>
          </cell>
          <cell r="B876" t="e">
            <v>#NAME?</v>
          </cell>
          <cell r="C876">
            <v>0</v>
          </cell>
          <cell r="D876" t="str">
            <v xml:space="preserve">   BTU</v>
          </cell>
          <cell r="E876" t="str">
            <v>UNAV</v>
          </cell>
          <cell r="F876" t="str">
            <v xml:space="preserve"> S</v>
          </cell>
          <cell r="G876">
            <v>36796.261805555558</v>
          </cell>
          <cell r="H876" t="str">
            <v xml:space="preserve"> BTU</v>
          </cell>
        </row>
        <row r="877">
          <cell r="A877" t="str">
            <v xml:space="preserve"> 16311BTU  </v>
          </cell>
          <cell r="B877" t="e">
            <v>#NAME?</v>
          </cell>
          <cell r="C877">
            <v>1097</v>
          </cell>
          <cell r="D877" t="str">
            <v xml:space="preserve">   BTU</v>
          </cell>
          <cell r="E877" t="str">
            <v xml:space="preserve">    </v>
          </cell>
          <cell r="F877" t="str">
            <v xml:space="preserve"> S</v>
          </cell>
          <cell r="G877">
            <v>36796.261805555558</v>
          </cell>
          <cell r="H877" t="str">
            <v xml:space="preserve"> BTU</v>
          </cell>
        </row>
        <row r="878">
          <cell r="A878" t="str">
            <v xml:space="preserve"> 16312BTU  </v>
          </cell>
          <cell r="B878" t="e">
            <v>#NAME?</v>
          </cell>
          <cell r="C878">
            <v>0</v>
          </cell>
          <cell r="D878" t="str">
            <v xml:space="preserve">   BTU</v>
          </cell>
          <cell r="E878" t="str">
            <v>UNAV</v>
          </cell>
          <cell r="F878" t="str">
            <v xml:space="preserve"> S</v>
          </cell>
          <cell r="G878">
            <v>36796.261805555558</v>
          </cell>
          <cell r="H878" t="str">
            <v xml:space="preserve"> BTU</v>
          </cell>
        </row>
        <row r="879">
          <cell r="A879" t="str">
            <v xml:space="preserve"> 16314BTU  </v>
          </cell>
          <cell r="B879" t="e">
            <v>#NAME?</v>
          </cell>
          <cell r="C879">
            <v>0</v>
          </cell>
          <cell r="D879" t="str">
            <v xml:space="preserve">   BTU</v>
          </cell>
          <cell r="E879" t="str">
            <v>UNAV</v>
          </cell>
          <cell r="F879" t="str">
            <v xml:space="preserve"> S</v>
          </cell>
          <cell r="G879">
            <v>36796.261805555558</v>
          </cell>
          <cell r="H879" t="str">
            <v xml:space="preserve"> BTU</v>
          </cell>
        </row>
        <row r="880">
          <cell r="A880" t="str">
            <v xml:space="preserve"> 16315BTU  </v>
          </cell>
          <cell r="B880" t="e">
            <v>#NAME?</v>
          </cell>
          <cell r="C880">
            <v>0</v>
          </cell>
          <cell r="D880" t="str">
            <v xml:space="preserve">   BTU</v>
          </cell>
          <cell r="E880" t="str">
            <v>UNAV</v>
          </cell>
          <cell r="F880" t="str">
            <v xml:space="preserve"> S</v>
          </cell>
          <cell r="G880">
            <v>36796.261805555558</v>
          </cell>
          <cell r="H880" t="str">
            <v xml:space="preserve"> BTU</v>
          </cell>
        </row>
        <row r="881">
          <cell r="A881" t="str">
            <v xml:space="preserve"> 16316BTU  </v>
          </cell>
          <cell r="B881" t="e">
            <v>#NAME?</v>
          </cell>
          <cell r="C881">
            <v>0</v>
          </cell>
          <cell r="D881" t="str">
            <v xml:space="preserve">   BTU</v>
          </cell>
          <cell r="E881" t="str">
            <v>UNAV</v>
          </cell>
          <cell r="F881" t="str">
            <v xml:space="preserve"> S</v>
          </cell>
          <cell r="G881">
            <v>36796.261805555558</v>
          </cell>
          <cell r="H881" t="str">
            <v xml:space="preserve"> BTU</v>
          </cell>
        </row>
        <row r="882">
          <cell r="A882" t="str">
            <v xml:space="preserve"> 16317BTU  </v>
          </cell>
          <cell r="B882" t="e">
            <v>#NAME?</v>
          </cell>
          <cell r="C882">
            <v>0</v>
          </cell>
          <cell r="D882" t="str">
            <v xml:space="preserve">   BTU</v>
          </cell>
          <cell r="E882" t="str">
            <v>UNAV</v>
          </cell>
          <cell r="F882" t="str">
            <v xml:space="preserve"> S</v>
          </cell>
          <cell r="G882">
            <v>36796.261805555558</v>
          </cell>
          <cell r="H882" t="str">
            <v xml:space="preserve"> BTU</v>
          </cell>
        </row>
        <row r="883">
          <cell r="A883" t="str">
            <v xml:space="preserve"> 16318BTU  </v>
          </cell>
          <cell r="B883" t="e">
            <v>#NAME?</v>
          </cell>
          <cell r="C883">
            <v>0</v>
          </cell>
          <cell r="D883" t="str">
            <v xml:space="preserve">   BTU</v>
          </cell>
          <cell r="E883" t="str">
            <v>UNAV</v>
          </cell>
          <cell r="F883" t="str">
            <v xml:space="preserve"> S</v>
          </cell>
          <cell r="G883">
            <v>36796.261805555558</v>
          </cell>
          <cell r="H883" t="str">
            <v xml:space="preserve"> BTU</v>
          </cell>
        </row>
        <row r="884">
          <cell r="A884" t="str">
            <v xml:space="preserve"> 16319BTU  </v>
          </cell>
          <cell r="B884" t="e">
            <v>#NAME?</v>
          </cell>
          <cell r="C884">
            <v>0</v>
          </cell>
          <cell r="D884" t="str">
            <v xml:space="preserve">   BTU</v>
          </cell>
          <cell r="E884" t="str">
            <v>UNAV</v>
          </cell>
          <cell r="F884" t="str">
            <v xml:space="preserve"> S</v>
          </cell>
          <cell r="G884">
            <v>36796.261805555558</v>
          </cell>
          <cell r="H884" t="str">
            <v xml:space="preserve"> BTU</v>
          </cell>
        </row>
        <row r="885">
          <cell r="A885" t="str">
            <v xml:space="preserve"> 16320BTU  </v>
          </cell>
          <cell r="B885" t="e">
            <v>#NAME?</v>
          </cell>
          <cell r="C885">
            <v>0</v>
          </cell>
          <cell r="D885" t="str">
            <v xml:space="preserve">   BTU</v>
          </cell>
          <cell r="E885" t="str">
            <v>UNAV</v>
          </cell>
          <cell r="F885" t="str">
            <v xml:space="preserve"> S</v>
          </cell>
          <cell r="G885">
            <v>36796.261805555558</v>
          </cell>
          <cell r="H885" t="str">
            <v xml:space="preserve"> BTU</v>
          </cell>
        </row>
        <row r="886">
          <cell r="A886" t="str">
            <v xml:space="preserve"> 16321BTU  </v>
          </cell>
          <cell r="B886" t="e">
            <v>#NAME?</v>
          </cell>
          <cell r="C886">
            <v>0</v>
          </cell>
          <cell r="D886" t="str">
            <v xml:space="preserve">   BTU</v>
          </cell>
          <cell r="E886" t="str">
            <v>UNAV</v>
          </cell>
          <cell r="F886" t="str">
            <v xml:space="preserve"> S</v>
          </cell>
          <cell r="G886">
            <v>36796.261805555558</v>
          </cell>
          <cell r="H886" t="str">
            <v xml:space="preserve"> BTU</v>
          </cell>
        </row>
        <row r="887">
          <cell r="A887" t="str">
            <v xml:space="preserve"> 16322BTU  </v>
          </cell>
          <cell r="B887" t="e">
            <v>#NAME?</v>
          </cell>
          <cell r="C887">
            <v>0</v>
          </cell>
          <cell r="D887" t="str">
            <v xml:space="preserve">   BTU</v>
          </cell>
          <cell r="E887" t="str">
            <v>UNAV</v>
          </cell>
          <cell r="F887" t="str">
            <v xml:space="preserve"> S</v>
          </cell>
          <cell r="G887">
            <v>36796.261805555558</v>
          </cell>
          <cell r="H887" t="str">
            <v xml:space="preserve"> BTU</v>
          </cell>
        </row>
        <row r="888">
          <cell r="A888" t="str">
            <v xml:space="preserve"> 16323BTU  </v>
          </cell>
          <cell r="B888" t="e">
            <v>#NAME?</v>
          </cell>
          <cell r="C888">
            <v>1030</v>
          </cell>
          <cell r="D888" t="str">
            <v xml:space="preserve">   BTU</v>
          </cell>
          <cell r="E888" t="str">
            <v xml:space="preserve">    </v>
          </cell>
          <cell r="F888" t="str">
            <v xml:space="preserve"> S</v>
          </cell>
          <cell r="G888">
            <v>36796.261805555558</v>
          </cell>
          <cell r="H888" t="str">
            <v xml:space="preserve"> BTU</v>
          </cell>
        </row>
        <row r="889">
          <cell r="A889" t="str">
            <v xml:space="preserve"> 16324BTU  </v>
          </cell>
          <cell r="B889" t="e">
            <v>#NAME?</v>
          </cell>
          <cell r="C889">
            <v>0</v>
          </cell>
          <cell r="D889" t="str">
            <v xml:space="preserve">   BTU</v>
          </cell>
          <cell r="E889" t="str">
            <v>UNAV</v>
          </cell>
          <cell r="F889" t="str">
            <v xml:space="preserve"> S</v>
          </cell>
          <cell r="G889">
            <v>36796.261805555558</v>
          </cell>
          <cell r="H889" t="str">
            <v xml:space="preserve"> BTU</v>
          </cell>
        </row>
        <row r="890">
          <cell r="A890" t="str">
            <v xml:space="preserve"> 16326BTU  </v>
          </cell>
          <cell r="B890" t="e">
            <v>#NAME?</v>
          </cell>
          <cell r="C890">
            <v>0</v>
          </cell>
          <cell r="D890" t="str">
            <v xml:space="preserve">   BTU</v>
          </cell>
          <cell r="E890" t="str">
            <v>UNAV</v>
          </cell>
          <cell r="F890" t="str">
            <v xml:space="preserve"> S</v>
          </cell>
          <cell r="G890">
            <v>36796.261805555558</v>
          </cell>
          <cell r="H890" t="str">
            <v xml:space="preserve"> BTU</v>
          </cell>
        </row>
        <row r="891">
          <cell r="A891" t="str">
            <v xml:space="preserve"> 16328BTU  </v>
          </cell>
          <cell r="B891" t="e">
            <v>#NAME?</v>
          </cell>
          <cell r="C891">
            <v>0</v>
          </cell>
          <cell r="D891" t="str">
            <v xml:space="preserve">   BTU</v>
          </cell>
          <cell r="E891" t="str">
            <v>UNAV</v>
          </cell>
          <cell r="F891" t="str">
            <v xml:space="preserve"> S</v>
          </cell>
          <cell r="G891">
            <v>36796.261805555558</v>
          </cell>
          <cell r="H891" t="str">
            <v xml:space="preserve"> BTU</v>
          </cell>
        </row>
        <row r="892">
          <cell r="A892" t="str">
            <v xml:space="preserve"> 16330BTU  </v>
          </cell>
          <cell r="B892" t="e">
            <v>#NAME?</v>
          </cell>
          <cell r="C892">
            <v>0</v>
          </cell>
          <cell r="D892" t="str">
            <v xml:space="preserve">   BTU</v>
          </cell>
          <cell r="E892" t="str">
            <v>UNAV</v>
          </cell>
          <cell r="F892" t="str">
            <v xml:space="preserve"> S</v>
          </cell>
          <cell r="G892">
            <v>36796.261805555558</v>
          </cell>
          <cell r="H892" t="str">
            <v xml:space="preserve"> BTU</v>
          </cell>
        </row>
        <row r="893">
          <cell r="A893" t="str">
            <v xml:space="preserve"> 16331BTU  </v>
          </cell>
          <cell r="B893" t="e">
            <v>#NAME?</v>
          </cell>
          <cell r="C893">
            <v>1105</v>
          </cell>
          <cell r="D893" t="str">
            <v xml:space="preserve">   BTU</v>
          </cell>
          <cell r="E893" t="str">
            <v xml:space="preserve">    </v>
          </cell>
          <cell r="F893" t="str">
            <v xml:space="preserve"> S</v>
          </cell>
          <cell r="G893">
            <v>36796.261805555558</v>
          </cell>
          <cell r="H893" t="str">
            <v xml:space="preserve"> BTU</v>
          </cell>
        </row>
        <row r="894">
          <cell r="A894" t="str">
            <v xml:space="preserve"> 16332BTU  </v>
          </cell>
          <cell r="B894" t="e">
            <v>#NAME?</v>
          </cell>
          <cell r="C894">
            <v>0</v>
          </cell>
          <cell r="D894" t="str">
            <v xml:space="preserve">   BTU</v>
          </cell>
          <cell r="E894" t="str">
            <v>UNAV</v>
          </cell>
          <cell r="F894" t="str">
            <v xml:space="preserve"> S</v>
          </cell>
          <cell r="G894">
            <v>36796.261805555558</v>
          </cell>
          <cell r="H894" t="str">
            <v xml:space="preserve"> BTU</v>
          </cell>
        </row>
        <row r="895">
          <cell r="A895" t="str">
            <v xml:space="preserve"> 16333BTU  </v>
          </cell>
          <cell r="B895" t="e">
            <v>#NAME?</v>
          </cell>
          <cell r="C895">
            <v>0</v>
          </cell>
          <cell r="D895" t="str">
            <v xml:space="preserve">   BTU</v>
          </cell>
          <cell r="E895" t="str">
            <v>UNAV</v>
          </cell>
          <cell r="F895" t="str">
            <v xml:space="preserve"> S</v>
          </cell>
          <cell r="G895">
            <v>36796.261805555558</v>
          </cell>
          <cell r="H895" t="str">
            <v xml:space="preserve"> BTU</v>
          </cell>
        </row>
        <row r="896">
          <cell r="A896" t="str">
            <v xml:space="preserve"> 16334BTU  </v>
          </cell>
          <cell r="B896" t="e">
            <v>#NAME?</v>
          </cell>
          <cell r="C896">
            <v>0</v>
          </cell>
          <cell r="D896" t="str">
            <v xml:space="preserve">   BTU</v>
          </cell>
          <cell r="E896" t="str">
            <v>UNAV</v>
          </cell>
          <cell r="F896" t="str">
            <v xml:space="preserve"> S</v>
          </cell>
          <cell r="G896">
            <v>36796.261805555558</v>
          </cell>
          <cell r="H896" t="str">
            <v xml:space="preserve"> BTU</v>
          </cell>
        </row>
        <row r="897">
          <cell r="A897" t="str">
            <v xml:space="preserve"> 16335BTU  </v>
          </cell>
          <cell r="B897" t="e">
            <v>#NAME?</v>
          </cell>
          <cell r="C897">
            <v>0</v>
          </cell>
          <cell r="D897" t="str">
            <v xml:space="preserve">   BTU</v>
          </cell>
          <cell r="E897" t="str">
            <v>UNAV</v>
          </cell>
          <cell r="F897" t="str">
            <v xml:space="preserve"> S</v>
          </cell>
          <cell r="G897">
            <v>36796.261805555558</v>
          </cell>
          <cell r="H897" t="str">
            <v xml:space="preserve"> BTU</v>
          </cell>
        </row>
        <row r="898">
          <cell r="A898" t="str">
            <v xml:space="preserve"> 16336BTU  </v>
          </cell>
          <cell r="B898" t="e">
            <v>#NAME?</v>
          </cell>
          <cell r="C898">
            <v>0</v>
          </cell>
          <cell r="D898" t="str">
            <v xml:space="preserve">   BTU</v>
          </cell>
          <cell r="E898" t="str">
            <v>UNAV</v>
          </cell>
          <cell r="F898" t="str">
            <v xml:space="preserve"> S</v>
          </cell>
          <cell r="G898">
            <v>36796.261805555558</v>
          </cell>
          <cell r="H898" t="str">
            <v xml:space="preserve"> BTU</v>
          </cell>
        </row>
        <row r="899">
          <cell r="A899" t="str">
            <v xml:space="preserve"> 16337BTU  </v>
          </cell>
          <cell r="B899" t="e">
            <v>#NAME?</v>
          </cell>
          <cell r="C899">
            <v>0</v>
          </cell>
          <cell r="D899" t="str">
            <v xml:space="preserve">   BTU</v>
          </cell>
          <cell r="E899" t="str">
            <v>UNAV</v>
          </cell>
          <cell r="F899" t="str">
            <v xml:space="preserve"> S</v>
          </cell>
          <cell r="G899">
            <v>36796.261805555558</v>
          </cell>
          <cell r="H899" t="str">
            <v xml:space="preserve"> BTU</v>
          </cell>
        </row>
        <row r="900">
          <cell r="A900" t="str">
            <v xml:space="preserve"> 16338BTU  </v>
          </cell>
          <cell r="B900" t="e">
            <v>#NAME?</v>
          </cell>
          <cell r="C900">
            <v>991</v>
          </cell>
          <cell r="D900" t="str">
            <v xml:space="preserve">   BTU</v>
          </cell>
          <cell r="E900" t="str">
            <v xml:space="preserve">    </v>
          </cell>
          <cell r="F900" t="str">
            <v xml:space="preserve"> S</v>
          </cell>
          <cell r="G900">
            <v>36796.261805555558</v>
          </cell>
          <cell r="H900" t="str">
            <v xml:space="preserve"> BTU</v>
          </cell>
        </row>
        <row r="901">
          <cell r="A901" t="str">
            <v xml:space="preserve"> 16339BTU  </v>
          </cell>
          <cell r="B901" t="e">
            <v>#NAME?</v>
          </cell>
          <cell r="C901">
            <v>0</v>
          </cell>
          <cell r="D901" t="str">
            <v xml:space="preserve">   BTU</v>
          </cell>
          <cell r="E901" t="str">
            <v>UNAV</v>
          </cell>
          <cell r="F901" t="str">
            <v xml:space="preserve"> S</v>
          </cell>
          <cell r="G901">
            <v>36796.261805555558</v>
          </cell>
          <cell r="H901" t="str">
            <v xml:space="preserve"> BTU</v>
          </cell>
        </row>
        <row r="902">
          <cell r="A902" t="str">
            <v xml:space="preserve"> 16340BTU  </v>
          </cell>
          <cell r="B902" t="e">
            <v>#NAME?</v>
          </cell>
          <cell r="C902">
            <v>1160</v>
          </cell>
          <cell r="D902" t="str">
            <v xml:space="preserve">   BTU</v>
          </cell>
          <cell r="E902" t="str">
            <v xml:space="preserve">    </v>
          </cell>
          <cell r="F902" t="str">
            <v xml:space="preserve"> S</v>
          </cell>
          <cell r="G902">
            <v>36796.261805555558</v>
          </cell>
          <cell r="H902" t="str">
            <v xml:space="preserve"> BTU</v>
          </cell>
        </row>
        <row r="903">
          <cell r="A903" t="str">
            <v xml:space="preserve"> 16341BTU  </v>
          </cell>
          <cell r="B903" t="e">
            <v>#NAME?</v>
          </cell>
          <cell r="C903">
            <v>0</v>
          </cell>
          <cell r="D903" t="str">
            <v xml:space="preserve">   BTU</v>
          </cell>
          <cell r="E903" t="str">
            <v>UNAV</v>
          </cell>
          <cell r="F903" t="str">
            <v xml:space="preserve"> S</v>
          </cell>
          <cell r="G903">
            <v>36796.261805555558</v>
          </cell>
          <cell r="H903" t="str">
            <v xml:space="preserve"> BTU</v>
          </cell>
        </row>
        <row r="904">
          <cell r="A904" t="str">
            <v xml:space="preserve"> 16342BTU  </v>
          </cell>
          <cell r="B904" t="e">
            <v>#NAME?</v>
          </cell>
          <cell r="C904">
            <v>0</v>
          </cell>
          <cell r="D904" t="str">
            <v xml:space="preserve">   BTU</v>
          </cell>
          <cell r="E904" t="str">
            <v>UNAV</v>
          </cell>
          <cell r="F904" t="str">
            <v xml:space="preserve"> S</v>
          </cell>
          <cell r="G904">
            <v>36796.261805555558</v>
          </cell>
          <cell r="H904" t="str">
            <v xml:space="preserve"> BTU</v>
          </cell>
        </row>
        <row r="905">
          <cell r="A905" t="str">
            <v xml:space="preserve"> 16343BTU  </v>
          </cell>
          <cell r="B905" t="e">
            <v>#NAME?</v>
          </cell>
          <cell r="C905">
            <v>0</v>
          </cell>
          <cell r="D905" t="str">
            <v xml:space="preserve">   BTU</v>
          </cell>
          <cell r="E905" t="str">
            <v>UNAV</v>
          </cell>
          <cell r="F905" t="str">
            <v xml:space="preserve"> S</v>
          </cell>
          <cell r="G905">
            <v>36796.261805555558</v>
          </cell>
          <cell r="H905" t="str">
            <v xml:space="preserve"> BTU</v>
          </cell>
        </row>
        <row r="906">
          <cell r="A906" t="str">
            <v xml:space="preserve"> 16344BTU  </v>
          </cell>
          <cell r="B906" t="e">
            <v>#NAME?</v>
          </cell>
          <cell r="C906">
            <v>0</v>
          </cell>
          <cell r="D906" t="str">
            <v xml:space="preserve">   BTU</v>
          </cell>
          <cell r="E906" t="str">
            <v>UNAV</v>
          </cell>
          <cell r="F906" t="str">
            <v xml:space="preserve"> S</v>
          </cell>
          <cell r="G906">
            <v>36796.261805555558</v>
          </cell>
          <cell r="H906" t="str">
            <v xml:space="preserve"> BTU</v>
          </cell>
        </row>
        <row r="907">
          <cell r="A907" t="str">
            <v xml:space="preserve"> 16345BTU  </v>
          </cell>
          <cell r="B907" t="e">
            <v>#NAME?</v>
          </cell>
          <cell r="C907">
            <v>0</v>
          </cell>
          <cell r="D907" t="str">
            <v xml:space="preserve">   BTU</v>
          </cell>
          <cell r="E907" t="str">
            <v>UNAV</v>
          </cell>
          <cell r="F907" t="str">
            <v xml:space="preserve"> S</v>
          </cell>
          <cell r="G907">
            <v>36796.261805555558</v>
          </cell>
          <cell r="H907" t="str">
            <v xml:space="preserve"> BTU</v>
          </cell>
        </row>
        <row r="908">
          <cell r="A908" t="str">
            <v xml:space="preserve"> 16346BTU  </v>
          </cell>
          <cell r="B908" t="e">
            <v>#NAME?</v>
          </cell>
          <cell r="C908">
            <v>0</v>
          </cell>
          <cell r="D908" t="str">
            <v xml:space="preserve">   BTU</v>
          </cell>
          <cell r="E908" t="str">
            <v>UNAV</v>
          </cell>
          <cell r="F908" t="str">
            <v xml:space="preserve"> S</v>
          </cell>
          <cell r="G908">
            <v>36796.261805555558</v>
          </cell>
          <cell r="H908" t="str">
            <v xml:space="preserve"> BTU</v>
          </cell>
        </row>
        <row r="909">
          <cell r="A909" t="str">
            <v xml:space="preserve"> 16347BTU  </v>
          </cell>
          <cell r="B909" t="e">
            <v>#NAME?</v>
          </cell>
          <cell r="C909">
            <v>0</v>
          </cell>
          <cell r="D909" t="str">
            <v xml:space="preserve">   BTU</v>
          </cell>
          <cell r="E909" t="str">
            <v>UNAV</v>
          </cell>
          <cell r="F909" t="str">
            <v xml:space="preserve"> S</v>
          </cell>
          <cell r="G909">
            <v>36796.261805555558</v>
          </cell>
          <cell r="H909" t="str">
            <v xml:space="preserve"> BTU</v>
          </cell>
        </row>
        <row r="910">
          <cell r="A910" t="str">
            <v xml:space="preserve"> 16348BTU  </v>
          </cell>
          <cell r="B910" t="e">
            <v>#NAME?</v>
          </cell>
          <cell r="C910">
            <v>1011</v>
          </cell>
          <cell r="D910" t="str">
            <v xml:space="preserve">   BTU</v>
          </cell>
          <cell r="E910" t="str">
            <v xml:space="preserve">    </v>
          </cell>
          <cell r="F910" t="str">
            <v xml:space="preserve"> S</v>
          </cell>
          <cell r="G910">
            <v>36796.261805555558</v>
          </cell>
          <cell r="H910" t="str">
            <v xml:space="preserve"> BTU</v>
          </cell>
        </row>
        <row r="911">
          <cell r="A911" t="str">
            <v xml:space="preserve"> 16350BTU  </v>
          </cell>
          <cell r="B911" t="e">
            <v>#NAME?</v>
          </cell>
          <cell r="C911">
            <v>1020</v>
          </cell>
          <cell r="D911" t="str">
            <v xml:space="preserve">   BTU</v>
          </cell>
          <cell r="E911" t="str">
            <v xml:space="preserve">    </v>
          </cell>
          <cell r="F911" t="str">
            <v xml:space="preserve"> S</v>
          </cell>
          <cell r="G911">
            <v>36796.261805555558</v>
          </cell>
          <cell r="H911" t="str">
            <v xml:space="preserve"> BTU</v>
          </cell>
        </row>
        <row r="912">
          <cell r="A912" t="str">
            <v xml:space="preserve"> 16351BTU  </v>
          </cell>
          <cell r="B912" t="e">
            <v>#NAME?</v>
          </cell>
          <cell r="C912">
            <v>0</v>
          </cell>
          <cell r="D912" t="str">
            <v xml:space="preserve">   BTU</v>
          </cell>
          <cell r="E912" t="str">
            <v>UNAV</v>
          </cell>
          <cell r="F912" t="str">
            <v xml:space="preserve"> S</v>
          </cell>
          <cell r="G912">
            <v>36796.261805555558</v>
          </cell>
          <cell r="H912" t="str">
            <v xml:space="preserve"> BTU</v>
          </cell>
        </row>
        <row r="913">
          <cell r="A913" t="str">
            <v xml:space="preserve"> 16352BTU  </v>
          </cell>
          <cell r="B913" t="e">
            <v>#NAME?</v>
          </cell>
          <cell r="C913">
            <v>1136</v>
          </cell>
          <cell r="D913" t="str">
            <v xml:space="preserve">   BTU</v>
          </cell>
          <cell r="E913" t="str">
            <v xml:space="preserve">    </v>
          </cell>
          <cell r="F913" t="str">
            <v xml:space="preserve"> S</v>
          </cell>
          <cell r="G913">
            <v>36796.261805555558</v>
          </cell>
          <cell r="H913" t="str">
            <v xml:space="preserve"> BTU</v>
          </cell>
        </row>
        <row r="914">
          <cell r="A914" t="str">
            <v xml:space="preserve"> 16353BTU  </v>
          </cell>
          <cell r="B914" t="e">
            <v>#NAME?</v>
          </cell>
          <cell r="C914">
            <v>0</v>
          </cell>
          <cell r="D914" t="str">
            <v xml:space="preserve">   BTU</v>
          </cell>
          <cell r="E914" t="str">
            <v>UNAV</v>
          </cell>
          <cell r="F914" t="str">
            <v xml:space="preserve"> S</v>
          </cell>
          <cell r="G914">
            <v>36796.261805555558</v>
          </cell>
          <cell r="H914" t="str">
            <v xml:space="preserve"> BTU</v>
          </cell>
        </row>
        <row r="915">
          <cell r="A915" t="str">
            <v xml:space="preserve"> 16354BTU  </v>
          </cell>
          <cell r="B915" t="e">
            <v>#NAME?</v>
          </cell>
          <cell r="C915">
            <v>1028.07178</v>
          </cell>
          <cell r="D915" t="str">
            <v xml:space="preserve">   BTU</v>
          </cell>
          <cell r="E915" t="str">
            <v xml:space="preserve">    </v>
          </cell>
          <cell r="F915" t="str">
            <v xml:space="preserve"> S</v>
          </cell>
          <cell r="G915">
            <v>36796.261805555558</v>
          </cell>
          <cell r="H915" t="str">
            <v xml:space="preserve"> BTU</v>
          </cell>
        </row>
        <row r="916">
          <cell r="A916" t="str">
            <v xml:space="preserve"> 16355BTU  </v>
          </cell>
          <cell r="B916" t="e">
            <v>#NAME?</v>
          </cell>
          <cell r="C916">
            <v>1045</v>
          </cell>
          <cell r="D916" t="str">
            <v xml:space="preserve">   BTU</v>
          </cell>
          <cell r="E916" t="str">
            <v xml:space="preserve">    </v>
          </cell>
          <cell r="F916" t="str">
            <v xml:space="preserve"> S</v>
          </cell>
          <cell r="G916">
            <v>36796.261805555558</v>
          </cell>
          <cell r="H916" t="str">
            <v xml:space="preserve"> BTU</v>
          </cell>
        </row>
        <row r="917">
          <cell r="A917" t="str">
            <v xml:space="preserve"> 16357BTU  </v>
          </cell>
          <cell r="B917" t="e">
            <v>#NAME?</v>
          </cell>
          <cell r="C917">
            <v>0</v>
          </cell>
          <cell r="D917" t="str">
            <v xml:space="preserve">   BTU</v>
          </cell>
          <cell r="E917" t="str">
            <v>UNAV</v>
          </cell>
          <cell r="F917" t="str">
            <v xml:space="preserve"> S</v>
          </cell>
          <cell r="G917">
            <v>36796.261805555558</v>
          </cell>
          <cell r="H917" t="str">
            <v xml:space="preserve"> BTU</v>
          </cell>
        </row>
        <row r="918">
          <cell r="A918" t="str">
            <v xml:space="preserve"> 16359BTU  </v>
          </cell>
          <cell r="B918" t="e">
            <v>#NAME?</v>
          </cell>
          <cell r="C918">
            <v>0</v>
          </cell>
          <cell r="D918" t="str">
            <v xml:space="preserve">   BTU</v>
          </cell>
          <cell r="E918" t="str">
            <v>UNAV</v>
          </cell>
          <cell r="F918" t="str">
            <v xml:space="preserve"> S</v>
          </cell>
          <cell r="G918">
            <v>36796.261805555558</v>
          </cell>
          <cell r="H918" t="str">
            <v xml:space="preserve"> BTU</v>
          </cell>
        </row>
        <row r="919">
          <cell r="A919" t="str">
            <v xml:space="preserve"> 16360BTU  </v>
          </cell>
          <cell r="B919" t="e">
            <v>#NAME?</v>
          </cell>
          <cell r="C919">
            <v>0</v>
          </cell>
          <cell r="D919" t="str">
            <v xml:space="preserve">   BTU</v>
          </cell>
          <cell r="E919" t="str">
            <v>UNAV</v>
          </cell>
          <cell r="F919" t="str">
            <v xml:space="preserve"> S</v>
          </cell>
          <cell r="G919">
            <v>36796.261805555558</v>
          </cell>
          <cell r="H919" t="str">
            <v xml:space="preserve"> BTU</v>
          </cell>
        </row>
        <row r="920">
          <cell r="A920" t="str">
            <v xml:space="preserve"> 16361BTU  </v>
          </cell>
          <cell r="B920" t="e">
            <v>#NAME?</v>
          </cell>
          <cell r="C920">
            <v>0</v>
          </cell>
          <cell r="D920" t="str">
            <v xml:space="preserve">   BTU</v>
          </cell>
          <cell r="E920" t="str">
            <v>UNAV</v>
          </cell>
          <cell r="F920" t="str">
            <v xml:space="preserve"> S</v>
          </cell>
          <cell r="G920">
            <v>36796.261805555558</v>
          </cell>
          <cell r="H920" t="str">
            <v xml:space="preserve"> BTU</v>
          </cell>
        </row>
        <row r="921">
          <cell r="A921" t="str">
            <v xml:space="preserve"> 16362BTU  </v>
          </cell>
          <cell r="B921" t="e">
            <v>#NAME?</v>
          </cell>
          <cell r="C921">
            <v>1031</v>
          </cell>
          <cell r="D921" t="str">
            <v xml:space="preserve">   BTU</v>
          </cell>
          <cell r="E921" t="str">
            <v xml:space="preserve">    </v>
          </cell>
          <cell r="F921" t="str">
            <v xml:space="preserve"> S</v>
          </cell>
          <cell r="G921">
            <v>36796.261805555558</v>
          </cell>
          <cell r="H921" t="str">
            <v xml:space="preserve"> BTU</v>
          </cell>
        </row>
        <row r="922">
          <cell r="A922" t="str">
            <v xml:space="preserve"> 16363BTU  </v>
          </cell>
          <cell r="B922" t="e">
            <v>#NAME?</v>
          </cell>
          <cell r="C922">
            <v>0</v>
          </cell>
          <cell r="D922" t="str">
            <v xml:space="preserve">   BTU</v>
          </cell>
          <cell r="E922" t="str">
            <v>UNAV</v>
          </cell>
          <cell r="F922" t="str">
            <v xml:space="preserve"> S</v>
          </cell>
          <cell r="G922">
            <v>36796.261805555558</v>
          </cell>
          <cell r="H922" t="str">
            <v xml:space="preserve"> BTU</v>
          </cell>
        </row>
        <row r="923">
          <cell r="A923" t="str">
            <v xml:space="preserve"> 16365BTU  </v>
          </cell>
          <cell r="B923" t="e">
            <v>#NAME?</v>
          </cell>
          <cell r="C923">
            <v>0</v>
          </cell>
          <cell r="D923" t="str">
            <v xml:space="preserve">   BTU</v>
          </cell>
          <cell r="E923" t="str">
            <v>UNAV</v>
          </cell>
          <cell r="F923" t="str">
            <v xml:space="preserve"> S</v>
          </cell>
          <cell r="G923">
            <v>36796.261805555558</v>
          </cell>
          <cell r="H923" t="str">
            <v xml:space="preserve"> BTU</v>
          </cell>
        </row>
        <row r="924">
          <cell r="A924" t="str">
            <v xml:space="preserve"> 16366BTU  </v>
          </cell>
          <cell r="B924" t="e">
            <v>#NAME?</v>
          </cell>
          <cell r="C924">
            <v>1030</v>
          </cell>
          <cell r="D924" t="str">
            <v xml:space="preserve">   BTU</v>
          </cell>
          <cell r="E924" t="str">
            <v xml:space="preserve">    </v>
          </cell>
          <cell r="F924" t="str">
            <v xml:space="preserve"> S</v>
          </cell>
          <cell r="G924">
            <v>36796.261805555558</v>
          </cell>
          <cell r="H924" t="str">
            <v xml:space="preserve"> BTU</v>
          </cell>
        </row>
        <row r="925">
          <cell r="A925" t="str">
            <v xml:space="preserve"> 16369BTU  </v>
          </cell>
          <cell r="B925" t="e">
            <v>#NAME?</v>
          </cell>
          <cell r="C925">
            <v>0</v>
          </cell>
          <cell r="D925" t="str">
            <v xml:space="preserve">   BTU</v>
          </cell>
          <cell r="E925" t="str">
            <v>UNAV</v>
          </cell>
          <cell r="F925" t="str">
            <v xml:space="preserve"> S</v>
          </cell>
          <cell r="G925">
            <v>36796.261805555558</v>
          </cell>
          <cell r="H925" t="str">
            <v xml:space="preserve"> BTU</v>
          </cell>
        </row>
        <row r="926">
          <cell r="A926" t="str">
            <v xml:space="preserve"> 20679BTU  </v>
          </cell>
          <cell r="B926" t="e">
            <v>#NAME?</v>
          </cell>
          <cell r="C926">
            <v>1050</v>
          </cell>
          <cell r="D926" t="str">
            <v xml:space="preserve">   BTU</v>
          </cell>
          <cell r="E926" t="str">
            <v xml:space="preserve">    </v>
          </cell>
          <cell r="F926" t="str">
            <v xml:space="preserve"> S</v>
          </cell>
          <cell r="G926">
            <v>36796.261805555558</v>
          </cell>
          <cell r="H926" t="str">
            <v xml:space="preserve"> BTU</v>
          </cell>
        </row>
        <row r="927">
          <cell r="A927" t="str">
            <v xml:space="preserve"> 26001BTU  </v>
          </cell>
          <cell r="B927" t="e">
            <v>#NAME?</v>
          </cell>
          <cell r="C927">
            <v>1023.7869899999999</v>
          </cell>
          <cell r="D927" t="str">
            <v xml:space="preserve">   BTU</v>
          </cell>
          <cell r="E927" t="str">
            <v xml:space="preserve">    </v>
          </cell>
          <cell r="F927" t="str">
            <v xml:space="preserve"> S</v>
          </cell>
          <cell r="G927">
            <v>36796.261805555558</v>
          </cell>
          <cell r="H927" t="str">
            <v xml:space="preserve"> BTU</v>
          </cell>
        </row>
        <row r="928">
          <cell r="A928" t="str">
            <v xml:space="preserve"> 26002BTU  </v>
          </cell>
          <cell r="B928" t="e">
            <v>#NAME?</v>
          </cell>
          <cell r="C928">
            <v>1020</v>
          </cell>
          <cell r="D928" t="str">
            <v xml:space="preserve">   BTU</v>
          </cell>
          <cell r="E928" t="str">
            <v xml:space="preserve">    </v>
          </cell>
          <cell r="F928" t="str">
            <v xml:space="preserve"> S</v>
          </cell>
          <cell r="G928">
            <v>36796.261805555558</v>
          </cell>
          <cell r="H928" t="str">
            <v xml:space="preserve"> BTU</v>
          </cell>
        </row>
        <row r="929">
          <cell r="A929" t="str">
            <v xml:space="preserve"> 26005BTU  </v>
          </cell>
          <cell r="B929" t="e">
            <v>#NAME?</v>
          </cell>
          <cell r="C929">
            <v>1023</v>
          </cell>
          <cell r="D929" t="str">
            <v xml:space="preserve">   BTU</v>
          </cell>
          <cell r="E929" t="str">
            <v xml:space="preserve">    </v>
          </cell>
          <cell r="F929" t="str">
            <v xml:space="preserve"> S</v>
          </cell>
          <cell r="G929">
            <v>36796.261805555558</v>
          </cell>
          <cell r="H929" t="str">
            <v xml:space="preserve"> BTU</v>
          </cell>
        </row>
        <row r="930">
          <cell r="A930" t="str">
            <v xml:space="preserve"> 26006BTU  </v>
          </cell>
          <cell r="B930" t="e">
            <v>#NAME?</v>
          </cell>
          <cell r="C930">
            <v>1025</v>
          </cell>
          <cell r="D930" t="str">
            <v xml:space="preserve">   BTU</v>
          </cell>
          <cell r="E930" t="str">
            <v xml:space="preserve">    </v>
          </cell>
          <cell r="F930" t="str">
            <v xml:space="preserve"> S</v>
          </cell>
          <cell r="G930">
            <v>36796.261805555558</v>
          </cell>
          <cell r="H930" t="str">
            <v xml:space="preserve"> BTU</v>
          </cell>
        </row>
        <row r="931">
          <cell r="A931" t="str">
            <v xml:space="preserve"> 26007BTU  </v>
          </cell>
          <cell r="B931" t="e">
            <v>#NAME?</v>
          </cell>
          <cell r="C931">
            <v>0</v>
          </cell>
          <cell r="D931" t="str">
            <v xml:space="preserve">   BTU</v>
          </cell>
          <cell r="E931" t="str">
            <v>UNAV</v>
          </cell>
          <cell r="F931" t="str">
            <v xml:space="preserve"> S</v>
          </cell>
          <cell r="G931">
            <v>36796.261805555558</v>
          </cell>
          <cell r="H931" t="str">
            <v xml:space="preserve"> BTU</v>
          </cell>
        </row>
        <row r="932">
          <cell r="A932" t="str">
            <v xml:space="preserve"> 26008BTU  </v>
          </cell>
          <cell r="B932" t="e">
            <v>#NAME?</v>
          </cell>
          <cell r="C932">
            <v>1024</v>
          </cell>
          <cell r="D932" t="str">
            <v xml:space="preserve">   BTU</v>
          </cell>
          <cell r="E932" t="str">
            <v xml:space="preserve">    </v>
          </cell>
          <cell r="F932" t="str">
            <v xml:space="preserve"> S</v>
          </cell>
          <cell r="G932">
            <v>36796.261805555558</v>
          </cell>
          <cell r="H932" t="str">
            <v xml:space="preserve"> BTU</v>
          </cell>
        </row>
        <row r="933">
          <cell r="A933" t="str">
            <v xml:space="preserve"> 26009BTU  </v>
          </cell>
          <cell r="B933" t="e">
            <v>#NAME?</v>
          </cell>
          <cell r="C933">
            <v>1023</v>
          </cell>
          <cell r="D933" t="str">
            <v xml:space="preserve">   BTU</v>
          </cell>
          <cell r="E933" t="str">
            <v xml:space="preserve">    </v>
          </cell>
          <cell r="F933" t="str">
            <v xml:space="preserve"> S</v>
          </cell>
          <cell r="G933">
            <v>36796.261805555558</v>
          </cell>
          <cell r="H933" t="str">
            <v xml:space="preserve"> BTU</v>
          </cell>
        </row>
        <row r="934">
          <cell r="A934" t="str">
            <v xml:space="preserve"> 26011BTU  </v>
          </cell>
          <cell r="B934" t="e">
            <v>#NAME?</v>
          </cell>
          <cell r="C934">
            <v>0</v>
          </cell>
          <cell r="D934" t="str">
            <v xml:space="preserve">   BTU</v>
          </cell>
          <cell r="E934" t="str">
            <v>UNAV</v>
          </cell>
          <cell r="F934" t="str">
            <v xml:space="preserve"> S</v>
          </cell>
          <cell r="G934">
            <v>36796.261805555558</v>
          </cell>
          <cell r="H934" t="str">
            <v xml:space="preserve"> BTU</v>
          </cell>
        </row>
        <row r="935">
          <cell r="A935" t="str">
            <v xml:space="preserve"> 26013BTU  </v>
          </cell>
          <cell r="B935" t="e">
            <v>#NAME?</v>
          </cell>
          <cell r="C935">
            <v>0</v>
          </cell>
          <cell r="D935" t="str">
            <v xml:space="preserve">   BTU</v>
          </cell>
          <cell r="E935" t="str">
            <v>UNAV</v>
          </cell>
          <cell r="F935" t="str">
            <v xml:space="preserve"> S</v>
          </cell>
          <cell r="G935">
            <v>36796.261805555558</v>
          </cell>
          <cell r="H935" t="str">
            <v xml:space="preserve"> BTU</v>
          </cell>
        </row>
        <row r="936">
          <cell r="A936" t="str">
            <v xml:space="preserve"> 26014BTU  </v>
          </cell>
          <cell r="B936" t="e">
            <v>#NAME?</v>
          </cell>
          <cell r="C936">
            <v>0</v>
          </cell>
          <cell r="D936" t="str">
            <v xml:space="preserve">   BTU</v>
          </cell>
          <cell r="E936" t="str">
            <v>UNAV</v>
          </cell>
          <cell r="F936" t="str">
            <v xml:space="preserve"> S</v>
          </cell>
          <cell r="G936">
            <v>36796.261805555558</v>
          </cell>
          <cell r="H936" t="str">
            <v xml:space="preserve"> BTU</v>
          </cell>
        </row>
        <row r="937">
          <cell r="A937" t="str">
            <v xml:space="preserve"> 26015BTU  </v>
          </cell>
          <cell r="B937" t="e">
            <v>#NAME?</v>
          </cell>
          <cell r="C937">
            <v>0</v>
          </cell>
          <cell r="D937" t="str">
            <v xml:space="preserve">   BTU</v>
          </cell>
          <cell r="E937" t="str">
            <v>UNAV</v>
          </cell>
          <cell r="F937" t="str">
            <v xml:space="preserve"> S</v>
          </cell>
          <cell r="G937">
            <v>36796.261805555558</v>
          </cell>
          <cell r="H937" t="str">
            <v xml:space="preserve"> BTU</v>
          </cell>
        </row>
        <row r="938">
          <cell r="A938" t="str">
            <v xml:space="preserve"> 26016BTU  </v>
          </cell>
          <cell r="B938" t="e">
            <v>#NAME?</v>
          </cell>
          <cell r="C938">
            <v>0</v>
          </cell>
          <cell r="D938" t="str">
            <v xml:space="preserve">   BTU</v>
          </cell>
          <cell r="E938" t="str">
            <v>UNAV</v>
          </cell>
          <cell r="F938" t="str">
            <v xml:space="preserve"> S</v>
          </cell>
          <cell r="G938">
            <v>36796.261805555558</v>
          </cell>
          <cell r="H938" t="str">
            <v xml:space="preserve"> BTU</v>
          </cell>
        </row>
        <row r="939">
          <cell r="A939" t="str">
            <v xml:space="preserve"> 26018BTU  </v>
          </cell>
          <cell r="B939" t="e">
            <v>#NAME?</v>
          </cell>
          <cell r="C939">
            <v>0</v>
          </cell>
          <cell r="D939" t="str">
            <v xml:space="preserve">   BTU</v>
          </cell>
          <cell r="E939" t="str">
            <v>UNAV</v>
          </cell>
          <cell r="F939" t="str">
            <v xml:space="preserve"> S</v>
          </cell>
          <cell r="G939">
            <v>36796.261805555558</v>
          </cell>
          <cell r="H939" t="str">
            <v xml:space="preserve"> BTU</v>
          </cell>
        </row>
        <row r="940">
          <cell r="A940" t="str">
            <v xml:space="preserve"> 26021BTU  </v>
          </cell>
          <cell r="B940" t="e">
            <v>#NAME?</v>
          </cell>
          <cell r="C940">
            <v>0</v>
          </cell>
          <cell r="D940" t="str">
            <v xml:space="preserve">   BTU</v>
          </cell>
          <cell r="E940" t="str">
            <v>UNAV</v>
          </cell>
          <cell r="F940" t="str">
            <v xml:space="preserve"> S</v>
          </cell>
          <cell r="G940">
            <v>36796.261805555558</v>
          </cell>
          <cell r="H940" t="str">
            <v xml:space="preserve"> BTU</v>
          </cell>
        </row>
        <row r="941">
          <cell r="A941" t="str">
            <v xml:space="preserve"> 26022BTU  </v>
          </cell>
          <cell r="B941" t="e">
            <v>#NAME?</v>
          </cell>
          <cell r="C941">
            <v>0</v>
          </cell>
          <cell r="D941" t="str">
            <v xml:space="preserve">   BTU</v>
          </cell>
          <cell r="E941" t="str">
            <v>UNAV</v>
          </cell>
          <cell r="F941" t="str">
            <v xml:space="preserve"> S</v>
          </cell>
          <cell r="G941">
            <v>36796.261805555558</v>
          </cell>
          <cell r="H941" t="str">
            <v xml:space="preserve"> BTU</v>
          </cell>
        </row>
        <row r="942">
          <cell r="A942" t="str">
            <v xml:space="preserve"> 26023BTU  </v>
          </cell>
          <cell r="B942" t="e">
            <v>#NAME?</v>
          </cell>
          <cell r="C942">
            <v>1023</v>
          </cell>
          <cell r="D942" t="str">
            <v xml:space="preserve">   BTU</v>
          </cell>
          <cell r="E942" t="str">
            <v xml:space="preserve">    </v>
          </cell>
          <cell r="F942" t="str">
            <v xml:space="preserve"> S</v>
          </cell>
          <cell r="G942">
            <v>36796.261805555558</v>
          </cell>
          <cell r="H942" t="str">
            <v xml:space="preserve"> BTU</v>
          </cell>
        </row>
        <row r="943">
          <cell r="A943" t="str">
            <v xml:space="preserve"> 26025BTU  </v>
          </cell>
          <cell r="B943" t="e">
            <v>#NAME?</v>
          </cell>
          <cell r="C943">
            <v>1023.7869899999999</v>
          </cell>
          <cell r="D943" t="str">
            <v xml:space="preserve">   BTU</v>
          </cell>
          <cell r="E943" t="str">
            <v xml:space="preserve">    </v>
          </cell>
          <cell r="F943" t="str">
            <v xml:space="preserve"> S</v>
          </cell>
          <cell r="G943">
            <v>36796.261805555558</v>
          </cell>
          <cell r="H943" t="str">
            <v xml:space="preserve"> BTU</v>
          </cell>
        </row>
        <row r="944">
          <cell r="A944" t="str">
            <v xml:space="preserve"> 26026BTU  </v>
          </cell>
          <cell r="B944" t="e">
            <v>#NAME?</v>
          </cell>
          <cell r="C944">
            <v>0</v>
          </cell>
          <cell r="D944" t="str">
            <v xml:space="preserve">   BTU</v>
          </cell>
          <cell r="E944" t="str">
            <v>UNAV</v>
          </cell>
          <cell r="F944" t="str">
            <v xml:space="preserve"> S</v>
          </cell>
          <cell r="G944">
            <v>36796.261805555558</v>
          </cell>
          <cell r="H944" t="str">
            <v xml:space="preserve"> BTU</v>
          </cell>
        </row>
        <row r="945">
          <cell r="A945" t="str">
            <v xml:space="preserve"> 26030BTU  </v>
          </cell>
          <cell r="B945" t="e">
            <v>#NAME?</v>
          </cell>
          <cell r="C945">
            <v>0</v>
          </cell>
          <cell r="D945" t="str">
            <v xml:space="preserve">   BTU</v>
          </cell>
          <cell r="E945" t="str">
            <v>UNAV</v>
          </cell>
          <cell r="F945" t="str">
            <v xml:space="preserve"> S</v>
          </cell>
          <cell r="G945">
            <v>36796.261805555558</v>
          </cell>
          <cell r="H945" t="str">
            <v xml:space="preserve"> BTU</v>
          </cell>
        </row>
        <row r="946">
          <cell r="A946" t="str">
            <v xml:space="preserve"> 26032BTU  </v>
          </cell>
          <cell r="B946" t="e">
            <v>#NAME?</v>
          </cell>
          <cell r="C946">
            <v>0</v>
          </cell>
          <cell r="D946" t="str">
            <v xml:space="preserve">   BTU</v>
          </cell>
          <cell r="E946" t="str">
            <v>UNAV</v>
          </cell>
          <cell r="F946" t="str">
            <v xml:space="preserve"> S</v>
          </cell>
          <cell r="G946">
            <v>36796.261805555558</v>
          </cell>
          <cell r="H946" t="str">
            <v xml:space="preserve"> BTU</v>
          </cell>
        </row>
        <row r="947">
          <cell r="A947" t="str">
            <v xml:space="preserve"> 26033BTU  </v>
          </cell>
          <cell r="B947" t="e">
            <v>#NAME?</v>
          </cell>
          <cell r="C947">
            <v>1056</v>
          </cell>
          <cell r="D947" t="str">
            <v xml:space="preserve">   BTU</v>
          </cell>
          <cell r="E947" t="str">
            <v xml:space="preserve">    </v>
          </cell>
          <cell r="F947" t="str">
            <v xml:space="preserve"> S</v>
          </cell>
          <cell r="G947">
            <v>36796.261805555558</v>
          </cell>
          <cell r="H947" t="str">
            <v xml:space="preserve"> BTU</v>
          </cell>
        </row>
        <row r="948">
          <cell r="A948" t="str">
            <v xml:space="preserve"> 26034BTU  </v>
          </cell>
          <cell r="B948" t="e">
            <v>#NAME?</v>
          </cell>
          <cell r="C948">
            <v>0</v>
          </cell>
          <cell r="D948" t="str">
            <v xml:space="preserve">   BTU</v>
          </cell>
          <cell r="E948" t="str">
            <v>UNAV</v>
          </cell>
          <cell r="F948" t="str">
            <v xml:space="preserve"> S</v>
          </cell>
          <cell r="G948">
            <v>36796.261805555558</v>
          </cell>
          <cell r="H948" t="str">
            <v xml:space="preserve"> BTU</v>
          </cell>
        </row>
        <row r="949">
          <cell r="A949" t="str">
            <v xml:space="preserve"> 26035BTU  </v>
          </cell>
          <cell r="B949" t="e">
            <v>#NAME?</v>
          </cell>
          <cell r="C949">
            <v>1026.66272</v>
          </cell>
          <cell r="D949" t="str">
            <v xml:space="preserve">   BTU</v>
          </cell>
          <cell r="E949" t="str">
            <v xml:space="preserve">    </v>
          </cell>
          <cell r="F949" t="str">
            <v xml:space="preserve"> S</v>
          </cell>
          <cell r="G949">
            <v>36796.261805555558</v>
          </cell>
          <cell r="H949" t="str">
            <v xml:space="preserve"> BTU</v>
          </cell>
        </row>
        <row r="950">
          <cell r="A950" t="str">
            <v xml:space="preserve"> 26037BTU  </v>
          </cell>
          <cell r="B950" t="e">
            <v>#NAME?</v>
          </cell>
          <cell r="C950">
            <v>0</v>
          </cell>
          <cell r="D950" t="str">
            <v xml:space="preserve">   BTU</v>
          </cell>
          <cell r="E950" t="str">
            <v>UNAV</v>
          </cell>
          <cell r="F950" t="str">
            <v xml:space="preserve"> S</v>
          </cell>
          <cell r="G950">
            <v>36796.261805555558</v>
          </cell>
          <cell r="H950" t="str">
            <v xml:space="preserve"> BTU</v>
          </cell>
        </row>
        <row r="951">
          <cell r="A951" t="str">
            <v xml:space="preserve"> 26038BTU  </v>
          </cell>
          <cell r="B951" t="e">
            <v>#NAME?</v>
          </cell>
          <cell r="C951">
            <v>0</v>
          </cell>
          <cell r="D951" t="str">
            <v xml:space="preserve">   BTU</v>
          </cell>
          <cell r="E951" t="str">
            <v>UNAV</v>
          </cell>
          <cell r="F951" t="str">
            <v xml:space="preserve"> S</v>
          </cell>
          <cell r="G951">
            <v>36796.261805555558</v>
          </cell>
          <cell r="H951" t="str">
            <v xml:space="preserve"> BTU</v>
          </cell>
        </row>
        <row r="952">
          <cell r="A952" t="str">
            <v xml:space="preserve"> 26039BTU  </v>
          </cell>
          <cell r="B952" t="e">
            <v>#NAME?</v>
          </cell>
          <cell r="C952">
            <v>0</v>
          </cell>
          <cell r="D952" t="str">
            <v xml:space="preserve">   BTU</v>
          </cell>
          <cell r="E952" t="str">
            <v>UNAV</v>
          </cell>
          <cell r="F952" t="str">
            <v xml:space="preserve"> S</v>
          </cell>
          <cell r="G952">
            <v>36796.261805555558</v>
          </cell>
          <cell r="H952" t="str">
            <v xml:space="preserve"> BTU</v>
          </cell>
        </row>
        <row r="953">
          <cell r="A953" t="str">
            <v xml:space="preserve"> 26040BTU  </v>
          </cell>
          <cell r="B953" t="e">
            <v>#NAME?</v>
          </cell>
          <cell r="C953">
            <v>0</v>
          </cell>
          <cell r="D953" t="str">
            <v xml:space="preserve">   BTU</v>
          </cell>
          <cell r="E953" t="str">
            <v>UNAV</v>
          </cell>
          <cell r="F953" t="str">
            <v xml:space="preserve"> S</v>
          </cell>
          <cell r="G953">
            <v>36796.261805555558</v>
          </cell>
          <cell r="H953" t="str">
            <v xml:space="preserve"> BTU</v>
          </cell>
        </row>
        <row r="954">
          <cell r="A954" t="str">
            <v xml:space="preserve"> 26042BTU  </v>
          </cell>
          <cell r="B954" t="e">
            <v>#NAME?</v>
          </cell>
          <cell r="C954">
            <v>0</v>
          </cell>
          <cell r="D954" t="str">
            <v xml:space="preserve">   BTU</v>
          </cell>
          <cell r="E954" t="str">
            <v>UNAV</v>
          </cell>
          <cell r="F954" t="str">
            <v xml:space="preserve"> S</v>
          </cell>
          <cell r="G954">
            <v>36796.261805555558</v>
          </cell>
          <cell r="H954" t="str">
            <v xml:space="preserve"> BTU</v>
          </cell>
        </row>
        <row r="955">
          <cell r="A955" t="str">
            <v xml:space="preserve"> 26043BTU  </v>
          </cell>
          <cell r="B955" t="e">
            <v>#NAME?</v>
          </cell>
          <cell r="C955">
            <v>0</v>
          </cell>
          <cell r="D955" t="str">
            <v xml:space="preserve">   BTU</v>
          </cell>
          <cell r="E955" t="str">
            <v>UNAV</v>
          </cell>
          <cell r="F955" t="str">
            <v xml:space="preserve"> S</v>
          </cell>
          <cell r="G955">
            <v>36796.261805555558</v>
          </cell>
          <cell r="H955" t="str">
            <v xml:space="preserve"> BTU</v>
          </cell>
        </row>
        <row r="956">
          <cell r="A956" t="str">
            <v xml:space="preserve"> 26044BTU  </v>
          </cell>
          <cell r="B956" t="e">
            <v>#NAME?</v>
          </cell>
          <cell r="C956">
            <v>0</v>
          </cell>
          <cell r="D956" t="str">
            <v xml:space="preserve">   BTU</v>
          </cell>
          <cell r="E956" t="str">
            <v>UNAV</v>
          </cell>
          <cell r="F956" t="str">
            <v xml:space="preserve"> S</v>
          </cell>
          <cell r="G956">
            <v>36796.261805555558</v>
          </cell>
          <cell r="H956" t="str">
            <v xml:space="preserve"> BTU</v>
          </cell>
        </row>
        <row r="957">
          <cell r="A957" t="str">
            <v xml:space="preserve"> 26045BTU  </v>
          </cell>
          <cell r="B957" t="e">
            <v>#NAME?</v>
          </cell>
          <cell r="C957">
            <v>1063</v>
          </cell>
          <cell r="D957" t="str">
            <v xml:space="preserve">   BTU</v>
          </cell>
          <cell r="E957" t="str">
            <v xml:space="preserve">    </v>
          </cell>
          <cell r="F957" t="str">
            <v xml:space="preserve"> S</v>
          </cell>
          <cell r="G957">
            <v>36796.261805555558</v>
          </cell>
          <cell r="H957" t="str">
            <v xml:space="preserve"> BTU</v>
          </cell>
        </row>
        <row r="958">
          <cell r="A958" t="str">
            <v xml:space="preserve"> 26046BTU  </v>
          </cell>
          <cell r="B958" t="e">
            <v>#NAME?</v>
          </cell>
          <cell r="C958">
            <v>1017</v>
          </cell>
          <cell r="D958" t="str">
            <v xml:space="preserve">   BTU</v>
          </cell>
          <cell r="E958" t="str">
            <v xml:space="preserve">    </v>
          </cell>
          <cell r="F958" t="str">
            <v xml:space="preserve"> S</v>
          </cell>
          <cell r="G958">
            <v>36796.261805555558</v>
          </cell>
          <cell r="H958" t="str">
            <v xml:space="preserve"> BTU</v>
          </cell>
        </row>
        <row r="959">
          <cell r="A959" t="str">
            <v xml:space="preserve"> 26049BTU  </v>
          </cell>
          <cell r="B959" t="e">
            <v>#NAME?</v>
          </cell>
          <cell r="C959">
            <v>0</v>
          </cell>
          <cell r="D959" t="str">
            <v xml:space="preserve">   BTU</v>
          </cell>
          <cell r="E959" t="str">
            <v>UNAV</v>
          </cell>
          <cell r="F959" t="str">
            <v xml:space="preserve"> S</v>
          </cell>
          <cell r="G959">
            <v>36796.261805555558</v>
          </cell>
          <cell r="H959" t="str">
            <v xml:space="preserve"> BTU</v>
          </cell>
        </row>
        <row r="960">
          <cell r="A960" t="str">
            <v xml:space="preserve"> 26050BTU  </v>
          </cell>
          <cell r="B960" t="e">
            <v>#NAME?</v>
          </cell>
          <cell r="C960">
            <v>1038</v>
          </cell>
          <cell r="D960" t="str">
            <v xml:space="preserve">   BTU</v>
          </cell>
          <cell r="E960" t="str">
            <v xml:space="preserve">    </v>
          </cell>
          <cell r="F960" t="str">
            <v xml:space="preserve"> S</v>
          </cell>
          <cell r="G960">
            <v>36796.261805555558</v>
          </cell>
          <cell r="H960" t="str">
            <v xml:space="preserve"> BTU</v>
          </cell>
        </row>
        <row r="961">
          <cell r="A961" t="str">
            <v xml:space="preserve"> 26051BTU  </v>
          </cell>
          <cell r="B961" t="e">
            <v>#NAME?</v>
          </cell>
          <cell r="C961">
            <v>0</v>
          </cell>
          <cell r="D961" t="str">
            <v xml:space="preserve">   BTU</v>
          </cell>
          <cell r="E961" t="str">
            <v>UNAV</v>
          </cell>
          <cell r="F961" t="str">
            <v xml:space="preserve"> S</v>
          </cell>
          <cell r="G961">
            <v>36796.261805555558</v>
          </cell>
          <cell r="H961" t="str">
            <v xml:space="preserve"> BTU</v>
          </cell>
        </row>
        <row r="962">
          <cell r="A962" t="str">
            <v xml:space="preserve"> 26055BTU  </v>
          </cell>
          <cell r="B962" t="e">
            <v>#NAME?</v>
          </cell>
          <cell r="C962">
            <v>0</v>
          </cell>
          <cell r="D962" t="str">
            <v xml:space="preserve">   BTU</v>
          </cell>
          <cell r="E962" t="str">
            <v>UNAV</v>
          </cell>
          <cell r="F962" t="str">
            <v xml:space="preserve"> S</v>
          </cell>
          <cell r="G962">
            <v>36796.261805555558</v>
          </cell>
          <cell r="H962" t="str">
            <v xml:space="preserve"> BTU</v>
          </cell>
        </row>
        <row r="963">
          <cell r="A963" t="str">
            <v xml:space="preserve"> 26056BTU  </v>
          </cell>
          <cell r="B963" t="e">
            <v>#NAME?</v>
          </cell>
          <cell r="C963">
            <v>0</v>
          </cell>
          <cell r="D963" t="str">
            <v xml:space="preserve">   BTU</v>
          </cell>
          <cell r="E963" t="str">
            <v>UNAV</v>
          </cell>
          <cell r="F963" t="str">
            <v xml:space="preserve"> S</v>
          </cell>
          <cell r="G963">
            <v>36796.261805555558</v>
          </cell>
          <cell r="H963" t="str">
            <v xml:space="preserve"> BTU</v>
          </cell>
        </row>
        <row r="964">
          <cell r="A964" t="str">
            <v xml:space="preserve"> 26058BTU  </v>
          </cell>
          <cell r="B964" t="e">
            <v>#NAME?</v>
          </cell>
          <cell r="C964">
            <v>0</v>
          </cell>
          <cell r="D964" t="str">
            <v xml:space="preserve">   BTU</v>
          </cell>
          <cell r="E964" t="str">
            <v>UNAV</v>
          </cell>
          <cell r="F964" t="str">
            <v xml:space="preserve"> S</v>
          </cell>
          <cell r="G964">
            <v>36796.261805555558</v>
          </cell>
          <cell r="H964" t="str">
            <v xml:space="preserve"> BTU</v>
          </cell>
        </row>
        <row r="965">
          <cell r="A965" t="str">
            <v xml:space="preserve"> 26059BTU  </v>
          </cell>
          <cell r="B965" t="e">
            <v>#NAME?</v>
          </cell>
          <cell r="C965">
            <v>0</v>
          </cell>
          <cell r="D965" t="str">
            <v xml:space="preserve">   BTU</v>
          </cell>
          <cell r="E965" t="str">
            <v>UNAV</v>
          </cell>
          <cell r="F965" t="str">
            <v xml:space="preserve"> S</v>
          </cell>
          <cell r="G965">
            <v>36796.261805555558</v>
          </cell>
          <cell r="H965" t="str">
            <v xml:space="preserve"> BTU</v>
          </cell>
        </row>
        <row r="966">
          <cell r="A966" t="str">
            <v xml:space="preserve"> 26061BTU  </v>
          </cell>
          <cell r="B966" t="e">
            <v>#NAME?</v>
          </cell>
          <cell r="C966">
            <v>0</v>
          </cell>
          <cell r="D966" t="str">
            <v xml:space="preserve">   BTU</v>
          </cell>
          <cell r="E966" t="str">
            <v>UNAV</v>
          </cell>
          <cell r="F966" t="str">
            <v xml:space="preserve"> S</v>
          </cell>
          <cell r="G966">
            <v>36796.261805555558</v>
          </cell>
          <cell r="H966" t="str">
            <v xml:space="preserve"> BTU</v>
          </cell>
        </row>
        <row r="967">
          <cell r="A967" t="str">
            <v xml:space="preserve"> 26063BTU  </v>
          </cell>
          <cell r="B967" t="e">
            <v>#NAME?</v>
          </cell>
          <cell r="C967">
            <v>1040</v>
          </cell>
          <cell r="D967" t="str">
            <v xml:space="preserve">   BTU</v>
          </cell>
          <cell r="E967" t="str">
            <v xml:space="preserve">    </v>
          </cell>
          <cell r="F967" t="str">
            <v xml:space="preserve"> S</v>
          </cell>
          <cell r="G967">
            <v>36796.261805555558</v>
          </cell>
          <cell r="H967" t="str">
            <v xml:space="preserve"> BTU</v>
          </cell>
        </row>
        <row r="968">
          <cell r="A968" t="str">
            <v xml:space="preserve"> 26065BTU  </v>
          </cell>
          <cell r="B968" t="e">
            <v>#NAME?</v>
          </cell>
          <cell r="C968">
            <v>0</v>
          </cell>
          <cell r="D968" t="str">
            <v xml:space="preserve">   BTU</v>
          </cell>
          <cell r="E968" t="str">
            <v>UNAV</v>
          </cell>
          <cell r="F968" t="str">
            <v xml:space="preserve"> S</v>
          </cell>
          <cell r="G968">
            <v>36796.261805555558</v>
          </cell>
          <cell r="H968" t="str">
            <v xml:space="preserve"> BTU</v>
          </cell>
        </row>
        <row r="969">
          <cell r="A969" t="str">
            <v xml:space="preserve"> 26068BTU  </v>
          </cell>
          <cell r="B969" t="e">
            <v>#NAME?</v>
          </cell>
          <cell r="C969">
            <v>0</v>
          </cell>
          <cell r="D969" t="str">
            <v xml:space="preserve">   BTU</v>
          </cell>
          <cell r="E969" t="str">
            <v>UNAV</v>
          </cell>
          <cell r="F969" t="str">
            <v xml:space="preserve"> S</v>
          </cell>
          <cell r="G969">
            <v>36796.261805555558</v>
          </cell>
          <cell r="H969" t="str">
            <v xml:space="preserve"> BTU</v>
          </cell>
        </row>
        <row r="970">
          <cell r="A970" t="str">
            <v xml:space="preserve"> 26069BTU  </v>
          </cell>
          <cell r="B970" t="e">
            <v>#NAME?</v>
          </cell>
          <cell r="C970">
            <v>0</v>
          </cell>
          <cell r="D970" t="str">
            <v xml:space="preserve">   BTU</v>
          </cell>
          <cell r="E970" t="str">
            <v>UNAV</v>
          </cell>
          <cell r="F970" t="str">
            <v xml:space="preserve"> S</v>
          </cell>
          <cell r="G970">
            <v>36796.261805555558</v>
          </cell>
          <cell r="H970" t="str">
            <v xml:space="preserve"> BTU</v>
          </cell>
        </row>
        <row r="971">
          <cell r="A971" t="str">
            <v xml:space="preserve"> 26070BTU  </v>
          </cell>
          <cell r="B971" t="e">
            <v>#NAME?</v>
          </cell>
          <cell r="C971">
            <v>0</v>
          </cell>
          <cell r="D971" t="str">
            <v xml:space="preserve">   BTU</v>
          </cell>
          <cell r="E971" t="str">
            <v>UNAV</v>
          </cell>
          <cell r="F971" t="str">
            <v xml:space="preserve"> S</v>
          </cell>
          <cell r="G971">
            <v>36796.261805555558</v>
          </cell>
          <cell r="H971" t="str">
            <v xml:space="preserve"> BTU</v>
          </cell>
        </row>
        <row r="972">
          <cell r="A972" t="str">
            <v xml:space="preserve"> 26071BTU  </v>
          </cell>
          <cell r="B972" t="e">
            <v>#NAME?</v>
          </cell>
          <cell r="C972">
            <v>1057</v>
          </cell>
          <cell r="D972" t="str">
            <v xml:space="preserve">   BTU</v>
          </cell>
          <cell r="E972" t="str">
            <v xml:space="preserve">    </v>
          </cell>
          <cell r="F972" t="str">
            <v xml:space="preserve"> S</v>
          </cell>
          <cell r="G972">
            <v>36796.261805555558</v>
          </cell>
          <cell r="H972" t="str">
            <v xml:space="preserve"> BTU</v>
          </cell>
        </row>
        <row r="973">
          <cell r="A973" t="str">
            <v xml:space="preserve"> 26073BTU  </v>
          </cell>
          <cell r="B973" t="e">
            <v>#NAME?</v>
          </cell>
          <cell r="C973">
            <v>0</v>
          </cell>
          <cell r="D973" t="str">
            <v xml:space="preserve">   BTU</v>
          </cell>
          <cell r="E973" t="str">
            <v>UNAV</v>
          </cell>
          <cell r="F973" t="str">
            <v xml:space="preserve"> S</v>
          </cell>
          <cell r="G973">
            <v>36796.261805555558</v>
          </cell>
          <cell r="H973" t="str">
            <v xml:space="preserve"> BTU</v>
          </cell>
        </row>
        <row r="974">
          <cell r="A974" t="str">
            <v xml:space="preserve"> 26075BTU  </v>
          </cell>
          <cell r="B974" t="e">
            <v>#NAME?</v>
          </cell>
          <cell r="C974">
            <v>0</v>
          </cell>
          <cell r="D974" t="str">
            <v xml:space="preserve">   BTU</v>
          </cell>
          <cell r="E974" t="str">
            <v>UNAV</v>
          </cell>
          <cell r="F974" t="str">
            <v xml:space="preserve"> S</v>
          </cell>
          <cell r="G974">
            <v>36796.261805555558</v>
          </cell>
          <cell r="H974" t="str">
            <v xml:space="preserve"> BTU</v>
          </cell>
        </row>
        <row r="975">
          <cell r="A975" t="str">
            <v xml:space="preserve"> 26076BTU  </v>
          </cell>
          <cell r="B975" t="e">
            <v>#NAME?</v>
          </cell>
          <cell r="C975">
            <v>0</v>
          </cell>
          <cell r="D975" t="str">
            <v xml:space="preserve">   BTU</v>
          </cell>
          <cell r="E975" t="str">
            <v>UNAV</v>
          </cell>
          <cell r="F975" t="str">
            <v xml:space="preserve"> S</v>
          </cell>
          <cell r="G975">
            <v>36796.261805555558</v>
          </cell>
          <cell r="H975" t="str">
            <v xml:space="preserve"> BTU</v>
          </cell>
        </row>
        <row r="976">
          <cell r="A976" t="str">
            <v xml:space="preserve"> 26077BTU  </v>
          </cell>
          <cell r="B976" t="e">
            <v>#NAME?</v>
          </cell>
          <cell r="C976">
            <v>0</v>
          </cell>
          <cell r="D976" t="str">
            <v xml:space="preserve">   BTU</v>
          </cell>
          <cell r="E976" t="str">
            <v>UNAV</v>
          </cell>
          <cell r="F976" t="str">
            <v xml:space="preserve"> S</v>
          </cell>
          <cell r="G976">
            <v>36796.261805555558</v>
          </cell>
          <cell r="H976" t="str">
            <v xml:space="preserve"> BTU</v>
          </cell>
        </row>
        <row r="977">
          <cell r="A977" t="str">
            <v xml:space="preserve"> 26077BTU  </v>
          </cell>
          <cell r="B977" t="e">
            <v>#NAME?</v>
          </cell>
          <cell r="C977">
            <v>0</v>
          </cell>
          <cell r="D977" t="str">
            <v xml:space="preserve">   BTU</v>
          </cell>
          <cell r="E977" t="str">
            <v>UNAV</v>
          </cell>
          <cell r="F977" t="str">
            <v xml:space="preserve"> S</v>
          </cell>
          <cell r="G977">
            <v>36796.261805555558</v>
          </cell>
          <cell r="H977" t="str">
            <v xml:space="preserve"> BTU</v>
          </cell>
        </row>
        <row r="978">
          <cell r="A978" t="str">
            <v xml:space="preserve"> 26079BTU  </v>
          </cell>
          <cell r="B978" t="e">
            <v>#NAME?</v>
          </cell>
          <cell r="C978">
            <v>0</v>
          </cell>
          <cell r="D978" t="str">
            <v xml:space="preserve">   BTU</v>
          </cell>
          <cell r="E978" t="str">
            <v>UNAV</v>
          </cell>
          <cell r="F978" t="str">
            <v xml:space="preserve"> S</v>
          </cell>
          <cell r="G978">
            <v>36796.261805555558</v>
          </cell>
          <cell r="H978" t="str">
            <v xml:space="preserve"> BTU</v>
          </cell>
        </row>
        <row r="979">
          <cell r="A979" t="str">
            <v xml:space="preserve"> 26080BTU  </v>
          </cell>
          <cell r="B979" t="e">
            <v>#NAME?</v>
          </cell>
          <cell r="C979">
            <v>0</v>
          </cell>
          <cell r="D979" t="str">
            <v xml:space="preserve">   BTU</v>
          </cell>
          <cell r="E979" t="str">
            <v>UNAV</v>
          </cell>
          <cell r="F979" t="str">
            <v xml:space="preserve"> S</v>
          </cell>
          <cell r="G979">
            <v>36796.261805555558</v>
          </cell>
          <cell r="H979" t="str">
            <v xml:space="preserve"> BTU</v>
          </cell>
        </row>
        <row r="980">
          <cell r="A980" t="str">
            <v xml:space="preserve"> 26081BTU  </v>
          </cell>
          <cell r="B980" t="e">
            <v>#NAME?</v>
          </cell>
          <cell r="C980">
            <v>1018</v>
          </cell>
          <cell r="D980" t="str">
            <v xml:space="preserve">   BTU</v>
          </cell>
          <cell r="E980" t="str">
            <v xml:space="preserve">    </v>
          </cell>
          <cell r="F980" t="str">
            <v xml:space="preserve"> S</v>
          </cell>
          <cell r="G980">
            <v>36796.261805555558</v>
          </cell>
          <cell r="H980" t="str">
            <v xml:space="preserve"> BTU</v>
          </cell>
        </row>
        <row r="981">
          <cell r="A981" t="str">
            <v xml:space="preserve"> 26082BTU  </v>
          </cell>
          <cell r="B981" t="e">
            <v>#NAME?</v>
          </cell>
          <cell r="C981">
            <v>0</v>
          </cell>
          <cell r="D981" t="str">
            <v xml:space="preserve">   BTU</v>
          </cell>
          <cell r="E981" t="str">
            <v>UNAV</v>
          </cell>
          <cell r="F981" t="str">
            <v xml:space="preserve"> S</v>
          </cell>
          <cell r="G981">
            <v>36796.261805555558</v>
          </cell>
          <cell r="H981" t="str">
            <v xml:space="preserve"> BTU</v>
          </cell>
        </row>
        <row r="982">
          <cell r="A982" t="str">
            <v xml:space="preserve"> 26083BTU  </v>
          </cell>
          <cell r="B982" t="e">
            <v>#NAME?</v>
          </cell>
          <cell r="C982">
            <v>1018</v>
          </cell>
          <cell r="D982" t="str">
            <v xml:space="preserve">   BTU</v>
          </cell>
          <cell r="E982" t="str">
            <v xml:space="preserve">    </v>
          </cell>
          <cell r="F982" t="str">
            <v xml:space="preserve"> S</v>
          </cell>
          <cell r="G982">
            <v>36796.261805555558</v>
          </cell>
          <cell r="H982" t="str">
            <v xml:space="preserve"> BTU</v>
          </cell>
        </row>
        <row r="983">
          <cell r="A983" t="str">
            <v xml:space="preserve"> 26084BTU  </v>
          </cell>
          <cell r="B983" t="e">
            <v>#NAME?</v>
          </cell>
          <cell r="C983">
            <v>0</v>
          </cell>
          <cell r="D983" t="str">
            <v xml:space="preserve">   BTU</v>
          </cell>
          <cell r="E983" t="str">
            <v>UNAV</v>
          </cell>
          <cell r="F983" t="str">
            <v xml:space="preserve"> S</v>
          </cell>
          <cell r="G983">
            <v>36796.261805555558</v>
          </cell>
          <cell r="H983" t="str">
            <v xml:space="preserve"> BTU</v>
          </cell>
        </row>
        <row r="984">
          <cell r="A984" t="str">
            <v xml:space="preserve"> 26085BTU  </v>
          </cell>
          <cell r="B984" t="e">
            <v>#NAME?</v>
          </cell>
          <cell r="C984">
            <v>0</v>
          </cell>
          <cell r="D984" t="str">
            <v xml:space="preserve">   BTU</v>
          </cell>
          <cell r="E984" t="str">
            <v>UNAV</v>
          </cell>
          <cell r="F984" t="str">
            <v xml:space="preserve"> S</v>
          </cell>
          <cell r="G984">
            <v>36796.261805555558</v>
          </cell>
          <cell r="H984" t="str">
            <v xml:space="preserve"> BTU</v>
          </cell>
        </row>
        <row r="985">
          <cell r="A985" t="str">
            <v xml:space="preserve"> 26088BTU  </v>
          </cell>
          <cell r="B985" t="e">
            <v>#NAME?</v>
          </cell>
          <cell r="C985">
            <v>0</v>
          </cell>
          <cell r="D985" t="str">
            <v xml:space="preserve">   BTU</v>
          </cell>
          <cell r="E985" t="str">
            <v>UNAV</v>
          </cell>
          <cell r="F985" t="str">
            <v xml:space="preserve"> S</v>
          </cell>
          <cell r="G985">
            <v>36796.261805555558</v>
          </cell>
          <cell r="H985" t="str">
            <v xml:space="preserve"> BTU</v>
          </cell>
        </row>
        <row r="986">
          <cell r="A986" t="str">
            <v xml:space="preserve"> 26090BTU  </v>
          </cell>
          <cell r="B986" t="e">
            <v>#NAME?</v>
          </cell>
          <cell r="C986">
            <v>0</v>
          </cell>
          <cell r="D986" t="str">
            <v xml:space="preserve">   BTU</v>
          </cell>
          <cell r="E986" t="str">
            <v>UNAV</v>
          </cell>
          <cell r="F986" t="str">
            <v xml:space="preserve"> S</v>
          </cell>
          <cell r="G986">
            <v>36796.261805555558</v>
          </cell>
          <cell r="H986" t="str">
            <v xml:space="preserve"> BTU</v>
          </cell>
        </row>
        <row r="987">
          <cell r="A987" t="str">
            <v xml:space="preserve"> 26091BTU  </v>
          </cell>
          <cell r="B987" t="e">
            <v>#NAME?</v>
          </cell>
          <cell r="C987">
            <v>1031</v>
          </cell>
          <cell r="D987" t="str">
            <v xml:space="preserve">   BTU</v>
          </cell>
          <cell r="E987" t="str">
            <v xml:space="preserve">    </v>
          </cell>
          <cell r="F987" t="str">
            <v xml:space="preserve"> S</v>
          </cell>
          <cell r="G987">
            <v>36796.261805555558</v>
          </cell>
          <cell r="H987" t="str">
            <v xml:space="preserve"> BTU</v>
          </cell>
        </row>
        <row r="988">
          <cell r="A988" t="str">
            <v xml:space="preserve"> 26092BTU  </v>
          </cell>
          <cell r="B988" t="e">
            <v>#NAME?</v>
          </cell>
          <cell r="C988">
            <v>0</v>
          </cell>
          <cell r="D988" t="str">
            <v xml:space="preserve">   BTU</v>
          </cell>
          <cell r="E988" t="str">
            <v>UNAV</v>
          </cell>
          <cell r="F988" t="str">
            <v xml:space="preserve"> S</v>
          </cell>
          <cell r="G988">
            <v>36796.261805555558</v>
          </cell>
          <cell r="H988" t="str">
            <v xml:space="preserve"> BTU</v>
          </cell>
        </row>
        <row r="989">
          <cell r="A989" t="str">
            <v xml:space="preserve"> 26093BTU  </v>
          </cell>
          <cell r="B989" t="e">
            <v>#NAME?</v>
          </cell>
          <cell r="C989">
            <v>0</v>
          </cell>
          <cell r="D989" t="str">
            <v xml:space="preserve">   BTU</v>
          </cell>
          <cell r="E989" t="str">
            <v>UNAV</v>
          </cell>
          <cell r="F989" t="str">
            <v xml:space="preserve"> S</v>
          </cell>
          <cell r="G989">
            <v>36796.261805555558</v>
          </cell>
          <cell r="H989" t="str">
            <v xml:space="preserve"> BTU</v>
          </cell>
        </row>
        <row r="990">
          <cell r="A990" t="str">
            <v xml:space="preserve"> 26095BTU  </v>
          </cell>
          <cell r="B990" t="e">
            <v>#NAME?</v>
          </cell>
          <cell r="C990">
            <v>0</v>
          </cell>
          <cell r="D990" t="str">
            <v xml:space="preserve">   BTU</v>
          </cell>
          <cell r="E990" t="str">
            <v>UNAV</v>
          </cell>
          <cell r="F990" t="str">
            <v xml:space="preserve"> S</v>
          </cell>
          <cell r="G990">
            <v>36796.261805555558</v>
          </cell>
          <cell r="H990" t="str">
            <v xml:space="preserve"> BTU</v>
          </cell>
        </row>
        <row r="991">
          <cell r="A991" t="str">
            <v xml:space="preserve"> 26098BTU  </v>
          </cell>
          <cell r="B991" t="e">
            <v>#NAME?</v>
          </cell>
          <cell r="C991">
            <v>0</v>
          </cell>
          <cell r="D991" t="str">
            <v xml:space="preserve">   BTU</v>
          </cell>
          <cell r="E991" t="str">
            <v>UNAV</v>
          </cell>
          <cell r="F991" t="str">
            <v xml:space="preserve"> S</v>
          </cell>
          <cell r="G991">
            <v>36796.261805555558</v>
          </cell>
          <cell r="H991" t="str">
            <v xml:space="preserve"> BTU</v>
          </cell>
        </row>
        <row r="992">
          <cell r="A992" t="str">
            <v xml:space="preserve"> 26099BTU  </v>
          </cell>
          <cell r="B992" t="e">
            <v>#NAME?</v>
          </cell>
          <cell r="C992">
            <v>0</v>
          </cell>
          <cell r="D992" t="str">
            <v xml:space="preserve">   BTU</v>
          </cell>
          <cell r="E992" t="str">
            <v>UNAV</v>
          </cell>
          <cell r="F992" t="str">
            <v xml:space="preserve"> S</v>
          </cell>
          <cell r="G992">
            <v>36796.261805555558</v>
          </cell>
          <cell r="H992" t="str">
            <v xml:space="preserve"> BTU</v>
          </cell>
        </row>
        <row r="993">
          <cell r="A993" t="str">
            <v xml:space="preserve"> 26101BTU  </v>
          </cell>
          <cell r="B993" t="e">
            <v>#NAME?</v>
          </cell>
          <cell r="C993">
            <v>1016</v>
          </cell>
          <cell r="D993" t="str">
            <v xml:space="preserve">   BTU</v>
          </cell>
          <cell r="E993" t="str">
            <v xml:space="preserve">    </v>
          </cell>
          <cell r="F993" t="str">
            <v xml:space="preserve"> S</v>
          </cell>
          <cell r="G993">
            <v>36796.261805555558</v>
          </cell>
          <cell r="H993" t="str">
            <v xml:space="preserve"> BTU</v>
          </cell>
        </row>
        <row r="994">
          <cell r="A994" t="str">
            <v xml:space="preserve"> 26102BTU  </v>
          </cell>
          <cell r="B994" t="e">
            <v>#NAME?</v>
          </cell>
          <cell r="C994">
            <v>1016</v>
          </cell>
          <cell r="D994" t="str">
            <v xml:space="preserve">   BTU</v>
          </cell>
          <cell r="E994" t="str">
            <v xml:space="preserve">    </v>
          </cell>
          <cell r="F994" t="str">
            <v xml:space="preserve"> S</v>
          </cell>
          <cell r="G994">
            <v>36796.261805555558</v>
          </cell>
          <cell r="H994" t="str">
            <v xml:space="preserve"> BTU</v>
          </cell>
        </row>
        <row r="995">
          <cell r="A995" t="str">
            <v xml:space="preserve"> 26106BTU  </v>
          </cell>
          <cell r="B995" t="e">
            <v>#NAME?</v>
          </cell>
          <cell r="C995">
            <v>1026.5018299999999</v>
          </cell>
          <cell r="D995" t="str">
            <v xml:space="preserve">   BTU</v>
          </cell>
          <cell r="E995" t="str">
            <v xml:space="preserve">    </v>
          </cell>
          <cell r="F995" t="str">
            <v xml:space="preserve"> S</v>
          </cell>
          <cell r="G995">
            <v>36796.261805555558</v>
          </cell>
          <cell r="H995" t="str">
            <v xml:space="preserve"> BTU</v>
          </cell>
        </row>
        <row r="996">
          <cell r="A996" t="str">
            <v xml:space="preserve"> 26107BTU  </v>
          </cell>
          <cell r="B996" t="e">
            <v>#NAME?</v>
          </cell>
          <cell r="C996">
            <v>0</v>
          </cell>
          <cell r="D996" t="str">
            <v xml:space="preserve">   BTU</v>
          </cell>
          <cell r="E996" t="str">
            <v>UNAV</v>
          </cell>
          <cell r="F996" t="str">
            <v xml:space="preserve"> S</v>
          </cell>
          <cell r="G996">
            <v>36796.261805555558</v>
          </cell>
          <cell r="H996" t="str">
            <v xml:space="preserve"> BTU</v>
          </cell>
        </row>
        <row r="997">
          <cell r="A997" t="str">
            <v xml:space="preserve"> 26108BTU  </v>
          </cell>
          <cell r="B997" t="e">
            <v>#NAME?</v>
          </cell>
          <cell r="C997">
            <v>0</v>
          </cell>
          <cell r="D997" t="str">
            <v xml:space="preserve">   BTU</v>
          </cell>
          <cell r="E997" t="str">
            <v>UNAV</v>
          </cell>
          <cell r="F997" t="str">
            <v xml:space="preserve"> S</v>
          </cell>
          <cell r="G997">
            <v>36796.261805555558</v>
          </cell>
          <cell r="H997" t="str">
            <v xml:space="preserve"> BTU</v>
          </cell>
        </row>
        <row r="998">
          <cell r="A998" t="str">
            <v xml:space="preserve"> 26109BTU  </v>
          </cell>
          <cell r="B998" t="e">
            <v>#NAME?</v>
          </cell>
          <cell r="C998">
            <v>0</v>
          </cell>
          <cell r="D998" t="str">
            <v xml:space="preserve">   BTU</v>
          </cell>
          <cell r="E998" t="str">
            <v>UNAV</v>
          </cell>
          <cell r="F998" t="str">
            <v xml:space="preserve"> S</v>
          </cell>
          <cell r="G998">
            <v>36796.261805555558</v>
          </cell>
          <cell r="H998" t="str">
            <v xml:space="preserve"> BTU</v>
          </cell>
        </row>
        <row r="999">
          <cell r="A999" t="str">
            <v xml:space="preserve"> 26113BTU  </v>
          </cell>
          <cell r="B999" t="e">
            <v>#NAME?</v>
          </cell>
          <cell r="C999">
            <v>0</v>
          </cell>
          <cell r="D999" t="str">
            <v xml:space="preserve">   BTU</v>
          </cell>
          <cell r="E999" t="str">
            <v>UNAV</v>
          </cell>
          <cell r="F999" t="str">
            <v xml:space="preserve"> S</v>
          </cell>
          <cell r="G999">
            <v>36796.261805555558</v>
          </cell>
          <cell r="H999" t="str">
            <v xml:space="preserve"> BTU</v>
          </cell>
        </row>
        <row r="1000">
          <cell r="A1000" t="str">
            <v xml:space="preserve"> 26114BTU  </v>
          </cell>
          <cell r="B1000" t="e">
            <v>#NAME?</v>
          </cell>
          <cell r="C1000">
            <v>1023.7869899999999</v>
          </cell>
          <cell r="D1000" t="str">
            <v xml:space="preserve">   BTU</v>
          </cell>
          <cell r="E1000" t="str">
            <v xml:space="preserve">    </v>
          </cell>
          <cell r="F1000" t="str">
            <v xml:space="preserve"> S</v>
          </cell>
          <cell r="G1000">
            <v>36796.261805555558</v>
          </cell>
          <cell r="H1000" t="str">
            <v xml:space="preserve"> BTU</v>
          </cell>
        </row>
        <row r="1001">
          <cell r="A1001" t="str">
            <v xml:space="preserve"> 26116BTU  </v>
          </cell>
          <cell r="B1001" t="e">
            <v>#NAME?</v>
          </cell>
          <cell r="C1001">
            <v>0</v>
          </cell>
          <cell r="D1001" t="str">
            <v xml:space="preserve">   BTU</v>
          </cell>
          <cell r="E1001" t="str">
            <v>UNAV</v>
          </cell>
          <cell r="F1001" t="str">
            <v xml:space="preserve"> S</v>
          </cell>
          <cell r="G1001">
            <v>36796.261805555558</v>
          </cell>
          <cell r="H1001" t="str">
            <v xml:space="preserve"> BTU</v>
          </cell>
        </row>
        <row r="1002">
          <cell r="A1002" t="str">
            <v xml:space="preserve"> 26118BTU  </v>
          </cell>
          <cell r="B1002" t="e">
            <v>#NAME?</v>
          </cell>
          <cell r="C1002">
            <v>0</v>
          </cell>
          <cell r="D1002" t="str">
            <v xml:space="preserve">   BTU</v>
          </cell>
          <cell r="E1002" t="str">
            <v>UNAV</v>
          </cell>
          <cell r="F1002" t="str">
            <v xml:space="preserve"> S</v>
          </cell>
          <cell r="G1002">
            <v>36796.261805555558</v>
          </cell>
          <cell r="H1002" t="str">
            <v xml:space="preserve"> BTU</v>
          </cell>
        </row>
        <row r="1003">
          <cell r="A1003" t="str">
            <v xml:space="preserve"> 26120BTU  </v>
          </cell>
          <cell r="B1003" t="e">
            <v>#NAME?</v>
          </cell>
          <cell r="C1003">
            <v>0</v>
          </cell>
          <cell r="D1003" t="str">
            <v xml:space="preserve">   BTU</v>
          </cell>
          <cell r="E1003" t="str">
            <v>UNAV</v>
          </cell>
          <cell r="F1003" t="str">
            <v xml:space="preserve"> S</v>
          </cell>
          <cell r="G1003">
            <v>36796.261805555558</v>
          </cell>
          <cell r="H1003" t="str">
            <v xml:space="preserve"> BTU</v>
          </cell>
        </row>
        <row r="1004">
          <cell r="A1004" t="str">
            <v xml:space="preserve"> 26123BTU  </v>
          </cell>
          <cell r="B1004" t="e">
            <v>#NAME?</v>
          </cell>
          <cell r="C1004">
            <v>1017</v>
          </cell>
          <cell r="D1004" t="str">
            <v xml:space="preserve">   BTU</v>
          </cell>
          <cell r="E1004" t="str">
            <v xml:space="preserve">    </v>
          </cell>
          <cell r="F1004" t="str">
            <v xml:space="preserve"> S</v>
          </cell>
          <cell r="G1004">
            <v>36796.261805555558</v>
          </cell>
          <cell r="H1004" t="str">
            <v xml:space="preserve"> BTU</v>
          </cell>
        </row>
        <row r="1005">
          <cell r="A1005" t="str">
            <v xml:space="preserve"> 26124BTU  </v>
          </cell>
          <cell r="B1005" t="e">
            <v>#NAME?</v>
          </cell>
          <cell r="C1005">
            <v>1015</v>
          </cell>
          <cell r="D1005" t="str">
            <v xml:space="preserve">   BTU</v>
          </cell>
          <cell r="E1005" t="str">
            <v xml:space="preserve">    </v>
          </cell>
          <cell r="F1005" t="str">
            <v xml:space="preserve"> S</v>
          </cell>
          <cell r="G1005">
            <v>36796.261805555558</v>
          </cell>
          <cell r="H1005" t="str">
            <v xml:space="preserve"> BTU</v>
          </cell>
        </row>
        <row r="1006">
          <cell r="A1006" t="str">
            <v xml:space="preserve"> 26126BTU  </v>
          </cell>
          <cell r="B1006" t="e">
            <v>#NAME?</v>
          </cell>
          <cell r="C1006">
            <v>1040</v>
          </cell>
          <cell r="D1006" t="str">
            <v xml:space="preserve">   BTU</v>
          </cell>
          <cell r="E1006" t="str">
            <v xml:space="preserve">    </v>
          </cell>
          <cell r="F1006" t="str">
            <v xml:space="preserve"> S</v>
          </cell>
          <cell r="G1006">
            <v>36796.261805555558</v>
          </cell>
          <cell r="H1006" t="str">
            <v xml:space="preserve"> BTU</v>
          </cell>
        </row>
        <row r="1007">
          <cell r="A1007" t="str">
            <v xml:space="preserve"> 26127BTU  </v>
          </cell>
          <cell r="B1007" t="e">
            <v>#NAME?</v>
          </cell>
          <cell r="C1007">
            <v>0</v>
          </cell>
          <cell r="D1007" t="str">
            <v xml:space="preserve">   BTU</v>
          </cell>
          <cell r="E1007" t="str">
            <v>UNAV</v>
          </cell>
          <cell r="F1007" t="str">
            <v xml:space="preserve"> S</v>
          </cell>
          <cell r="G1007">
            <v>36796.261805555558</v>
          </cell>
          <cell r="H1007" t="str">
            <v xml:space="preserve"> BTU</v>
          </cell>
        </row>
        <row r="1008">
          <cell r="A1008" t="str">
            <v xml:space="preserve"> 26129BTU  </v>
          </cell>
          <cell r="B1008" t="e">
            <v>#NAME?</v>
          </cell>
          <cell r="C1008">
            <v>0</v>
          </cell>
          <cell r="D1008" t="str">
            <v xml:space="preserve">   BTU</v>
          </cell>
          <cell r="E1008" t="str">
            <v>UNAV</v>
          </cell>
          <cell r="F1008" t="str">
            <v xml:space="preserve"> S</v>
          </cell>
          <cell r="G1008">
            <v>36796.261805555558</v>
          </cell>
          <cell r="H1008" t="str">
            <v xml:space="preserve"> BTU</v>
          </cell>
        </row>
        <row r="1009">
          <cell r="A1009" t="str">
            <v xml:space="preserve"> 26130BTU  </v>
          </cell>
          <cell r="B1009" t="e">
            <v>#NAME?</v>
          </cell>
          <cell r="C1009">
            <v>0</v>
          </cell>
          <cell r="D1009" t="str">
            <v xml:space="preserve">   BTU</v>
          </cell>
          <cell r="E1009" t="str">
            <v>UNAV</v>
          </cell>
          <cell r="F1009" t="str">
            <v xml:space="preserve"> S</v>
          </cell>
          <cell r="G1009">
            <v>36796.261805555558</v>
          </cell>
          <cell r="H1009" t="str">
            <v xml:space="preserve"> BTU</v>
          </cell>
        </row>
        <row r="1010">
          <cell r="A1010" t="str">
            <v xml:space="preserve"> 26131BTU  </v>
          </cell>
          <cell r="B1010" t="e">
            <v>#NAME?</v>
          </cell>
          <cell r="C1010">
            <v>0</v>
          </cell>
          <cell r="D1010" t="str">
            <v xml:space="preserve">   BTU</v>
          </cell>
          <cell r="E1010" t="str">
            <v>UNAV</v>
          </cell>
          <cell r="F1010" t="str">
            <v xml:space="preserve"> S</v>
          </cell>
          <cell r="G1010">
            <v>36796.261805555558</v>
          </cell>
          <cell r="H1010" t="str">
            <v xml:space="preserve"> BTU</v>
          </cell>
        </row>
        <row r="1011">
          <cell r="A1011" t="str">
            <v xml:space="preserve"> 26133BTU  </v>
          </cell>
          <cell r="B1011" t="e">
            <v>#NAME?</v>
          </cell>
          <cell r="C1011">
            <v>0</v>
          </cell>
          <cell r="D1011" t="str">
            <v xml:space="preserve">   BTU</v>
          </cell>
          <cell r="E1011" t="str">
            <v xml:space="preserve">    </v>
          </cell>
          <cell r="F1011" t="str">
            <v xml:space="preserve"> S</v>
          </cell>
          <cell r="G1011">
            <v>36796.261805555558</v>
          </cell>
          <cell r="H1011" t="str">
            <v xml:space="preserve"> BTU</v>
          </cell>
        </row>
        <row r="1012">
          <cell r="A1012" t="str">
            <v xml:space="preserve"> 26135BTU  </v>
          </cell>
          <cell r="B1012" t="e">
            <v>#NAME?</v>
          </cell>
          <cell r="C1012">
            <v>0</v>
          </cell>
          <cell r="D1012" t="str">
            <v xml:space="preserve">   BTU</v>
          </cell>
          <cell r="E1012" t="str">
            <v>UNAV</v>
          </cell>
          <cell r="F1012" t="str">
            <v xml:space="preserve"> S</v>
          </cell>
          <cell r="G1012">
            <v>36796.261805555558</v>
          </cell>
          <cell r="H1012" t="str">
            <v xml:space="preserve"> BTU</v>
          </cell>
        </row>
        <row r="1013">
          <cell r="A1013" t="str">
            <v xml:space="preserve"> 26136BTU  </v>
          </cell>
          <cell r="B1013" t="e">
            <v>#NAME?</v>
          </cell>
          <cell r="C1013">
            <v>1020.8941</v>
          </cell>
          <cell r="D1013" t="str">
            <v xml:space="preserve">   BTU</v>
          </cell>
          <cell r="E1013" t="str">
            <v xml:space="preserve">    </v>
          </cell>
          <cell r="F1013" t="str">
            <v xml:space="preserve"> S</v>
          </cell>
          <cell r="G1013">
            <v>36796.261805555558</v>
          </cell>
          <cell r="H1013" t="str">
            <v xml:space="preserve"> BTU</v>
          </cell>
        </row>
        <row r="1014">
          <cell r="A1014" t="str">
            <v xml:space="preserve"> 26137BTU  </v>
          </cell>
          <cell r="B1014" t="e">
            <v>#NAME?</v>
          </cell>
          <cell r="C1014">
            <v>0</v>
          </cell>
          <cell r="D1014" t="str">
            <v xml:space="preserve">   BTU</v>
          </cell>
          <cell r="E1014" t="str">
            <v>UNAV</v>
          </cell>
          <cell r="F1014" t="str">
            <v xml:space="preserve"> S</v>
          </cell>
          <cell r="G1014">
            <v>36796.261805555558</v>
          </cell>
          <cell r="H1014" t="str">
            <v xml:space="preserve"> BTU</v>
          </cell>
        </row>
        <row r="1015">
          <cell r="A1015" t="str">
            <v xml:space="preserve"> 26138BTU  </v>
          </cell>
          <cell r="B1015" t="e">
            <v>#NAME?</v>
          </cell>
          <cell r="C1015">
            <v>1037</v>
          </cell>
          <cell r="D1015" t="str">
            <v xml:space="preserve">   BTU</v>
          </cell>
          <cell r="E1015" t="str">
            <v xml:space="preserve">    </v>
          </cell>
          <cell r="F1015" t="str">
            <v xml:space="preserve"> S</v>
          </cell>
          <cell r="G1015">
            <v>36796.261805555558</v>
          </cell>
          <cell r="H1015" t="str">
            <v xml:space="preserve"> BTU</v>
          </cell>
        </row>
        <row r="1016">
          <cell r="A1016" t="str">
            <v xml:space="preserve"> 26139BTU  </v>
          </cell>
          <cell r="B1016" t="e">
            <v>#NAME?</v>
          </cell>
          <cell r="C1016">
            <v>1028</v>
          </cell>
          <cell r="D1016" t="str">
            <v xml:space="preserve">   BTU</v>
          </cell>
          <cell r="E1016" t="str">
            <v xml:space="preserve">    </v>
          </cell>
          <cell r="F1016" t="str">
            <v xml:space="preserve"> S</v>
          </cell>
          <cell r="G1016">
            <v>36796.261805555558</v>
          </cell>
          <cell r="H1016" t="str">
            <v xml:space="preserve"> BTU</v>
          </cell>
        </row>
        <row r="1017">
          <cell r="A1017" t="str">
            <v xml:space="preserve"> 26140BTU  </v>
          </cell>
          <cell r="B1017" t="e">
            <v>#NAME?</v>
          </cell>
          <cell r="C1017">
            <v>1044</v>
          </cell>
          <cell r="D1017" t="str">
            <v xml:space="preserve">   BTU</v>
          </cell>
          <cell r="E1017" t="str">
            <v xml:space="preserve">    </v>
          </cell>
          <cell r="F1017" t="str">
            <v xml:space="preserve"> S</v>
          </cell>
          <cell r="G1017">
            <v>36796.261805555558</v>
          </cell>
          <cell r="H1017" t="str">
            <v xml:space="preserve"> BTU</v>
          </cell>
        </row>
        <row r="1018">
          <cell r="A1018" t="str">
            <v xml:space="preserve"> 26143BTU  </v>
          </cell>
          <cell r="B1018" t="e">
            <v>#NAME?</v>
          </cell>
          <cell r="C1018">
            <v>0</v>
          </cell>
          <cell r="D1018" t="str">
            <v xml:space="preserve">   BTU</v>
          </cell>
          <cell r="E1018" t="str">
            <v>UNAV</v>
          </cell>
          <cell r="F1018" t="str">
            <v xml:space="preserve"> S</v>
          </cell>
          <cell r="G1018">
            <v>36796.261805555558</v>
          </cell>
          <cell r="H1018" t="str">
            <v xml:space="preserve"> BTU</v>
          </cell>
        </row>
        <row r="1019">
          <cell r="A1019" t="str">
            <v xml:space="preserve"> 26144BTU  </v>
          </cell>
          <cell r="B1019" t="e">
            <v>#NAME?</v>
          </cell>
          <cell r="C1019">
            <v>0</v>
          </cell>
          <cell r="D1019" t="str">
            <v xml:space="preserve">   BTU</v>
          </cell>
          <cell r="E1019" t="str">
            <v>UNAV</v>
          </cell>
          <cell r="F1019" t="str">
            <v xml:space="preserve"> S</v>
          </cell>
          <cell r="G1019">
            <v>36796.261805555558</v>
          </cell>
          <cell r="H1019" t="str">
            <v xml:space="preserve"> BTU</v>
          </cell>
        </row>
        <row r="1020">
          <cell r="A1020" t="str">
            <v xml:space="preserve"> 26146BTU  </v>
          </cell>
          <cell r="B1020" t="e">
            <v>#NAME?</v>
          </cell>
          <cell r="C1020">
            <v>1020.8941</v>
          </cell>
          <cell r="D1020" t="str">
            <v xml:space="preserve">   BTU</v>
          </cell>
          <cell r="E1020" t="str">
            <v xml:space="preserve">    </v>
          </cell>
          <cell r="F1020" t="str">
            <v xml:space="preserve"> S</v>
          </cell>
          <cell r="G1020">
            <v>36796.261805555558</v>
          </cell>
          <cell r="H1020" t="str">
            <v xml:space="preserve"> BTU</v>
          </cell>
        </row>
        <row r="1021">
          <cell r="A1021" t="str">
            <v xml:space="preserve"> 26147BTU  </v>
          </cell>
          <cell r="B1021" t="e">
            <v>#NAME?</v>
          </cell>
          <cell r="C1021">
            <v>1023.7869899999999</v>
          </cell>
          <cell r="D1021" t="str">
            <v xml:space="preserve">   BTU</v>
          </cell>
          <cell r="E1021" t="str">
            <v xml:space="preserve">    </v>
          </cell>
          <cell r="F1021" t="str">
            <v xml:space="preserve"> S</v>
          </cell>
          <cell r="G1021">
            <v>36796.261805555558</v>
          </cell>
          <cell r="H1021" t="str">
            <v xml:space="preserve"> BTU</v>
          </cell>
        </row>
        <row r="1022">
          <cell r="A1022" t="str">
            <v xml:space="preserve"> 26148BTU  </v>
          </cell>
          <cell r="B1022" t="e">
            <v>#NAME?</v>
          </cell>
          <cell r="C1022">
            <v>0</v>
          </cell>
          <cell r="D1022" t="str">
            <v xml:space="preserve">   BTU</v>
          </cell>
          <cell r="E1022" t="str">
            <v>UNAV</v>
          </cell>
          <cell r="F1022" t="str">
            <v xml:space="preserve"> S</v>
          </cell>
          <cell r="G1022">
            <v>36796.261805555558</v>
          </cell>
          <cell r="H1022" t="str">
            <v xml:space="preserve"> BTU</v>
          </cell>
        </row>
        <row r="1023">
          <cell r="A1023" t="str">
            <v xml:space="preserve"> 26149BTU  </v>
          </cell>
          <cell r="B1023" t="e">
            <v>#NAME?</v>
          </cell>
          <cell r="C1023">
            <v>0</v>
          </cell>
          <cell r="D1023" t="str">
            <v xml:space="preserve">   BTU</v>
          </cell>
          <cell r="E1023" t="str">
            <v>UNAV</v>
          </cell>
          <cell r="F1023" t="str">
            <v xml:space="preserve"> S</v>
          </cell>
          <cell r="G1023">
            <v>36796.261805555558</v>
          </cell>
          <cell r="H1023" t="str">
            <v xml:space="preserve"> BTU</v>
          </cell>
        </row>
        <row r="1024">
          <cell r="A1024" t="str">
            <v xml:space="preserve"> 26150BTU  </v>
          </cell>
          <cell r="B1024" t="e">
            <v>#NAME?</v>
          </cell>
          <cell r="C1024">
            <v>1024</v>
          </cell>
          <cell r="D1024" t="str">
            <v xml:space="preserve">   BTU</v>
          </cell>
          <cell r="E1024" t="str">
            <v xml:space="preserve">    </v>
          </cell>
          <cell r="F1024" t="str">
            <v xml:space="preserve"> S</v>
          </cell>
          <cell r="G1024">
            <v>36796.261805555558</v>
          </cell>
          <cell r="H1024" t="str">
            <v xml:space="preserve"> BTU</v>
          </cell>
        </row>
        <row r="1025">
          <cell r="A1025" t="str">
            <v xml:space="preserve"> 26151BTU  </v>
          </cell>
          <cell r="B1025" t="e">
            <v>#NAME?</v>
          </cell>
          <cell r="C1025">
            <v>0</v>
          </cell>
          <cell r="D1025" t="str">
            <v xml:space="preserve">   BTU</v>
          </cell>
          <cell r="E1025" t="str">
            <v>UNAV</v>
          </cell>
          <cell r="F1025" t="str">
            <v xml:space="preserve"> S</v>
          </cell>
          <cell r="G1025">
            <v>36796.261805555558</v>
          </cell>
          <cell r="H1025" t="str">
            <v xml:space="preserve"> BTU</v>
          </cell>
        </row>
        <row r="1026">
          <cell r="A1026" t="str">
            <v xml:space="preserve"> 26152BTU  </v>
          </cell>
          <cell r="B1026" t="e">
            <v>#NAME?</v>
          </cell>
          <cell r="C1026">
            <v>0</v>
          </cell>
          <cell r="D1026" t="str">
            <v xml:space="preserve">   BTU</v>
          </cell>
          <cell r="E1026" t="str">
            <v>UNAV</v>
          </cell>
          <cell r="F1026" t="str">
            <v xml:space="preserve"> S</v>
          </cell>
          <cell r="G1026">
            <v>36796.261805555558</v>
          </cell>
          <cell r="H1026" t="str">
            <v xml:space="preserve"> BTU</v>
          </cell>
        </row>
        <row r="1027">
          <cell r="A1027" t="str">
            <v xml:space="preserve"> 26153BTU  </v>
          </cell>
          <cell r="B1027" t="e">
            <v>#NAME?</v>
          </cell>
          <cell r="C1027">
            <v>1023.7869899999999</v>
          </cell>
          <cell r="D1027" t="str">
            <v xml:space="preserve">   BTU</v>
          </cell>
          <cell r="E1027" t="str">
            <v xml:space="preserve">    </v>
          </cell>
          <cell r="F1027" t="str">
            <v xml:space="preserve"> S</v>
          </cell>
          <cell r="G1027">
            <v>36796.261805555558</v>
          </cell>
          <cell r="H1027" t="str">
            <v xml:space="preserve"> BTU</v>
          </cell>
        </row>
        <row r="1028">
          <cell r="A1028" t="str">
            <v xml:space="preserve"> 26154BTU  </v>
          </cell>
          <cell r="B1028" t="e">
            <v>#NAME?</v>
          </cell>
          <cell r="C1028">
            <v>1020.8941</v>
          </cell>
          <cell r="D1028" t="str">
            <v xml:space="preserve">   BTU</v>
          </cell>
          <cell r="E1028" t="str">
            <v xml:space="preserve">    </v>
          </cell>
          <cell r="F1028" t="str">
            <v xml:space="preserve"> S</v>
          </cell>
          <cell r="G1028">
            <v>36796.261805555558</v>
          </cell>
          <cell r="H1028" t="str">
            <v xml:space="preserve"> BTU</v>
          </cell>
        </row>
        <row r="1029">
          <cell r="A1029" t="str">
            <v xml:space="preserve"> 26155BTU  </v>
          </cell>
          <cell r="B1029" t="e">
            <v>#NAME?</v>
          </cell>
          <cell r="C1029">
            <v>0</v>
          </cell>
          <cell r="D1029" t="str">
            <v xml:space="preserve">   BTU</v>
          </cell>
          <cell r="E1029" t="str">
            <v>UNAV</v>
          </cell>
          <cell r="F1029" t="str">
            <v xml:space="preserve"> S</v>
          </cell>
          <cell r="G1029">
            <v>36796.261805555558</v>
          </cell>
          <cell r="H1029" t="str">
            <v xml:space="preserve"> BTU</v>
          </cell>
        </row>
        <row r="1030">
          <cell r="A1030" t="str">
            <v xml:space="preserve"> 26156BTU  </v>
          </cell>
          <cell r="B1030" t="e">
            <v>#NAME?</v>
          </cell>
          <cell r="C1030">
            <v>1035.1430700000001</v>
          </cell>
          <cell r="D1030" t="str">
            <v xml:space="preserve">   BTU</v>
          </cell>
          <cell r="E1030" t="str">
            <v xml:space="preserve">    </v>
          </cell>
          <cell r="F1030" t="str">
            <v xml:space="preserve"> S</v>
          </cell>
          <cell r="G1030">
            <v>36796.261805555558</v>
          </cell>
          <cell r="H1030" t="str">
            <v xml:space="preserve"> BTU</v>
          </cell>
        </row>
        <row r="1031">
          <cell r="A1031" t="str">
            <v xml:space="preserve"> 26157BTU  </v>
          </cell>
          <cell r="B1031" t="e">
            <v>#NAME?</v>
          </cell>
          <cell r="C1031">
            <v>1036.57898</v>
          </cell>
          <cell r="D1031" t="str">
            <v xml:space="preserve">   BTU</v>
          </cell>
          <cell r="E1031" t="str">
            <v xml:space="preserve">    </v>
          </cell>
          <cell r="F1031" t="str">
            <v xml:space="preserve"> S</v>
          </cell>
          <cell r="G1031">
            <v>36796.261805555558</v>
          </cell>
          <cell r="H1031" t="str">
            <v xml:space="preserve"> BTU</v>
          </cell>
        </row>
        <row r="1032">
          <cell r="A1032" t="str">
            <v xml:space="preserve"> 26158BTU  </v>
          </cell>
          <cell r="B1032" t="e">
            <v>#NAME?</v>
          </cell>
          <cell r="C1032">
            <v>1023.7869899999999</v>
          </cell>
          <cell r="D1032" t="str">
            <v xml:space="preserve">   BTU</v>
          </cell>
          <cell r="E1032" t="str">
            <v xml:space="preserve">    </v>
          </cell>
          <cell r="F1032" t="str">
            <v xml:space="preserve"> S</v>
          </cell>
          <cell r="G1032">
            <v>36796.261805555558</v>
          </cell>
          <cell r="H1032" t="str">
            <v xml:space="preserve"> BTU</v>
          </cell>
        </row>
        <row r="1033">
          <cell r="A1033" t="str">
            <v xml:space="preserve"> 26159BTU  </v>
          </cell>
          <cell r="B1033" t="e">
            <v>#NAME?</v>
          </cell>
          <cell r="C1033">
            <v>0</v>
          </cell>
          <cell r="D1033" t="str">
            <v xml:space="preserve">   BTU</v>
          </cell>
          <cell r="E1033" t="str">
            <v>UNAV</v>
          </cell>
          <cell r="F1033" t="str">
            <v xml:space="preserve"> S</v>
          </cell>
          <cell r="G1033">
            <v>36796.261805555558</v>
          </cell>
          <cell r="H1033" t="str">
            <v xml:space="preserve"> BTU</v>
          </cell>
        </row>
        <row r="1034">
          <cell r="A1034" t="str">
            <v xml:space="preserve"> 26160BTU  </v>
          </cell>
          <cell r="B1034" t="e">
            <v>#NAME?</v>
          </cell>
          <cell r="C1034">
            <v>0</v>
          </cell>
          <cell r="D1034" t="str">
            <v xml:space="preserve">   BTU</v>
          </cell>
          <cell r="E1034" t="str">
            <v>UNAV</v>
          </cell>
          <cell r="F1034" t="str">
            <v xml:space="preserve"> S</v>
          </cell>
          <cell r="G1034">
            <v>36796.261805555558</v>
          </cell>
          <cell r="H1034" t="str">
            <v xml:space="preserve"> BTU</v>
          </cell>
        </row>
        <row r="1035">
          <cell r="A1035" t="str">
            <v xml:space="preserve"> 26161BTU  </v>
          </cell>
          <cell r="B1035" t="e">
            <v>#NAME?</v>
          </cell>
          <cell r="C1035">
            <v>0</v>
          </cell>
          <cell r="D1035" t="str">
            <v xml:space="preserve">   BTU</v>
          </cell>
          <cell r="E1035" t="str">
            <v>UNAV</v>
          </cell>
          <cell r="F1035" t="str">
            <v xml:space="preserve"> S</v>
          </cell>
          <cell r="G1035">
            <v>36796.261805555558</v>
          </cell>
          <cell r="H1035" t="str">
            <v xml:space="preserve"> BTU</v>
          </cell>
        </row>
        <row r="1036">
          <cell r="A1036" t="str">
            <v xml:space="preserve"> 26163BTU  </v>
          </cell>
          <cell r="B1036" t="e">
            <v>#NAME?</v>
          </cell>
          <cell r="C1036">
            <v>0</v>
          </cell>
          <cell r="D1036" t="str">
            <v xml:space="preserve">   BTU</v>
          </cell>
          <cell r="E1036" t="str">
            <v>UNAV</v>
          </cell>
          <cell r="F1036" t="str">
            <v xml:space="preserve"> S</v>
          </cell>
          <cell r="G1036">
            <v>36796.261805555558</v>
          </cell>
          <cell r="H1036" t="str">
            <v xml:space="preserve"> BTU</v>
          </cell>
        </row>
        <row r="1037">
          <cell r="A1037" t="str">
            <v xml:space="preserve"> 26164BTU  </v>
          </cell>
          <cell r="B1037" t="e">
            <v>#NAME?</v>
          </cell>
          <cell r="C1037">
            <v>1089.1505099999999</v>
          </cell>
          <cell r="D1037" t="str">
            <v xml:space="preserve">   BTU</v>
          </cell>
          <cell r="E1037" t="str">
            <v xml:space="preserve">    </v>
          </cell>
          <cell r="F1037" t="str">
            <v xml:space="preserve"> S</v>
          </cell>
          <cell r="G1037">
            <v>36796.261805555558</v>
          </cell>
          <cell r="H1037" t="str">
            <v xml:space="preserve"> BTU</v>
          </cell>
        </row>
        <row r="1038">
          <cell r="A1038" t="str">
            <v xml:space="preserve"> 26165BTU  </v>
          </cell>
          <cell r="B1038" t="e">
            <v>#NAME?</v>
          </cell>
          <cell r="C1038">
            <v>1023.7869899999999</v>
          </cell>
          <cell r="D1038" t="str">
            <v xml:space="preserve">   BTU</v>
          </cell>
          <cell r="E1038" t="str">
            <v xml:space="preserve">    </v>
          </cell>
          <cell r="F1038" t="str">
            <v xml:space="preserve"> S</v>
          </cell>
          <cell r="G1038">
            <v>36796.261805555558</v>
          </cell>
          <cell r="H1038" t="str">
            <v xml:space="preserve"> BTU</v>
          </cell>
        </row>
        <row r="1039">
          <cell r="A1039" t="str">
            <v xml:space="preserve"> 26166BTU  </v>
          </cell>
          <cell r="B1039" t="e">
            <v>#NAME?</v>
          </cell>
          <cell r="C1039">
            <v>1023.7869899999999</v>
          </cell>
          <cell r="D1039" t="str">
            <v xml:space="preserve">   BTU</v>
          </cell>
          <cell r="E1039" t="str">
            <v xml:space="preserve">    </v>
          </cell>
          <cell r="F1039" t="str">
            <v xml:space="preserve"> S</v>
          </cell>
          <cell r="G1039">
            <v>36796.261805555558</v>
          </cell>
          <cell r="H1039" t="str">
            <v xml:space="preserve"> BTU</v>
          </cell>
        </row>
        <row r="1040">
          <cell r="A1040" t="str">
            <v xml:space="preserve"> 26167BTU  </v>
          </cell>
          <cell r="B1040" t="e">
            <v>#NAME?</v>
          </cell>
          <cell r="C1040">
            <v>1036.57898</v>
          </cell>
          <cell r="D1040" t="str">
            <v xml:space="preserve">   BTU</v>
          </cell>
          <cell r="E1040" t="str">
            <v xml:space="preserve">    </v>
          </cell>
          <cell r="F1040" t="str">
            <v xml:space="preserve"> S</v>
          </cell>
          <cell r="G1040">
            <v>36796.261805555558</v>
          </cell>
          <cell r="H1040" t="str">
            <v xml:space="preserve"> BTU</v>
          </cell>
        </row>
        <row r="1041">
          <cell r="A1041" t="str">
            <v xml:space="preserve"> 26168BTU  </v>
          </cell>
          <cell r="B1041" t="e">
            <v>#NAME?</v>
          </cell>
          <cell r="C1041">
            <v>1020.70123</v>
          </cell>
          <cell r="D1041" t="str">
            <v xml:space="preserve">   BTU</v>
          </cell>
          <cell r="E1041" t="str">
            <v xml:space="preserve">    </v>
          </cell>
          <cell r="F1041" t="str">
            <v xml:space="preserve"> S</v>
          </cell>
          <cell r="G1041">
            <v>36796.261805555558</v>
          </cell>
          <cell r="H1041" t="str">
            <v xml:space="preserve"> BTU</v>
          </cell>
        </row>
        <row r="1042">
          <cell r="A1042" t="str">
            <v xml:space="preserve"> 26169BTU  </v>
          </cell>
          <cell r="B1042" t="e">
            <v>#NAME?</v>
          </cell>
          <cell r="C1042">
            <v>1036.57898</v>
          </cell>
          <cell r="D1042" t="str">
            <v xml:space="preserve">   BTU</v>
          </cell>
          <cell r="E1042" t="str">
            <v xml:space="preserve">    </v>
          </cell>
          <cell r="F1042" t="str">
            <v xml:space="preserve"> S</v>
          </cell>
          <cell r="G1042">
            <v>36796.261805555558</v>
          </cell>
          <cell r="H1042" t="str">
            <v xml:space="preserve"> BTU</v>
          </cell>
        </row>
        <row r="1043">
          <cell r="A1043" t="str">
            <v xml:space="preserve"> 26170BTU  </v>
          </cell>
          <cell r="B1043" t="e">
            <v>#NAME?</v>
          </cell>
          <cell r="C1043">
            <v>0</v>
          </cell>
          <cell r="D1043" t="str">
            <v xml:space="preserve">   BTU</v>
          </cell>
          <cell r="E1043" t="str">
            <v>UNAV</v>
          </cell>
          <cell r="F1043" t="str">
            <v xml:space="preserve"> S</v>
          </cell>
          <cell r="G1043">
            <v>36796.261805555558</v>
          </cell>
          <cell r="H1043" t="str">
            <v xml:space="preserve"> BTU</v>
          </cell>
        </row>
        <row r="1044">
          <cell r="A1044" t="str">
            <v xml:space="preserve"> 26171BTU  </v>
          </cell>
          <cell r="B1044" t="e">
            <v>#NAME?</v>
          </cell>
          <cell r="C1044">
            <v>0</v>
          </cell>
          <cell r="D1044" t="str">
            <v xml:space="preserve">   BTU</v>
          </cell>
          <cell r="E1044" t="str">
            <v>UNAV</v>
          </cell>
          <cell r="F1044" t="str">
            <v xml:space="preserve"> S</v>
          </cell>
          <cell r="G1044">
            <v>36796.261805555558</v>
          </cell>
          <cell r="H1044" t="str">
            <v xml:space="preserve"> BTU</v>
          </cell>
        </row>
        <row r="1045">
          <cell r="A1045" t="str">
            <v xml:space="preserve"> 26172BTU  </v>
          </cell>
          <cell r="B1045" t="e">
            <v>#NAME?</v>
          </cell>
          <cell r="C1045">
            <v>0</v>
          </cell>
          <cell r="D1045" t="str">
            <v xml:space="preserve">   BTU</v>
          </cell>
          <cell r="E1045" t="str">
            <v>UNAV</v>
          </cell>
          <cell r="F1045" t="str">
            <v xml:space="preserve"> S</v>
          </cell>
          <cell r="G1045">
            <v>36796.261805555558</v>
          </cell>
          <cell r="H1045" t="str">
            <v xml:space="preserve"> BTU</v>
          </cell>
        </row>
        <row r="1046">
          <cell r="A1046" t="str">
            <v xml:space="preserve"> 26173BTU  </v>
          </cell>
          <cell r="B1046" t="e">
            <v>#NAME?</v>
          </cell>
          <cell r="C1046">
            <v>0</v>
          </cell>
          <cell r="D1046" t="str">
            <v xml:space="preserve">   BTU</v>
          </cell>
          <cell r="E1046" t="str">
            <v>UNAV</v>
          </cell>
          <cell r="F1046" t="str">
            <v xml:space="preserve"> S</v>
          </cell>
          <cell r="G1046">
            <v>36796.261805555558</v>
          </cell>
          <cell r="H1046" t="str">
            <v xml:space="preserve"> BTU</v>
          </cell>
        </row>
        <row r="1047">
          <cell r="A1047" t="str">
            <v xml:space="preserve"> 26174BTU  </v>
          </cell>
          <cell r="B1047" t="e">
            <v>#NAME?</v>
          </cell>
          <cell r="C1047">
            <v>0</v>
          </cell>
          <cell r="D1047" t="str">
            <v xml:space="preserve">   BTU</v>
          </cell>
          <cell r="E1047" t="str">
            <v>UNAV</v>
          </cell>
          <cell r="F1047" t="str">
            <v xml:space="preserve"> S</v>
          </cell>
          <cell r="G1047">
            <v>36796.261805555558</v>
          </cell>
          <cell r="H1047" t="str">
            <v xml:space="preserve"> BTU</v>
          </cell>
        </row>
        <row r="1048">
          <cell r="A1048" t="str">
            <v xml:space="preserve"> 26175BTU  </v>
          </cell>
          <cell r="B1048" t="e">
            <v>#NAME?</v>
          </cell>
          <cell r="C1048">
            <v>0</v>
          </cell>
          <cell r="D1048" t="str">
            <v xml:space="preserve">   BTU</v>
          </cell>
          <cell r="E1048" t="str">
            <v>UNAV</v>
          </cell>
          <cell r="F1048" t="str">
            <v xml:space="preserve"> S</v>
          </cell>
          <cell r="G1048">
            <v>36796.261805555558</v>
          </cell>
          <cell r="H1048" t="str">
            <v xml:space="preserve"> BTU</v>
          </cell>
        </row>
        <row r="1049">
          <cell r="A1049" t="str">
            <v xml:space="preserve"> 26176BTU  </v>
          </cell>
          <cell r="B1049" t="e">
            <v>#NAME?</v>
          </cell>
          <cell r="C1049">
            <v>1014</v>
          </cell>
          <cell r="D1049" t="str">
            <v xml:space="preserve">   BTU</v>
          </cell>
          <cell r="E1049" t="str">
            <v xml:space="preserve">    </v>
          </cell>
          <cell r="F1049" t="str">
            <v xml:space="preserve"> S</v>
          </cell>
          <cell r="G1049">
            <v>36796.261805555558</v>
          </cell>
          <cell r="H1049" t="str">
            <v xml:space="preserve"> BTU</v>
          </cell>
        </row>
        <row r="1050">
          <cell r="A1050" t="str">
            <v xml:space="preserve"> 26177BTU  </v>
          </cell>
          <cell r="B1050" t="e">
            <v>#NAME?</v>
          </cell>
          <cell r="C1050">
            <v>0</v>
          </cell>
          <cell r="D1050" t="str">
            <v xml:space="preserve">   BTU</v>
          </cell>
          <cell r="E1050" t="str">
            <v>UNAV</v>
          </cell>
          <cell r="F1050" t="str">
            <v xml:space="preserve"> S</v>
          </cell>
          <cell r="G1050">
            <v>36796.261805555558</v>
          </cell>
          <cell r="H1050" t="str">
            <v xml:space="preserve"> BTU</v>
          </cell>
        </row>
        <row r="1051">
          <cell r="A1051" t="str">
            <v xml:space="preserve"> 26178BTU  </v>
          </cell>
          <cell r="B1051" t="e">
            <v>#NAME?</v>
          </cell>
          <cell r="C1051">
            <v>1044.0561499999999</v>
          </cell>
          <cell r="D1051" t="str">
            <v xml:space="preserve">   BTU</v>
          </cell>
          <cell r="E1051" t="str">
            <v xml:space="preserve">    </v>
          </cell>
          <cell r="F1051" t="str">
            <v xml:space="preserve"> S</v>
          </cell>
          <cell r="G1051">
            <v>36796.261805555558</v>
          </cell>
          <cell r="H1051" t="str">
            <v xml:space="preserve"> BTU</v>
          </cell>
        </row>
        <row r="1052">
          <cell r="A1052" t="str">
            <v xml:space="preserve"> 26179BTU  </v>
          </cell>
          <cell r="B1052" t="e">
            <v>#NAME?</v>
          </cell>
          <cell r="C1052">
            <v>0</v>
          </cell>
          <cell r="D1052" t="str">
            <v xml:space="preserve">   BTU</v>
          </cell>
          <cell r="E1052" t="str">
            <v>UNAV</v>
          </cell>
          <cell r="F1052" t="str">
            <v xml:space="preserve"> S</v>
          </cell>
          <cell r="G1052">
            <v>36796.261805555558</v>
          </cell>
          <cell r="H1052" t="str">
            <v xml:space="preserve"> BTU</v>
          </cell>
        </row>
        <row r="1053">
          <cell r="A1053" t="str">
            <v xml:space="preserve"> 26180BTU  </v>
          </cell>
          <cell r="B1053" t="e">
            <v>#NAME?</v>
          </cell>
          <cell r="C1053">
            <v>1023.7869899999999</v>
          </cell>
          <cell r="D1053" t="str">
            <v xml:space="preserve">   BTU</v>
          </cell>
          <cell r="E1053" t="str">
            <v xml:space="preserve">    </v>
          </cell>
          <cell r="F1053" t="str">
            <v xml:space="preserve"> S</v>
          </cell>
          <cell r="G1053">
            <v>36796.261805555558</v>
          </cell>
          <cell r="H1053" t="str">
            <v xml:space="preserve"> BTU</v>
          </cell>
        </row>
        <row r="1054">
          <cell r="A1054" t="str">
            <v xml:space="preserve"> 26181BTU  </v>
          </cell>
          <cell r="B1054" t="e">
            <v>#NAME?</v>
          </cell>
          <cell r="C1054">
            <v>0</v>
          </cell>
          <cell r="D1054" t="str">
            <v xml:space="preserve">   BTU</v>
          </cell>
          <cell r="E1054" t="str">
            <v>UNAV</v>
          </cell>
          <cell r="F1054" t="str">
            <v xml:space="preserve"> S</v>
          </cell>
          <cell r="G1054">
            <v>36796.261805555558</v>
          </cell>
          <cell r="H1054" t="str">
            <v xml:space="preserve"> BTU</v>
          </cell>
        </row>
        <row r="1055">
          <cell r="A1055" t="str">
            <v xml:space="preserve"> 26184BTU  </v>
          </cell>
          <cell r="B1055" t="e">
            <v>#NAME?</v>
          </cell>
          <cell r="C1055">
            <v>1020.8941</v>
          </cell>
          <cell r="D1055" t="str">
            <v xml:space="preserve">   BTU</v>
          </cell>
          <cell r="E1055" t="str">
            <v xml:space="preserve">    </v>
          </cell>
          <cell r="F1055" t="str">
            <v xml:space="preserve"> S</v>
          </cell>
          <cell r="G1055">
            <v>36796.261805555558</v>
          </cell>
          <cell r="H1055" t="str">
            <v xml:space="preserve"> BTU</v>
          </cell>
        </row>
        <row r="1056">
          <cell r="A1056" t="str">
            <v xml:space="preserve"> 26185BTU  </v>
          </cell>
          <cell r="B1056" t="e">
            <v>#NAME?</v>
          </cell>
          <cell r="C1056">
            <v>0</v>
          </cell>
          <cell r="D1056" t="str">
            <v xml:space="preserve">   BTU</v>
          </cell>
          <cell r="E1056" t="str">
            <v>UNAV</v>
          </cell>
          <cell r="F1056" t="str">
            <v xml:space="preserve"> S</v>
          </cell>
          <cell r="G1056">
            <v>36796.261805555558</v>
          </cell>
          <cell r="H1056" t="str">
            <v xml:space="preserve"> BTU</v>
          </cell>
        </row>
        <row r="1057">
          <cell r="A1057" t="str">
            <v xml:space="preserve"> 26186BTU  </v>
          </cell>
          <cell r="B1057" t="e">
            <v>#NAME?</v>
          </cell>
          <cell r="C1057">
            <v>1023.7869899999999</v>
          </cell>
          <cell r="D1057" t="str">
            <v xml:space="preserve">   BTU</v>
          </cell>
          <cell r="E1057" t="str">
            <v xml:space="preserve">    </v>
          </cell>
          <cell r="F1057" t="str">
            <v xml:space="preserve"> S</v>
          </cell>
          <cell r="G1057">
            <v>36796.261805555558</v>
          </cell>
          <cell r="H1057" t="str">
            <v xml:space="preserve"> BTU</v>
          </cell>
        </row>
        <row r="1058">
          <cell r="A1058" t="str">
            <v xml:space="preserve"> 26187BTU  </v>
          </cell>
          <cell r="B1058" t="e">
            <v>#NAME?</v>
          </cell>
          <cell r="C1058">
            <v>1023.7869899999999</v>
          </cell>
          <cell r="D1058" t="str">
            <v xml:space="preserve">   BTU</v>
          </cell>
          <cell r="E1058" t="str">
            <v xml:space="preserve">    </v>
          </cell>
          <cell r="F1058" t="str">
            <v xml:space="preserve"> S</v>
          </cell>
          <cell r="G1058">
            <v>36796.261805555558</v>
          </cell>
          <cell r="H1058" t="str">
            <v xml:space="preserve"> BTU</v>
          </cell>
        </row>
        <row r="1059">
          <cell r="A1059" t="str">
            <v xml:space="preserve"> 26188BTU  </v>
          </cell>
          <cell r="B1059" t="e">
            <v>#NAME?</v>
          </cell>
          <cell r="C1059">
            <v>1023.7869899999999</v>
          </cell>
          <cell r="D1059" t="str">
            <v xml:space="preserve">   BTU</v>
          </cell>
          <cell r="E1059" t="str">
            <v xml:space="preserve">    </v>
          </cell>
          <cell r="F1059" t="str">
            <v xml:space="preserve"> S</v>
          </cell>
          <cell r="G1059">
            <v>36796.261805555558</v>
          </cell>
          <cell r="H1059" t="str">
            <v xml:space="preserve"> BTU</v>
          </cell>
        </row>
        <row r="1060">
          <cell r="A1060" t="str">
            <v xml:space="preserve"> 26189BTU  </v>
          </cell>
          <cell r="B1060" t="e">
            <v>#NAME?</v>
          </cell>
          <cell r="C1060">
            <v>1023.7869899999999</v>
          </cell>
          <cell r="D1060" t="str">
            <v xml:space="preserve">   BTU</v>
          </cell>
          <cell r="E1060" t="str">
            <v xml:space="preserve">    </v>
          </cell>
          <cell r="F1060" t="str">
            <v xml:space="preserve"> S</v>
          </cell>
          <cell r="G1060">
            <v>36796.261805555558</v>
          </cell>
          <cell r="H1060" t="str">
            <v xml:space="preserve"> BTU</v>
          </cell>
        </row>
        <row r="1061">
          <cell r="A1061" t="str">
            <v xml:space="preserve"> 26190BTU  </v>
          </cell>
          <cell r="B1061" t="e">
            <v>#NAME?</v>
          </cell>
          <cell r="C1061">
            <v>1023.7869899999999</v>
          </cell>
          <cell r="D1061" t="str">
            <v xml:space="preserve">   BTU</v>
          </cell>
          <cell r="E1061" t="str">
            <v xml:space="preserve">    </v>
          </cell>
          <cell r="F1061" t="str">
            <v xml:space="preserve"> S</v>
          </cell>
          <cell r="G1061">
            <v>36796.261805555558</v>
          </cell>
          <cell r="H1061" t="str">
            <v xml:space="preserve"> BTU</v>
          </cell>
        </row>
        <row r="1062">
          <cell r="A1062" t="str">
            <v xml:space="preserve"> 26191BTU  </v>
          </cell>
          <cell r="B1062" t="e">
            <v>#NAME?</v>
          </cell>
          <cell r="C1062">
            <v>0</v>
          </cell>
          <cell r="D1062" t="str">
            <v xml:space="preserve">   BTU</v>
          </cell>
          <cell r="E1062" t="str">
            <v>UNAV</v>
          </cell>
          <cell r="F1062" t="str">
            <v xml:space="preserve"> S</v>
          </cell>
          <cell r="G1062">
            <v>36796.261805555558</v>
          </cell>
          <cell r="H1062" t="str">
            <v xml:space="preserve"> BTU</v>
          </cell>
        </row>
        <row r="1063">
          <cell r="A1063" t="str">
            <v xml:space="preserve"> 26192BTU  </v>
          </cell>
          <cell r="B1063" t="e">
            <v>#NAME?</v>
          </cell>
          <cell r="C1063">
            <v>0</v>
          </cell>
          <cell r="D1063" t="str">
            <v xml:space="preserve">   BTU</v>
          </cell>
          <cell r="E1063" t="str">
            <v>UNAV</v>
          </cell>
          <cell r="F1063" t="str">
            <v xml:space="preserve"> S</v>
          </cell>
          <cell r="G1063">
            <v>36796.261805555558</v>
          </cell>
          <cell r="H1063" t="str">
            <v xml:space="preserve"> BTU</v>
          </cell>
        </row>
        <row r="1064">
          <cell r="A1064" t="str">
            <v xml:space="preserve"> 26194BTU  </v>
          </cell>
          <cell r="B1064" t="e">
            <v>#NAME?</v>
          </cell>
          <cell r="C1064">
            <v>0</v>
          </cell>
          <cell r="D1064" t="str">
            <v xml:space="preserve">   BTU</v>
          </cell>
          <cell r="E1064" t="str">
            <v>UNAV</v>
          </cell>
          <cell r="F1064" t="str">
            <v xml:space="preserve"> S</v>
          </cell>
          <cell r="G1064">
            <v>36796.261805555558</v>
          </cell>
          <cell r="H1064" t="str">
            <v xml:space="preserve"> BTU</v>
          </cell>
        </row>
        <row r="1065">
          <cell r="A1065" t="str">
            <v xml:space="preserve"> 26196BTU  </v>
          </cell>
          <cell r="B1065" t="e">
            <v>#NAME?</v>
          </cell>
          <cell r="C1065">
            <v>0</v>
          </cell>
          <cell r="D1065" t="str">
            <v xml:space="preserve">   BTU</v>
          </cell>
          <cell r="E1065" t="str">
            <v>UNAV</v>
          </cell>
          <cell r="F1065" t="str">
            <v xml:space="preserve"> S</v>
          </cell>
          <cell r="G1065">
            <v>36796.261805555558</v>
          </cell>
          <cell r="H1065" t="str">
            <v xml:space="preserve"> BTU</v>
          </cell>
        </row>
        <row r="1066">
          <cell r="A1066" t="str">
            <v xml:space="preserve"> 26197BTU  </v>
          </cell>
          <cell r="B1066" t="e">
            <v>#NAME?</v>
          </cell>
          <cell r="C1066">
            <v>0</v>
          </cell>
          <cell r="D1066" t="str">
            <v xml:space="preserve">   BTU</v>
          </cell>
          <cell r="E1066" t="str">
            <v>UNAV</v>
          </cell>
          <cell r="F1066" t="str">
            <v xml:space="preserve"> S</v>
          </cell>
          <cell r="G1066">
            <v>36796.261805555558</v>
          </cell>
          <cell r="H1066" t="str">
            <v xml:space="preserve"> BTU</v>
          </cell>
        </row>
        <row r="1067">
          <cell r="A1067" t="str">
            <v xml:space="preserve"> 26198BTU  </v>
          </cell>
          <cell r="B1067" t="e">
            <v>#NAME?</v>
          </cell>
          <cell r="C1067">
            <v>1023.7869899999999</v>
          </cell>
          <cell r="D1067" t="str">
            <v xml:space="preserve">   BTU</v>
          </cell>
          <cell r="E1067" t="str">
            <v xml:space="preserve">    </v>
          </cell>
          <cell r="F1067" t="str">
            <v xml:space="preserve"> S</v>
          </cell>
          <cell r="G1067">
            <v>36796.261805555558</v>
          </cell>
          <cell r="H1067" t="str">
            <v xml:space="preserve"> BTU</v>
          </cell>
        </row>
        <row r="1068">
          <cell r="A1068" t="str">
            <v xml:space="preserve"> 26199BTU  </v>
          </cell>
          <cell r="B1068" t="e">
            <v>#NAME?</v>
          </cell>
          <cell r="C1068">
            <v>1031</v>
          </cell>
          <cell r="D1068" t="str">
            <v xml:space="preserve">   BTU</v>
          </cell>
          <cell r="E1068" t="str">
            <v xml:space="preserve">    </v>
          </cell>
          <cell r="F1068" t="str">
            <v xml:space="preserve"> S</v>
          </cell>
          <cell r="G1068">
            <v>36796.261805555558</v>
          </cell>
          <cell r="H1068" t="str">
            <v xml:space="preserve"> BTU</v>
          </cell>
        </row>
        <row r="1069">
          <cell r="A1069" t="str">
            <v xml:space="preserve"> 26200BTU  </v>
          </cell>
          <cell r="B1069" t="e">
            <v>#NAME?</v>
          </cell>
          <cell r="C1069">
            <v>0</v>
          </cell>
          <cell r="D1069" t="str">
            <v xml:space="preserve">   BTU</v>
          </cell>
          <cell r="E1069" t="str">
            <v>UNAV</v>
          </cell>
          <cell r="F1069" t="str">
            <v xml:space="preserve"> S</v>
          </cell>
          <cell r="G1069">
            <v>36796.261805555558</v>
          </cell>
          <cell r="H1069" t="str">
            <v xml:space="preserve"> BTU</v>
          </cell>
        </row>
        <row r="1070">
          <cell r="A1070" t="str">
            <v xml:space="preserve"> 26201BTU  </v>
          </cell>
          <cell r="B1070" t="e">
            <v>#NAME?</v>
          </cell>
          <cell r="C1070">
            <v>0</v>
          </cell>
          <cell r="D1070" t="str">
            <v xml:space="preserve">   BTU</v>
          </cell>
          <cell r="E1070" t="str">
            <v>UNAV</v>
          </cell>
          <cell r="F1070" t="str">
            <v xml:space="preserve"> S</v>
          </cell>
          <cell r="G1070">
            <v>36796.261805555558</v>
          </cell>
          <cell r="H1070" t="str">
            <v xml:space="preserve"> BTU</v>
          </cell>
        </row>
        <row r="1071">
          <cell r="A1071" t="str">
            <v xml:space="preserve"> 26202BTU  </v>
          </cell>
          <cell r="B1071" t="e">
            <v>#NAME?</v>
          </cell>
          <cell r="C1071">
            <v>1023.7869899999999</v>
          </cell>
          <cell r="D1071" t="str">
            <v xml:space="preserve">   BTU</v>
          </cell>
          <cell r="E1071" t="str">
            <v xml:space="preserve">    </v>
          </cell>
          <cell r="F1071" t="str">
            <v xml:space="preserve"> S</v>
          </cell>
          <cell r="G1071">
            <v>36796.261805555558</v>
          </cell>
          <cell r="H1071" t="str">
            <v xml:space="preserve"> BTU</v>
          </cell>
        </row>
        <row r="1072">
          <cell r="A1072" t="str">
            <v xml:space="preserve"> 26203BTU  </v>
          </cell>
          <cell r="B1072" t="e">
            <v>#NAME?</v>
          </cell>
          <cell r="C1072">
            <v>1023.7869899999999</v>
          </cell>
          <cell r="D1072" t="str">
            <v xml:space="preserve">   BTU</v>
          </cell>
          <cell r="E1072" t="str">
            <v xml:space="preserve">    </v>
          </cell>
          <cell r="F1072" t="str">
            <v xml:space="preserve"> S</v>
          </cell>
          <cell r="G1072">
            <v>36796.261805555558</v>
          </cell>
          <cell r="H1072" t="str">
            <v xml:space="preserve"> BTU</v>
          </cell>
        </row>
        <row r="1073">
          <cell r="A1073" t="str">
            <v xml:space="preserve"> 26204BTU  </v>
          </cell>
          <cell r="B1073" t="e">
            <v>#NAME?</v>
          </cell>
          <cell r="C1073">
            <v>1023.7869899999999</v>
          </cell>
          <cell r="D1073" t="str">
            <v xml:space="preserve">   BTU</v>
          </cell>
          <cell r="E1073" t="str">
            <v xml:space="preserve">    </v>
          </cell>
          <cell r="F1073" t="str">
            <v xml:space="preserve"> S</v>
          </cell>
          <cell r="G1073">
            <v>36796.261805555558</v>
          </cell>
          <cell r="H1073" t="str">
            <v xml:space="preserve"> BTU</v>
          </cell>
        </row>
        <row r="1074">
          <cell r="A1074" t="str">
            <v xml:space="preserve"> 26205BTU  </v>
          </cell>
          <cell r="B1074" t="e">
            <v>#NAME?</v>
          </cell>
          <cell r="C1074">
            <v>0</v>
          </cell>
          <cell r="D1074" t="str">
            <v xml:space="preserve">   BTU</v>
          </cell>
          <cell r="E1074" t="str">
            <v>UNAV</v>
          </cell>
          <cell r="F1074" t="str">
            <v xml:space="preserve"> S</v>
          </cell>
          <cell r="G1074">
            <v>36796.261805555558</v>
          </cell>
          <cell r="H1074" t="str">
            <v xml:space="preserve"> BTU</v>
          </cell>
        </row>
        <row r="1075">
          <cell r="A1075" t="str">
            <v xml:space="preserve"> 26206BTU  </v>
          </cell>
          <cell r="B1075" t="e">
            <v>#NAME?</v>
          </cell>
          <cell r="C1075">
            <v>0</v>
          </cell>
          <cell r="D1075" t="str">
            <v xml:space="preserve">   BTU</v>
          </cell>
          <cell r="E1075" t="str">
            <v>UNAV</v>
          </cell>
          <cell r="F1075" t="str">
            <v xml:space="preserve"> S</v>
          </cell>
          <cell r="G1075">
            <v>36796.261805555558</v>
          </cell>
          <cell r="H1075" t="str">
            <v xml:space="preserve"> BTU</v>
          </cell>
        </row>
        <row r="1076">
          <cell r="A1076" t="str">
            <v xml:space="preserve"> 26207BTU  </v>
          </cell>
          <cell r="B1076" t="e">
            <v>#NAME?</v>
          </cell>
          <cell r="C1076">
            <v>0</v>
          </cell>
          <cell r="D1076" t="str">
            <v xml:space="preserve">   BTU</v>
          </cell>
          <cell r="E1076" t="str">
            <v>UNAV</v>
          </cell>
          <cell r="F1076" t="str">
            <v xml:space="preserve"> S</v>
          </cell>
          <cell r="G1076">
            <v>36796.261805555558</v>
          </cell>
          <cell r="H1076" t="str">
            <v xml:space="preserve"> BTU</v>
          </cell>
        </row>
        <row r="1077">
          <cell r="A1077" t="str">
            <v xml:space="preserve"> 26208BTU  </v>
          </cell>
          <cell r="B1077" t="e">
            <v>#NAME?</v>
          </cell>
          <cell r="C1077">
            <v>0</v>
          </cell>
          <cell r="D1077" t="str">
            <v xml:space="preserve">   BTU</v>
          </cell>
          <cell r="E1077" t="str">
            <v>UNAV</v>
          </cell>
          <cell r="F1077" t="str">
            <v xml:space="preserve"> S</v>
          </cell>
          <cell r="G1077">
            <v>36796.261805555558</v>
          </cell>
          <cell r="H1077" t="str">
            <v xml:space="preserve"> BTU</v>
          </cell>
        </row>
        <row r="1078">
          <cell r="A1078" t="str">
            <v xml:space="preserve"> 26209BTU  </v>
          </cell>
          <cell r="B1078" t="e">
            <v>#NAME?</v>
          </cell>
          <cell r="C1078">
            <v>1037</v>
          </cell>
          <cell r="D1078" t="str">
            <v xml:space="preserve">   BTU</v>
          </cell>
          <cell r="E1078" t="str">
            <v xml:space="preserve">    </v>
          </cell>
          <cell r="F1078" t="str">
            <v xml:space="preserve"> S</v>
          </cell>
          <cell r="G1078">
            <v>36796.261805555558</v>
          </cell>
          <cell r="H1078" t="str">
            <v xml:space="preserve"> BTU</v>
          </cell>
        </row>
        <row r="1079">
          <cell r="A1079" t="str">
            <v xml:space="preserve"> 26210BTU  </v>
          </cell>
          <cell r="B1079" t="e">
            <v>#NAME?</v>
          </cell>
          <cell r="C1079">
            <v>0</v>
          </cell>
          <cell r="D1079" t="str">
            <v xml:space="preserve">   BTU</v>
          </cell>
          <cell r="E1079" t="str">
            <v>UNAV</v>
          </cell>
          <cell r="F1079" t="str">
            <v xml:space="preserve"> S</v>
          </cell>
          <cell r="G1079">
            <v>36796.261805555558</v>
          </cell>
          <cell r="H1079" t="str">
            <v xml:space="preserve"> BTU</v>
          </cell>
        </row>
        <row r="1080">
          <cell r="A1080" t="str">
            <v xml:space="preserve"> 26212BTU  </v>
          </cell>
          <cell r="B1080" t="e">
            <v>#NAME?</v>
          </cell>
          <cell r="C1080">
            <v>1023.7869899999999</v>
          </cell>
          <cell r="D1080" t="str">
            <v xml:space="preserve">   BTU</v>
          </cell>
          <cell r="E1080" t="str">
            <v xml:space="preserve">    </v>
          </cell>
          <cell r="F1080" t="str">
            <v xml:space="preserve"> S</v>
          </cell>
          <cell r="G1080">
            <v>36796.261805555558</v>
          </cell>
          <cell r="H1080" t="str">
            <v xml:space="preserve"> BTU</v>
          </cell>
        </row>
        <row r="1081">
          <cell r="A1081" t="str">
            <v xml:space="preserve"> 26213BTU  </v>
          </cell>
          <cell r="B1081" t="e">
            <v>#NAME?</v>
          </cell>
          <cell r="C1081">
            <v>1119</v>
          </cell>
          <cell r="D1081" t="str">
            <v xml:space="preserve">   BTU</v>
          </cell>
          <cell r="E1081" t="str">
            <v xml:space="preserve">    </v>
          </cell>
          <cell r="F1081" t="str">
            <v xml:space="preserve"> S</v>
          </cell>
          <cell r="G1081">
            <v>36796.261805555558</v>
          </cell>
          <cell r="H1081" t="str">
            <v xml:space="preserve"> BTU</v>
          </cell>
        </row>
        <row r="1082">
          <cell r="A1082" t="str">
            <v xml:space="preserve"> 26218BTU  </v>
          </cell>
          <cell r="B1082" t="e">
            <v>#NAME?</v>
          </cell>
          <cell r="C1082">
            <v>0</v>
          </cell>
          <cell r="D1082" t="str">
            <v xml:space="preserve">   BTU</v>
          </cell>
          <cell r="E1082" t="str">
            <v>UNAV</v>
          </cell>
          <cell r="F1082" t="str">
            <v xml:space="preserve"> S</v>
          </cell>
          <cell r="G1082">
            <v>36796.261805555558</v>
          </cell>
          <cell r="H1082" t="str">
            <v xml:space="preserve"> BTU</v>
          </cell>
        </row>
        <row r="1083">
          <cell r="A1083" t="str">
            <v xml:space="preserve"> 46001BTU  </v>
          </cell>
          <cell r="B1083" t="e">
            <v>#NAME?</v>
          </cell>
          <cell r="C1083">
            <v>0</v>
          </cell>
          <cell r="D1083" t="str">
            <v xml:space="preserve">   BTU</v>
          </cell>
          <cell r="E1083" t="str">
            <v>UNAV</v>
          </cell>
          <cell r="F1083" t="str">
            <v xml:space="preserve"> S</v>
          </cell>
          <cell r="G1083">
            <v>36796.261805555558</v>
          </cell>
          <cell r="H1083" t="str">
            <v xml:space="preserve"> BTU</v>
          </cell>
        </row>
        <row r="1084">
          <cell r="A1084" t="str">
            <v xml:space="preserve"> 46010BTU  </v>
          </cell>
          <cell r="B1084" t="e">
            <v>#NAME?</v>
          </cell>
          <cell r="C1084">
            <v>1021</v>
          </cell>
          <cell r="D1084" t="str">
            <v xml:space="preserve">   BTU</v>
          </cell>
          <cell r="E1084" t="str">
            <v xml:space="preserve">    </v>
          </cell>
          <cell r="F1084" t="str">
            <v xml:space="preserve"> S</v>
          </cell>
          <cell r="G1084">
            <v>36796.261805555558</v>
          </cell>
          <cell r="H1084" t="str">
            <v xml:space="preserve"> BTU</v>
          </cell>
        </row>
        <row r="1085">
          <cell r="A1085" t="str">
            <v xml:space="preserve"> 46011BTU  </v>
          </cell>
          <cell r="B1085" t="e">
            <v>#NAME?</v>
          </cell>
          <cell r="C1085">
            <v>0</v>
          </cell>
          <cell r="D1085" t="str">
            <v xml:space="preserve">   BTU</v>
          </cell>
          <cell r="E1085" t="str">
            <v>UNAV</v>
          </cell>
          <cell r="F1085" t="str">
            <v xml:space="preserve"> S</v>
          </cell>
          <cell r="G1085">
            <v>36796.261805555558</v>
          </cell>
          <cell r="H1085" t="str">
            <v xml:space="preserve"> BTU</v>
          </cell>
        </row>
        <row r="1086">
          <cell r="A1086" t="str">
            <v xml:space="preserve"> 46012BTU  </v>
          </cell>
          <cell r="B1086" t="e">
            <v>#NAME?</v>
          </cell>
          <cell r="C1086">
            <v>1026</v>
          </cell>
          <cell r="D1086" t="str">
            <v xml:space="preserve">   BTU</v>
          </cell>
          <cell r="E1086" t="str">
            <v xml:space="preserve">    </v>
          </cell>
          <cell r="F1086" t="str">
            <v xml:space="preserve"> S</v>
          </cell>
          <cell r="G1086">
            <v>36796.261805555558</v>
          </cell>
          <cell r="H1086" t="str">
            <v xml:space="preserve"> BTU</v>
          </cell>
        </row>
        <row r="1087">
          <cell r="A1087" t="str">
            <v xml:space="preserve"> 46013BTU  </v>
          </cell>
          <cell r="B1087" t="e">
            <v>#NAME?</v>
          </cell>
          <cell r="C1087">
            <v>0</v>
          </cell>
          <cell r="D1087" t="str">
            <v xml:space="preserve">   BTU</v>
          </cell>
          <cell r="E1087" t="str">
            <v>UNAV</v>
          </cell>
          <cell r="F1087" t="str">
            <v xml:space="preserve"> S</v>
          </cell>
          <cell r="G1087">
            <v>36796.261805555558</v>
          </cell>
          <cell r="H1087" t="str">
            <v xml:space="preserve"> BTU</v>
          </cell>
        </row>
        <row r="1088">
          <cell r="A1088" t="str">
            <v xml:space="preserve"> 46016BTU  </v>
          </cell>
          <cell r="B1088" t="e">
            <v>#NAME?</v>
          </cell>
          <cell r="C1088">
            <v>0</v>
          </cell>
          <cell r="D1088" t="str">
            <v xml:space="preserve">   BTU</v>
          </cell>
          <cell r="E1088" t="str">
            <v>UNAV</v>
          </cell>
          <cell r="F1088" t="str">
            <v xml:space="preserve"> S</v>
          </cell>
          <cell r="G1088">
            <v>36796.261805555558</v>
          </cell>
          <cell r="H1088" t="str">
            <v xml:space="preserve"> BTU</v>
          </cell>
        </row>
        <row r="1089">
          <cell r="A1089" t="str">
            <v xml:space="preserve"> 46017BTU  </v>
          </cell>
          <cell r="B1089" t="e">
            <v>#NAME?</v>
          </cell>
          <cell r="C1089">
            <v>0</v>
          </cell>
          <cell r="D1089" t="str">
            <v xml:space="preserve">   BTU</v>
          </cell>
          <cell r="E1089" t="str">
            <v>UNAV</v>
          </cell>
          <cell r="F1089" t="str">
            <v xml:space="preserve"> S</v>
          </cell>
          <cell r="G1089">
            <v>36796.261805555558</v>
          </cell>
          <cell r="H1089" t="str">
            <v xml:space="preserve"> BTU</v>
          </cell>
        </row>
        <row r="1090">
          <cell r="A1090" t="str">
            <v xml:space="preserve"> 46024BTU  </v>
          </cell>
          <cell r="B1090" t="e">
            <v>#NAME?</v>
          </cell>
          <cell r="C1090">
            <v>1093</v>
          </cell>
          <cell r="D1090" t="str">
            <v xml:space="preserve">   BTU</v>
          </cell>
          <cell r="E1090" t="str">
            <v xml:space="preserve">    </v>
          </cell>
          <cell r="F1090" t="str">
            <v xml:space="preserve"> S</v>
          </cell>
          <cell r="G1090">
            <v>36796.261805555558</v>
          </cell>
          <cell r="H1090" t="str">
            <v xml:space="preserve"> BTU</v>
          </cell>
        </row>
        <row r="1091">
          <cell r="A1091" t="str">
            <v xml:space="preserve"> 46025BTU  </v>
          </cell>
          <cell r="B1091" t="e">
            <v>#NAME?</v>
          </cell>
          <cell r="C1091">
            <v>0</v>
          </cell>
          <cell r="D1091" t="str">
            <v xml:space="preserve">   BTU</v>
          </cell>
          <cell r="E1091" t="str">
            <v>UNAV</v>
          </cell>
          <cell r="F1091" t="str">
            <v xml:space="preserve"> S</v>
          </cell>
          <cell r="G1091">
            <v>36796.261805555558</v>
          </cell>
          <cell r="H1091" t="str">
            <v xml:space="preserve"> BTU</v>
          </cell>
        </row>
        <row r="1092">
          <cell r="A1092" t="str">
            <v xml:space="preserve"> 46026BTU  </v>
          </cell>
          <cell r="B1092" t="e">
            <v>#NAME?</v>
          </cell>
          <cell r="C1092">
            <v>0</v>
          </cell>
          <cell r="D1092" t="str">
            <v xml:space="preserve">   BTU</v>
          </cell>
          <cell r="E1092" t="str">
            <v>UNAV</v>
          </cell>
          <cell r="F1092" t="str">
            <v xml:space="preserve"> S</v>
          </cell>
          <cell r="G1092">
            <v>36796.261805555558</v>
          </cell>
          <cell r="H1092" t="str">
            <v xml:space="preserve"> BTU</v>
          </cell>
        </row>
        <row r="1093">
          <cell r="A1093" t="str">
            <v xml:space="preserve"> 46027BTU  </v>
          </cell>
          <cell r="B1093" t="e">
            <v>#NAME?</v>
          </cell>
          <cell r="C1093">
            <v>1010.98407</v>
          </cell>
          <cell r="D1093" t="str">
            <v xml:space="preserve">   BTU</v>
          </cell>
          <cell r="E1093" t="str">
            <v xml:space="preserve">    </v>
          </cell>
          <cell r="F1093" t="str">
            <v xml:space="preserve"> S</v>
          </cell>
          <cell r="G1093">
            <v>36796.261805555558</v>
          </cell>
          <cell r="H1093" t="str">
            <v xml:space="preserve"> BTU</v>
          </cell>
        </row>
        <row r="1094">
          <cell r="A1094" t="str">
            <v xml:space="preserve"> 46028BTU  </v>
          </cell>
          <cell r="B1094" t="e">
            <v>#NAME?</v>
          </cell>
          <cell r="C1094">
            <v>0</v>
          </cell>
          <cell r="D1094" t="str">
            <v xml:space="preserve">   BTU</v>
          </cell>
          <cell r="E1094" t="str">
            <v>UNAV</v>
          </cell>
          <cell r="F1094" t="str">
            <v xml:space="preserve"> S</v>
          </cell>
          <cell r="G1094">
            <v>36796.261805555558</v>
          </cell>
          <cell r="H1094" t="str">
            <v xml:space="preserve"> BTU</v>
          </cell>
        </row>
        <row r="1095">
          <cell r="A1095" t="str">
            <v xml:space="preserve"> 46029BTU  </v>
          </cell>
          <cell r="B1095" t="e">
            <v>#NAME?</v>
          </cell>
          <cell r="C1095">
            <v>0</v>
          </cell>
          <cell r="D1095" t="str">
            <v xml:space="preserve">   BTU</v>
          </cell>
          <cell r="E1095" t="str">
            <v>UNAV</v>
          </cell>
          <cell r="F1095" t="str">
            <v xml:space="preserve"> S</v>
          </cell>
          <cell r="G1095">
            <v>36796.261805555558</v>
          </cell>
          <cell r="H1095" t="str">
            <v xml:space="preserve"> BTU</v>
          </cell>
        </row>
        <row r="1096">
          <cell r="A1096" t="str">
            <v xml:space="preserve"> 46030BTU  </v>
          </cell>
          <cell r="B1096" t="e">
            <v>#NAME?</v>
          </cell>
          <cell r="C1096">
            <v>0</v>
          </cell>
          <cell r="D1096" t="str">
            <v xml:space="preserve">   BTU</v>
          </cell>
          <cell r="E1096" t="str">
            <v>UNAV</v>
          </cell>
          <cell r="F1096" t="str">
            <v xml:space="preserve"> S</v>
          </cell>
          <cell r="G1096">
            <v>36796.261805555558</v>
          </cell>
          <cell r="H1096" t="str">
            <v xml:space="preserve"> BTU</v>
          </cell>
        </row>
        <row r="1097">
          <cell r="A1097" t="str">
            <v xml:space="preserve"> 46031BTU  </v>
          </cell>
          <cell r="B1097" t="e">
            <v>#NAME?</v>
          </cell>
          <cell r="C1097">
            <v>0</v>
          </cell>
          <cell r="D1097" t="str">
            <v xml:space="preserve">   BTU</v>
          </cell>
          <cell r="E1097" t="str">
            <v>UNAV</v>
          </cell>
          <cell r="F1097" t="str">
            <v xml:space="preserve"> S</v>
          </cell>
          <cell r="G1097">
            <v>36796.261805555558</v>
          </cell>
          <cell r="H1097" t="str">
            <v xml:space="preserve"> BTU</v>
          </cell>
        </row>
        <row r="1098">
          <cell r="A1098" t="str">
            <v xml:space="preserve"> 46032BTU  </v>
          </cell>
          <cell r="B1098" t="e">
            <v>#NAME?</v>
          </cell>
          <cell r="C1098">
            <v>0</v>
          </cell>
          <cell r="D1098" t="str">
            <v xml:space="preserve">   BTU</v>
          </cell>
          <cell r="E1098" t="str">
            <v>UNAV</v>
          </cell>
          <cell r="F1098" t="str">
            <v xml:space="preserve"> S</v>
          </cell>
          <cell r="G1098">
            <v>36796.261805555558</v>
          </cell>
          <cell r="H1098" t="str">
            <v xml:space="preserve"> BTU</v>
          </cell>
        </row>
        <row r="1099">
          <cell r="A1099" t="str">
            <v xml:space="preserve"> 46034BTU  </v>
          </cell>
          <cell r="B1099" t="e">
            <v>#NAME?</v>
          </cell>
          <cell r="C1099">
            <v>0</v>
          </cell>
          <cell r="D1099" t="str">
            <v xml:space="preserve">   BTU</v>
          </cell>
          <cell r="E1099" t="str">
            <v>UNAV</v>
          </cell>
          <cell r="F1099" t="str">
            <v xml:space="preserve"> S</v>
          </cell>
          <cell r="G1099">
            <v>36796.261805555558</v>
          </cell>
          <cell r="H1099" t="str">
            <v xml:space="preserve"> BTU</v>
          </cell>
        </row>
        <row r="1100">
          <cell r="A1100" t="str">
            <v xml:space="preserve"> 46035BTU  </v>
          </cell>
          <cell r="B1100" t="e">
            <v>#NAME?</v>
          </cell>
          <cell r="C1100">
            <v>1025</v>
          </cell>
          <cell r="D1100" t="str">
            <v xml:space="preserve">   BTU</v>
          </cell>
          <cell r="E1100" t="str">
            <v xml:space="preserve">    </v>
          </cell>
          <cell r="F1100" t="str">
            <v xml:space="preserve"> S</v>
          </cell>
          <cell r="G1100">
            <v>36796.261805555558</v>
          </cell>
          <cell r="H1100" t="str">
            <v xml:space="preserve"> BTU</v>
          </cell>
        </row>
        <row r="1101">
          <cell r="A1101" t="str">
            <v xml:space="preserve"> 46037BTU  </v>
          </cell>
          <cell r="B1101" t="e">
            <v>#NAME?</v>
          </cell>
          <cell r="C1101">
            <v>0</v>
          </cell>
          <cell r="D1101" t="str">
            <v xml:space="preserve">   BTU</v>
          </cell>
          <cell r="E1101" t="str">
            <v>UNAV</v>
          </cell>
          <cell r="F1101" t="str">
            <v xml:space="preserve"> S</v>
          </cell>
          <cell r="G1101">
            <v>36796.261805555558</v>
          </cell>
          <cell r="H1101" t="str">
            <v xml:space="preserve"> BTU</v>
          </cell>
        </row>
        <row r="1102">
          <cell r="A1102" t="str">
            <v xml:space="preserve"> 46038BTU  </v>
          </cell>
          <cell r="B1102" t="e">
            <v>#NAME?</v>
          </cell>
          <cell r="C1102">
            <v>0</v>
          </cell>
          <cell r="D1102" t="str">
            <v xml:space="preserve">   BTU</v>
          </cell>
          <cell r="E1102" t="str">
            <v>UNAV</v>
          </cell>
          <cell r="F1102" t="str">
            <v xml:space="preserve"> S</v>
          </cell>
          <cell r="G1102">
            <v>36796.261805555558</v>
          </cell>
          <cell r="H1102" t="str">
            <v xml:space="preserve"> BTU</v>
          </cell>
        </row>
        <row r="1103">
          <cell r="A1103" t="str">
            <v xml:space="preserve"> 46042BTU  </v>
          </cell>
          <cell r="B1103" t="e">
            <v>#NAME?</v>
          </cell>
          <cell r="C1103">
            <v>0</v>
          </cell>
          <cell r="D1103" t="str">
            <v xml:space="preserve">   BTU</v>
          </cell>
          <cell r="E1103" t="str">
            <v>UNAV</v>
          </cell>
          <cell r="F1103" t="str">
            <v xml:space="preserve"> S</v>
          </cell>
          <cell r="G1103">
            <v>36796.261805555558</v>
          </cell>
          <cell r="H1103" t="str">
            <v xml:space="preserve"> BTU</v>
          </cell>
        </row>
        <row r="1104">
          <cell r="A1104" t="str">
            <v xml:space="preserve"> 56000BTU  </v>
          </cell>
          <cell r="B1104" t="e">
            <v>#NAME?</v>
          </cell>
          <cell r="C1104">
            <v>0</v>
          </cell>
          <cell r="D1104" t="str">
            <v xml:space="preserve">   BTU</v>
          </cell>
          <cell r="E1104" t="str">
            <v>UNAV</v>
          </cell>
          <cell r="F1104" t="str">
            <v xml:space="preserve"> S</v>
          </cell>
          <cell r="G1104">
            <v>36796.261805555558</v>
          </cell>
          <cell r="H1104" t="str">
            <v xml:space="preserve"> BTU</v>
          </cell>
        </row>
        <row r="1105">
          <cell r="A1105" t="str">
            <v xml:space="preserve"> 56006BTU  </v>
          </cell>
          <cell r="B1105" t="e">
            <v>#NAME?</v>
          </cell>
          <cell r="C1105">
            <v>1030</v>
          </cell>
          <cell r="D1105" t="str">
            <v xml:space="preserve">   BTU</v>
          </cell>
          <cell r="E1105" t="str">
            <v xml:space="preserve">    </v>
          </cell>
          <cell r="F1105" t="str">
            <v xml:space="preserve"> S</v>
          </cell>
          <cell r="G1105">
            <v>36796.261805555558</v>
          </cell>
          <cell r="H1105" t="str">
            <v xml:space="preserve"> BTU</v>
          </cell>
        </row>
        <row r="1106">
          <cell r="A1106" t="str">
            <v xml:space="preserve"> 56006BTU  </v>
          </cell>
          <cell r="B1106" t="e">
            <v>#NAME?</v>
          </cell>
          <cell r="C1106">
            <v>1030</v>
          </cell>
          <cell r="D1106" t="str">
            <v xml:space="preserve">   BTU</v>
          </cell>
          <cell r="E1106" t="str">
            <v xml:space="preserve">    </v>
          </cell>
          <cell r="F1106" t="str">
            <v xml:space="preserve"> S</v>
          </cell>
          <cell r="G1106">
            <v>36796.261805555558</v>
          </cell>
          <cell r="H1106" t="str">
            <v xml:space="preserve"> BTU</v>
          </cell>
        </row>
        <row r="1107">
          <cell r="A1107" t="str">
            <v xml:space="preserve"> 56007BTU  </v>
          </cell>
          <cell r="B1107" t="e">
            <v>#NAME?</v>
          </cell>
          <cell r="C1107">
            <v>0</v>
          </cell>
          <cell r="D1107" t="str">
            <v xml:space="preserve">   BTU</v>
          </cell>
          <cell r="E1107" t="str">
            <v>UNAV</v>
          </cell>
          <cell r="F1107" t="str">
            <v xml:space="preserve"> S</v>
          </cell>
          <cell r="G1107">
            <v>36796.261805555558</v>
          </cell>
          <cell r="H1107" t="str">
            <v xml:space="preserve"> BTU</v>
          </cell>
        </row>
        <row r="1108">
          <cell r="A1108" t="str">
            <v xml:space="preserve"> 56015BTU  </v>
          </cell>
          <cell r="B1108" t="e">
            <v>#NAME?</v>
          </cell>
          <cell r="C1108">
            <v>1010.98407</v>
          </cell>
          <cell r="D1108" t="str">
            <v xml:space="preserve">   BTU</v>
          </cell>
          <cell r="E1108" t="str">
            <v xml:space="preserve">    </v>
          </cell>
          <cell r="F1108" t="str">
            <v xml:space="preserve"> S</v>
          </cell>
          <cell r="G1108">
            <v>36796.261805555558</v>
          </cell>
          <cell r="H1108" t="str">
            <v xml:space="preserve"> BTU</v>
          </cell>
        </row>
        <row r="1109">
          <cell r="A1109" t="str">
            <v xml:space="preserve"> 56020BTU  </v>
          </cell>
          <cell r="B1109" t="e">
            <v>#NAME?</v>
          </cell>
          <cell r="C1109">
            <v>1000</v>
          </cell>
          <cell r="D1109" t="str">
            <v xml:space="preserve">   BTU</v>
          </cell>
          <cell r="E1109" t="str">
            <v xml:space="preserve">    </v>
          </cell>
          <cell r="F1109" t="str">
            <v xml:space="preserve"> S</v>
          </cell>
          <cell r="G1109">
            <v>36796.261805555558</v>
          </cell>
          <cell r="H1109" t="str">
            <v xml:space="preserve"> BTU</v>
          </cell>
        </row>
        <row r="1110">
          <cell r="A1110" t="str">
            <v xml:space="preserve"> 56031BTU  </v>
          </cell>
          <cell r="B1110" t="e">
            <v>#NAME?</v>
          </cell>
          <cell r="C1110">
            <v>1013</v>
          </cell>
          <cell r="D1110" t="str">
            <v xml:space="preserve">   BTU</v>
          </cell>
          <cell r="E1110" t="str">
            <v xml:space="preserve">    </v>
          </cell>
          <cell r="F1110" t="str">
            <v xml:space="preserve"> S</v>
          </cell>
          <cell r="G1110">
            <v>36796.261805555558</v>
          </cell>
          <cell r="H1110" t="str">
            <v xml:space="preserve"> BTU</v>
          </cell>
        </row>
        <row r="1111">
          <cell r="A1111" t="str">
            <v xml:space="preserve"> 56032BTU  </v>
          </cell>
          <cell r="B1111" t="e">
            <v>#NAME?</v>
          </cell>
          <cell r="C1111">
            <v>1018</v>
          </cell>
          <cell r="D1111" t="str">
            <v xml:space="preserve">   BTU</v>
          </cell>
          <cell r="E1111" t="str">
            <v xml:space="preserve">    </v>
          </cell>
          <cell r="F1111" t="str">
            <v xml:space="preserve"> S</v>
          </cell>
          <cell r="G1111">
            <v>36796.261805555558</v>
          </cell>
          <cell r="H1111" t="str">
            <v xml:space="preserve"> BTU</v>
          </cell>
        </row>
        <row r="1112">
          <cell r="A1112" t="str">
            <v xml:space="preserve"> 620614BTU </v>
          </cell>
          <cell r="B1112" t="e">
            <v>#NAME?</v>
          </cell>
          <cell r="C1112">
            <v>0</v>
          </cell>
          <cell r="D1112" t="str">
            <v xml:space="preserve">   BTU</v>
          </cell>
          <cell r="E1112" t="str">
            <v>UNAV</v>
          </cell>
          <cell r="F1112" t="str">
            <v xml:space="preserve"> S</v>
          </cell>
          <cell r="G1112">
            <v>36796.261805555558</v>
          </cell>
          <cell r="H1112" t="str">
            <v xml:space="preserve"> BTU</v>
          </cell>
        </row>
        <row r="1113">
          <cell r="A1113" t="str">
            <v xml:space="preserve"> 621300BTU </v>
          </cell>
          <cell r="B1113" t="e">
            <v>#NAME?</v>
          </cell>
          <cell r="C1113">
            <v>0</v>
          </cell>
          <cell r="D1113" t="str">
            <v xml:space="preserve">   BTU</v>
          </cell>
          <cell r="E1113" t="str">
            <v>UNAV</v>
          </cell>
          <cell r="F1113" t="str">
            <v xml:space="preserve"> S</v>
          </cell>
          <cell r="G1113">
            <v>36796.261805555558</v>
          </cell>
          <cell r="H1113" t="str">
            <v xml:space="preserve"> BTU</v>
          </cell>
        </row>
        <row r="1114">
          <cell r="A1114" t="str">
            <v xml:space="preserve"> 16297-PR  </v>
          </cell>
          <cell r="B1114" t="str">
            <v xml:space="preserve">PRESS.         </v>
          </cell>
          <cell r="C1114">
            <v>702.47045900000001</v>
          </cell>
          <cell r="D1114" t="str">
            <v xml:space="preserve">  PSIG</v>
          </cell>
          <cell r="E1114" t="str">
            <v xml:space="preserve">    </v>
          </cell>
          <cell r="F1114" t="str">
            <v xml:space="preserve"> S</v>
          </cell>
          <cell r="G1114">
            <v>36796.257638888892</v>
          </cell>
          <cell r="H1114" t="str">
            <v xml:space="preserve"> PRE</v>
          </cell>
        </row>
        <row r="1115">
          <cell r="A1115" t="str">
            <v xml:space="preserve"> 16354-CPR </v>
          </cell>
          <cell r="B1115" t="str">
            <v xml:space="preserve">SEAHAWK PRES   </v>
          </cell>
          <cell r="C1115">
            <v>846.40167199999996</v>
          </cell>
          <cell r="D1115" t="str">
            <v xml:space="preserve">  PSIG</v>
          </cell>
          <cell r="E1115" t="str">
            <v xml:space="preserve">    </v>
          </cell>
          <cell r="F1115" t="str">
            <v xml:space="preserve"> S</v>
          </cell>
          <cell r="G1115">
            <v>36796.258333333331</v>
          </cell>
          <cell r="H1115" t="str">
            <v xml:space="preserve"> PRE</v>
          </cell>
        </row>
        <row r="1116">
          <cell r="A1116" t="str">
            <v xml:space="preserve"> 16354-PR  </v>
          </cell>
          <cell r="B1116" t="str">
            <v xml:space="preserve">CIG PRESSURE   </v>
          </cell>
          <cell r="C1116">
            <v>843.25457800000004</v>
          </cell>
          <cell r="D1116" t="str">
            <v xml:space="preserve">  PSIG</v>
          </cell>
          <cell r="E1116" t="str">
            <v xml:space="preserve">    </v>
          </cell>
          <cell r="F1116" t="str">
            <v xml:space="preserve"> S</v>
          </cell>
          <cell r="G1116">
            <v>36796.258333333331</v>
          </cell>
          <cell r="H1116" t="str">
            <v xml:space="preserve"> PRE</v>
          </cell>
        </row>
        <row r="1117">
          <cell r="A1117" t="str">
            <v xml:space="preserve"> 26081-PR  </v>
          </cell>
          <cell r="B1117" t="str">
            <v xml:space="preserve">CIG PRESS      </v>
          </cell>
          <cell r="C1117">
            <v>823.84533699999997</v>
          </cell>
          <cell r="D1117" t="str">
            <v xml:space="preserve">  PSIG</v>
          </cell>
          <cell r="E1117" t="str">
            <v xml:space="preserve">    </v>
          </cell>
          <cell r="F1117" t="str">
            <v xml:space="preserve"> S</v>
          </cell>
          <cell r="G1117">
            <v>36796.256249999999</v>
          </cell>
          <cell r="H1117" t="str">
            <v xml:space="preserve"> PRE</v>
          </cell>
        </row>
        <row r="1118">
          <cell r="A1118" t="str">
            <v xml:space="preserve"> 26114-PR  </v>
          </cell>
          <cell r="B1118" t="str">
            <v xml:space="preserve">PRESSURE       </v>
          </cell>
          <cell r="C1118">
            <v>595.4375</v>
          </cell>
          <cell r="D1118" t="str">
            <v xml:space="preserve">  PSIG</v>
          </cell>
          <cell r="E1118" t="str">
            <v xml:space="preserve">    </v>
          </cell>
          <cell r="F1118" t="str">
            <v xml:space="preserve"> S</v>
          </cell>
          <cell r="G1118">
            <v>36796.252083333333</v>
          </cell>
          <cell r="H1118" t="str">
            <v xml:space="preserve"> PRE</v>
          </cell>
        </row>
        <row r="1119">
          <cell r="A1119" t="str">
            <v xml:space="preserve"> 26153-PR  </v>
          </cell>
          <cell r="B1119" t="str">
            <v xml:space="preserve">PRESS.         </v>
          </cell>
          <cell r="C1119">
            <v>598.28143299999999</v>
          </cell>
          <cell r="D1119" t="str">
            <v xml:space="preserve">  PSIG</v>
          </cell>
          <cell r="E1119" t="str">
            <v xml:space="preserve">    </v>
          </cell>
          <cell r="F1119" t="str">
            <v xml:space="preserve"> S</v>
          </cell>
          <cell r="G1119">
            <v>36796.256944444445</v>
          </cell>
          <cell r="H1119" t="str">
            <v xml:space="preserve"> PRE</v>
          </cell>
        </row>
        <row r="1120">
          <cell r="A1120" t="str">
            <v xml:space="preserve"> 26164-PR  </v>
          </cell>
          <cell r="B1120" t="str">
            <v xml:space="preserve">PRESSURE       </v>
          </cell>
          <cell r="C1120">
            <v>702.47045900000001</v>
          </cell>
          <cell r="D1120" t="str">
            <v xml:space="preserve">  PSIG</v>
          </cell>
          <cell r="E1120" t="str">
            <v xml:space="preserve">    </v>
          </cell>
          <cell r="F1120" t="str">
            <v xml:space="preserve"> S</v>
          </cell>
          <cell r="G1120">
            <v>36796.257638888892</v>
          </cell>
          <cell r="H1120" t="str">
            <v xml:space="preserve"> PRE</v>
          </cell>
        </row>
        <row r="1121">
          <cell r="A1121" t="str">
            <v xml:space="preserve"> 26167-PR  </v>
          </cell>
          <cell r="B1121" t="str">
            <v xml:space="preserve">PRESS.         </v>
          </cell>
          <cell r="C1121">
            <v>634.80127000000005</v>
          </cell>
          <cell r="D1121" t="str">
            <v xml:space="preserve">  PSIG</v>
          </cell>
          <cell r="E1121" t="str">
            <v xml:space="preserve">    </v>
          </cell>
          <cell r="F1121" t="str">
            <v xml:space="preserve"> S</v>
          </cell>
          <cell r="G1121">
            <v>36796.256249999999</v>
          </cell>
          <cell r="H1121" t="str">
            <v xml:space="preserve"> PRE</v>
          </cell>
        </row>
        <row r="1122">
          <cell r="A1122" t="str">
            <v xml:space="preserve"> 26215-PR  </v>
          </cell>
          <cell r="B1122" t="str">
            <v xml:space="preserve">PRESS          </v>
          </cell>
          <cell r="C1122">
            <v>0</v>
          </cell>
          <cell r="D1122" t="str">
            <v xml:space="preserve">  PSIG</v>
          </cell>
          <cell r="E1122" t="str">
            <v>UNAV</v>
          </cell>
          <cell r="F1122" t="str">
            <v xml:space="preserve"> S</v>
          </cell>
          <cell r="G1122">
            <v>36796.261805555558</v>
          </cell>
          <cell r="H1122" t="str">
            <v xml:space="preserve"> PRE</v>
          </cell>
        </row>
        <row r="1123">
          <cell r="A1123" t="str">
            <v xml:space="preserve"> 56001-DN  </v>
          </cell>
          <cell r="B1123" t="str">
            <v xml:space="preserve">               </v>
          </cell>
          <cell r="C1123">
            <v>0</v>
          </cell>
          <cell r="D1123" t="str">
            <v xml:space="preserve">  PSIG</v>
          </cell>
          <cell r="E1123" t="str">
            <v>UNAV</v>
          </cell>
          <cell r="F1123" t="str">
            <v xml:space="preserve"> S</v>
          </cell>
          <cell r="G1123">
            <v>36796.261805555558</v>
          </cell>
          <cell r="H1123" t="str">
            <v xml:space="preserve"> PRE</v>
          </cell>
        </row>
        <row r="1124">
          <cell r="A1124" t="str">
            <v xml:space="preserve"> 56001-PDN </v>
          </cell>
          <cell r="B1124" t="str">
            <v xml:space="preserve">PRI. BYPASS    </v>
          </cell>
          <cell r="C1124">
            <v>0</v>
          </cell>
          <cell r="D1124" t="str">
            <v xml:space="preserve">  PSIG</v>
          </cell>
          <cell r="E1124" t="str">
            <v>UNAV</v>
          </cell>
          <cell r="F1124" t="str">
            <v xml:space="preserve"> S</v>
          </cell>
          <cell r="G1124">
            <v>36796.261805555558</v>
          </cell>
          <cell r="H1124" t="str">
            <v xml:space="preserve"> PRE</v>
          </cell>
        </row>
        <row r="1125">
          <cell r="A1125" t="str">
            <v xml:space="preserve"> 802-UP    </v>
          </cell>
          <cell r="B1125" t="str">
            <v xml:space="preserve">UPSTREAM PR    </v>
          </cell>
          <cell r="C1125">
            <v>786.78839100000005</v>
          </cell>
          <cell r="D1125" t="str">
            <v xml:space="preserve">  PSIG</v>
          </cell>
          <cell r="E1125" t="str">
            <v xml:space="preserve">    </v>
          </cell>
          <cell r="F1125" t="str">
            <v xml:space="preserve"> S</v>
          </cell>
          <cell r="G1125">
            <v>36796.259027777778</v>
          </cell>
          <cell r="H1125" t="str">
            <v xml:space="preserve"> PRE</v>
          </cell>
        </row>
        <row r="1126">
          <cell r="A1126" t="str">
            <v xml:space="preserve"> 802-DN    </v>
          </cell>
          <cell r="B1126" t="str">
            <v xml:space="preserve">DOWNSTREAM P   </v>
          </cell>
          <cell r="C1126">
            <v>787.05694600000004</v>
          </cell>
          <cell r="D1126" t="str">
            <v xml:space="preserve">  PSIG</v>
          </cell>
          <cell r="E1126" t="str">
            <v xml:space="preserve">    </v>
          </cell>
          <cell r="F1126" t="str">
            <v xml:space="preserve"> S</v>
          </cell>
          <cell r="G1126">
            <v>36796.259027777778</v>
          </cell>
          <cell r="H1126" t="str">
            <v xml:space="preserve"> PRE</v>
          </cell>
        </row>
        <row r="1127">
          <cell r="A1127" t="str">
            <v xml:space="preserve"> 804-S     </v>
          </cell>
          <cell r="B1127" t="str">
            <v xml:space="preserve">SUCT. PRESS    </v>
          </cell>
          <cell r="C1127">
            <v>738</v>
          </cell>
          <cell r="D1127" t="str">
            <v xml:space="preserve">  PSIG</v>
          </cell>
          <cell r="E1127" t="str">
            <v xml:space="preserve">    </v>
          </cell>
          <cell r="F1127" t="str">
            <v xml:space="preserve"> S</v>
          </cell>
          <cell r="G1127">
            <v>36796.261805555558</v>
          </cell>
          <cell r="H1127" t="str">
            <v xml:space="preserve"> PRE</v>
          </cell>
        </row>
        <row r="1128">
          <cell r="A1128" t="str">
            <v xml:space="preserve"> 804-D     </v>
          </cell>
          <cell r="B1128" t="str">
            <v xml:space="preserve">DISCH. PRESS   </v>
          </cell>
          <cell r="C1128">
            <v>736</v>
          </cell>
          <cell r="D1128" t="str">
            <v xml:space="preserve">  PSIG</v>
          </cell>
          <cell r="E1128" t="str">
            <v xml:space="preserve">    </v>
          </cell>
          <cell r="F1128" t="str">
            <v xml:space="preserve"> S</v>
          </cell>
          <cell r="G1128">
            <v>36796.261805555558</v>
          </cell>
          <cell r="H1128" t="str">
            <v xml:space="preserve"> PRE</v>
          </cell>
        </row>
        <row r="1129">
          <cell r="A1129" t="str">
            <v xml:space="preserve"> 806-S     </v>
          </cell>
          <cell r="B1129" t="str">
            <v xml:space="preserve">SUCT PRESS     </v>
          </cell>
          <cell r="C1129">
            <v>700.48199499999998</v>
          </cell>
          <cell r="D1129" t="str">
            <v xml:space="preserve">  PSIG</v>
          </cell>
          <cell r="E1129" t="str">
            <v>COMM</v>
          </cell>
          <cell r="F1129" t="str">
            <v xml:space="preserve"> S</v>
          </cell>
          <cell r="G1129">
            <v>36796.259722222225</v>
          </cell>
          <cell r="H1129" t="str">
            <v xml:space="preserve"> PRE</v>
          </cell>
        </row>
        <row r="1130">
          <cell r="A1130" t="str">
            <v xml:space="preserve"> 806-D     </v>
          </cell>
          <cell r="B1130" t="str">
            <v xml:space="preserve">DISCH PRESS    </v>
          </cell>
          <cell r="C1130">
            <v>887.07800299999997</v>
          </cell>
          <cell r="D1130" t="str">
            <v xml:space="preserve">  PSIG</v>
          </cell>
          <cell r="E1130" t="str">
            <v>COMM</v>
          </cell>
          <cell r="F1130" t="str">
            <v xml:space="preserve"> S</v>
          </cell>
          <cell r="G1130">
            <v>36796.259722222225</v>
          </cell>
          <cell r="H1130" t="str">
            <v xml:space="preserve"> PRE</v>
          </cell>
        </row>
        <row r="1131">
          <cell r="A1131" t="str">
            <v xml:space="preserve"> 809-S     </v>
          </cell>
          <cell r="B1131" t="str">
            <v xml:space="preserve">SUCT PRESS     </v>
          </cell>
          <cell r="C1131">
            <v>805.103027</v>
          </cell>
          <cell r="D1131" t="str">
            <v xml:space="preserve">  PSIG</v>
          </cell>
          <cell r="E1131" t="str">
            <v>COMM</v>
          </cell>
          <cell r="F1131" t="str">
            <v xml:space="preserve"> S</v>
          </cell>
          <cell r="G1131">
            <v>36796.259722222225</v>
          </cell>
          <cell r="H1131" t="str">
            <v xml:space="preserve"> PRE</v>
          </cell>
        </row>
        <row r="1132">
          <cell r="A1132" t="str">
            <v xml:space="preserve"> 809-D     </v>
          </cell>
          <cell r="B1132" t="str">
            <v xml:space="preserve">DISCH PRESS    </v>
          </cell>
          <cell r="C1132">
            <v>803.02801499999998</v>
          </cell>
          <cell r="D1132" t="str">
            <v xml:space="preserve">  PSIG</v>
          </cell>
          <cell r="E1132" t="str">
            <v>COMM</v>
          </cell>
          <cell r="F1132" t="str">
            <v xml:space="preserve"> S</v>
          </cell>
          <cell r="G1132">
            <v>36796.259722222225</v>
          </cell>
          <cell r="H1132" t="str">
            <v xml:space="preserve"> PRE</v>
          </cell>
        </row>
        <row r="1133">
          <cell r="A1133" t="str">
            <v xml:space="preserve"> 812-1A-UP </v>
          </cell>
          <cell r="B1133" t="str">
            <v xml:space="preserve">UPSTREAM PRE   </v>
          </cell>
          <cell r="C1133">
            <v>729.591858</v>
          </cell>
          <cell r="D1133" t="str">
            <v xml:space="preserve">  PSIG</v>
          </cell>
          <cell r="E1133" t="str">
            <v xml:space="preserve">    </v>
          </cell>
          <cell r="F1133" t="str">
            <v xml:space="preserve"> S</v>
          </cell>
          <cell r="G1133">
            <v>36796.259027777778</v>
          </cell>
          <cell r="H1133" t="str">
            <v xml:space="preserve"> PRE</v>
          </cell>
        </row>
        <row r="1134">
          <cell r="A1134" t="str">
            <v xml:space="preserve"> 812-1A-DN </v>
          </cell>
          <cell r="B1134" t="str">
            <v xml:space="preserve">DOWNSTREAM     </v>
          </cell>
          <cell r="C1134">
            <v>722.07299799999998</v>
          </cell>
          <cell r="D1134" t="str">
            <v xml:space="preserve">  PSIG</v>
          </cell>
          <cell r="E1134" t="str">
            <v xml:space="preserve">    </v>
          </cell>
          <cell r="F1134" t="str">
            <v xml:space="preserve"> S</v>
          </cell>
          <cell r="G1134">
            <v>36796.258333333331</v>
          </cell>
          <cell r="H1134" t="str">
            <v xml:space="preserve"> PRE</v>
          </cell>
        </row>
        <row r="1135">
          <cell r="A1135" t="str">
            <v xml:space="preserve"> 813-PR    </v>
          </cell>
          <cell r="B1135" t="str">
            <v xml:space="preserve">MLV 813 PRES   </v>
          </cell>
          <cell r="C1135">
            <v>703.54455600000006</v>
          </cell>
          <cell r="D1135" t="str">
            <v xml:space="preserve">  PSIG</v>
          </cell>
          <cell r="E1135" t="str">
            <v xml:space="preserve">    </v>
          </cell>
          <cell r="F1135" t="str">
            <v xml:space="preserve"> S</v>
          </cell>
          <cell r="G1135">
            <v>36796.259027777778</v>
          </cell>
          <cell r="H1135" t="str">
            <v xml:space="preserve"> PRE</v>
          </cell>
        </row>
        <row r="1136">
          <cell r="A1136" t="str">
            <v xml:space="preserve"> 56006-PR  </v>
          </cell>
          <cell r="B1136" t="str">
            <v xml:space="preserve">PRESS.         </v>
          </cell>
          <cell r="C1136">
            <v>824.65087900000003</v>
          </cell>
          <cell r="D1136" t="str">
            <v xml:space="preserve">  PSIG</v>
          </cell>
          <cell r="E1136" t="str">
            <v xml:space="preserve">    </v>
          </cell>
          <cell r="F1136" t="str">
            <v xml:space="preserve"> S</v>
          </cell>
          <cell r="G1136">
            <v>36796.256249999999</v>
          </cell>
          <cell r="H1136" t="str">
            <v xml:space="preserve"> PRE</v>
          </cell>
        </row>
        <row r="1137">
          <cell r="A1137" t="str">
            <v xml:space="preserve"> 56001-PR  </v>
          </cell>
          <cell r="B1137" t="str">
            <v xml:space="preserve">PRESSURE       </v>
          </cell>
          <cell r="C1137">
            <v>632.78735400000005</v>
          </cell>
          <cell r="D1137" t="str">
            <v xml:space="preserve">  PSIG</v>
          </cell>
          <cell r="E1137" t="str">
            <v xml:space="preserve">    </v>
          </cell>
          <cell r="F1137" t="str">
            <v xml:space="preserve"> S</v>
          </cell>
          <cell r="G1137">
            <v>36796.257638888892</v>
          </cell>
          <cell r="H1137" t="str">
            <v xml:space="preserve"> PRE</v>
          </cell>
        </row>
        <row r="1138">
          <cell r="A1138" t="str">
            <v xml:space="preserve"> 26157-PR  </v>
          </cell>
          <cell r="B1138" t="str">
            <v xml:space="preserve">PRESS          </v>
          </cell>
          <cell r="C1138">
            <v>632.65307600000006</v>
          </cell>
          <cell r="D1138" t="str">
            <v xml:space="preserve">  PSIG</v>
          </cell>
          <cell r="E1138" t="str">
            <v xml:space="preserve">    </v>
          </cell>
          <cell r="F1138" t="str">
            <v xml:space="preserve"> S</v>
          </cell>
          <cell r="G1138">
            <v>36796.261111111111</v>
          </cell>
          <cell r="H1138" t="str">
            <v xml:space="preserve"> PRE</v>
          </cell>
        </row>
        <row r="1139">
          <cell r="A1139" t="str">
            <v xml:space="preserve"> 26156-PR  </v>
          </cell>
          <cell r="B1139" t="str">
            <v xml:space="preserve">TGP PRESSURE   </v>
          </cell>
          <cell r="C1139">
            <v>876.47686799999997</v>
          </cell>
          <cell r="D1139" t="str">
            <v xml:space="preserve">  PSIG</v>
          </cell>
          <cell r="E1139" t="str">
            <v>COMM</v>
          </cell>
          <cell r="F1139" t="str">
            <v xml:space="preserve"> S</v>
          </cell>
          <cell r="G1139">
            <v>36796.260416666664</v>
          </cell>
          <cell r="H1139" t="str">
            <v xml:space="preserve"> PRE</v>
          </cell>
        </row>
        <row r="1140">
          <cell r="A1140" t="str">
            <v xml:space="preserve"> 26083-GT  </v>
          </cell>
          <cell r="B1140" t="str">
            <v xml:space="preserve">GAS TEMP       </v>
          </cell>
          <cell r="C1140">
            <v>79.712676999999999</v>
          </cell>
          <cell r="D1140" t="str">
            <v xml:space="preserve">  DEGF</v>
          </cell>
          <cell r="E1140" t="str">
            <v xml:space="preserve">    </v>
          </cell>
          <cell r="F1140" t="str">
            <v xml:space="preserve"> S</v>
          </cell>
          <cell r="G1140">
            <v>36796.260416666664</v>
          </cell>
          <cell r="H1140" t="str">
            <v>TEMP</v>
          </cell>
        </row>
        <row r="1141">
          <cell r="A1141" t="str">
            <v xml:space="preserve"> 16340-GT  </v>
          </cell>
          <cell r="B1141" t="str">
            <v xml:space="preserve">GAS TEMP       </v>
          </cell>
          <cell r="C1141">
            <v>0</v>
          </cell>
          <cell r="D1141" t="str">
            <v xml:space="preserve">  DEGF</v>
          </cell>
          <cell r="E1141" t="str">
            <v>UNAV</v>
          </cell>
          <cell r="F1141" t="str">
            <v xml:space="preserve"> S</v>
          </cell>
          <cell r="G1141">
            <v>36796.261805555558</v>
          </cell>
          <cell r="H1141" t="str">
            <v>TEMP</v>
          </cell>
        </row>
        <row r="1142">
          <cell r="A1142" t="str">
            <v xml:space="preserve"> 804-DT    </v>
          </cell>
          <cell r="B1142" t="str">
            <v xml:space="preserve">DISCH. TEMP    </v>
          </cell>
          <cell r="C1142">
            <v>-5.8000002000000004</v>
          </cell>
          <cell r="D1142" t="str">
            <v xml:space="preserve">  DEGF</v>
          </cell>
          <cell r="E1142" t="str">
            <v xml:space="preserve">    </v>
          </cell>
          <cell r="F1142" t="str">
            <v xml:space="preserve"> S</v>
          </cell>
          <cell r="G1142">
            <v>36796.261805555558</v>
          </cell>
          <cell r="H1142" t="str">
            <v>TEMP</v>
          </cell>
        </row>
        <row r="1143">
          <cell r="A1143" t="str">
            <v xml:space="preserve"> 806-ST    </v>
          </cell>
          <cell r="B1143" t="str">
            <v xml:space="preserve">               </v>
          </cell>
          <cell r="C1143">
            <v>0</v>
          </cell>
          <cell r="D1143" t="str">
            <v xml:space="preserve">  DEGF</v>
          </cell>
          <cell r="E1143" t="str">
            <v>UNAV</v>
          </cell>
          <cell r="F1143" t="str">
            <v xml:space="preserve"> S</v>
          </cell>
          <cell r="G1143">
            <v>36796.261805555558</v>
          </cell>
          <cell r="H1143" t="str">
            <v>TEMP</v>
          </cell>
        </row>
        <row r="1144">
          <cell r="A1144" t="str">
            <v xml:space="preserve"> 806-DT    </v>
          </cell>
          <cell r="B1144" t="str">
            <v xml:space="preserve">               </v>
          </cell>
          <cell r="C1144">
            <v>0</v>
          </cell>
          <cell r="D1144" t="str">
            <v xml:space="preserve">  DEGF</v>
          </cell>
          <cell r="E1144" t="str">
            <v>UNAV</v>
          </cell>
          <cell r="F1144" t="str">
            <v xml:space="preserve"> S</v>
          </cell>
          <cell r="G1144">
            <v>36796.261805555558</v>
          </cell>
          <cell r="H1144" t="str">
            <v>TEMP</v>
          </cell>
        </row>
        <row r="1145">
          <cell r="A1145" t="str">
            <v xml:space="preserve"> 809-ST    </v>
          </cell>
          <cell r="B1145" t="str">
            <v xml:space="preserve">SUCT. TEMP     </v>
          </cell>
          <cell r="C1145">
            <v>0</v>
          </cell>
          <cell r="D1145" t="str">
            <v xml:space="preserve">  DEGF</v>
          </cell>
          <cell r="E1145" t="str">
            <v>UNAV</v>
          </cell>
          <cell r="F1145" t="str">
            <v xml:space="preserve"> S</v>
          </cell>
          <cell r="G1145">
            <v>36796.261805555558</v>
          </cell>
          <cell r="H1145" t="str">
            <v>TEMP</v>
          </cell>
        </row>
        <row r="1146">
          <cell r="A1146" t="str">
            <v xml:space="preserve"> 809-DT    </v>
          </cell>
          <cell r="B1146" t="str">
            <v xml:space="preserve">DISCH. TEMP.   </v>
          </cell>
          <cell r="C1146">
            <v>0</v>
          </cell>
          <cell r="D1146" t="str">
            <v xml:space="preserve">  DEGF</v>
          </cell>
          <cell r="E1146" t="str">
            <v>UNAV</v>
          </cell>
          <cell r="F1146" t="str">
            <v xml:space="preserve"> S</v>
          </cell>
          <cell r="G1146">
            <v>36796.261805555558</v>
          </cell>
          <cell r="H1146" t="str">
            <v>TEMP</v>
          </cell>
        </row>
        <row r="1147">
          <cell r="A1147" t="str">
            <v xml:space="preserve"> 16088-GT  </v>
          </cell>
          <cell r="B1147" t="str">
            <v xml:space="preserve">GAS TEMP       </v>
          </cell>
          <cell r="C1147">
            <v>79.162193299999998</v>
          </cell>
          <cell r="D1147" t="str">
            <v xml:space="preserve">  DEGF</v>
          </cell>
          <cell r="E1147" t="str">
            <v xml:space="preserve">    </v>
          </cell>
          <cell r="F1147" t="str">
            <v xml:space="preserve"> S</v>
          </cell>
          <cell r="G1147">
            <v>36796.259722222225</v>
          </cell>
          <cell r="H1147" t="str">
            <v>TEMP</v>
          </cell>
        </row>
        <row r="1148">
          <cell r="A1148" t="str">
            <v xml:space="preserve"> 26006-GT  </v>
          </cell>
          <cell r="B1148" t="str">
            <v xml:space="preserve">GAS TEMP.      </v>
          </cell>
          <cell r="C1148">
            <v>78.262619000000001</v>
          </cell>
          <cell r="D1148" t="str">
            <v xml:space="preserve">  DEGF</v>
          </cell>
          <cell r="E1148" t="str">
            <v xml:space="preserve">    </v>
          </cell>
          <cell r="F1148" t="str">
            <v xml:space="preserve"> S</v>
          </cell>
          <cell r="G1148">
            <v>36796.255555555559</v>
          </cell>
          <cell r="H1148" t="str">
            <v>TEMP</v>
          </cell>
        </row>
        <row r="1149">
          <cell r="A1149" t="str">
            <v xml:space="preserve"> 26157-GT  </v>
          </cell>
          <cell r="B1149" t="str">
            <v xml:space="preserve">GAS TEMP.      </v>
          </cell>
          <cell r="C1149">
            <v>74.543502799999999</v>
          </cell>
          <cell r="D1149" t="str">
            <v xml:space="preserve">  DEGF</v>
          </cell>
          <cell r="E1149" t="str">
            <v xml:space="preserve">    </v>
          </cell>
          <cell r="F1149" t="str">
            <v xml:space="preserve"> S</v>
          </cell>
          <cell r="G1149">
            <v>36796.261111111111</v>
          </cell>
          <cell r="H1149" t="str">
            <v>TEMP</v>
          </cell>
        </row>
        <row r="1150">
          <cell r="A1150" t="str">
            <v xml:space="preserve"> 16179-GT  </v>
          </cell>
          <cell r="B1150" t="str">
            <v xml:space="preserve">GAS TEMP.      </v>
          </cell>
          <cell r="C1150">
            <v>51.987110100000002</v>
          </cell>
          <cell r="D1150" t="str">
            <v xml:space="preserve">  DEGF</v>
          </cell>
          <cell r="E1150" t="str">
            <v xml:space="preserve">    </v>
          </cell>
          <cell r="F1150" t="str">
            <v xml:space="preserve"> S</v>
          </cell>
          <cell r="G1150">
            <v>36796.260416666664</v>
          </cell>
          <cell r="H1150" t="str">
            <v>TEMP</v>
          </cell>
        </row>
        <row r="1151">
          <cell r="A1151" t="str">
            <v xml:space="preserve"> 402-A01R  </v>
          </cell>
          <cell r="B1151" t="str">
            <v xml:space="preserve">RUN            </v>
          </cell>
          <cell r="C1151">
            <v>0</v>
          </cell>
          <cell r="D1151" t="str">
            <v xml:space="preserve">      </v>
          </cell>
          <cell r="E1151" t="str">
            <v xml:space="preserve">    </v>
          </cell>
          <cell r="F1151" t="str">
            <v xml:space="preserve"> S</v>
          </cell>
          <cell r="G1151">
            <v>36796.258333333331</v>
          </cell>
          <cell r="H1151" t="str">
            <v>BSTS</v>
          </cell>
        </row>
        <row r="1152">
          <cell r="A1152" t="str">
            <v xml:space="preserve"> 402-A01A  </v>
          </cell>
          <cell r="B1152" t="str">
            <v xml:space="preserve">AV             </v>
          </cell>
          <cell r="C1152">
            <v>1</v>
          </cell>
          <cell r="D1152" t="str">
            <v xml:space="preserve">      </v>
          </cell>
          <cell r="E1152" t="str">
            <v xml:space="preserve">    </v>
          </cell>
          <cell r="F1152" t="str">
            <v xml:space="preserve"> S</v>
          </cell>
          <cell r="G1152">
            <v>36796.258333333331</v>
          </cell>
          <cell r="H1152" t="str">
            <v>BSTS</v>
          </cell>
        </row>
        <row r="1153">
          <cell r="A1153" t="str">
            <v xml:space="preserve"> 402-A02R  </v>
          </cell>
          <cell r="B1153" t="str">
            <v xml:space="preserve">RUN            </v>
          </cell>
          <cell r="C1153">
            <v>0</v>
          </cell>
          <cell r="D1153" t="str">
            <v xml:space="preserve">      </v>
          </cell>
          <cell r="E1153" t="str">
            <v xml:space="preserve">    </v>
          </cell>
          <cell r="F1153" t="str">
            <v xml:space="preserve"> S</v>
          </cell>
          <cell r="G1153">
            <v>36796.258333333331</v>
          </cell>
          <cell r="H1153" t="str">
            <v>BSTS</v>
          </cell>
        </row>
        <row r="1154">
          <cell r="A1154" t="str">
            <v xml:space="preserve"> 402-A02A  </v>
          </cell>
          <cell r="B1154" t="str">
            <v xml:space="preserve">AV             </v>
          </cell>
          <cell r="C1154">
            <v>1</v>
          </cell>
          <cell r="D1154" t="str">
            <v xml:space="preserve">      </v>
          </cell>
          <cell r="E1154" t="str">
            <v xml:space="preserve">    </v>
          </cell>
          <cell r="F1154" t="str">
            <v xml:space="preserve"> S</v>
          </cell>
          <cell r="G1154">
            <v>36796.258333333331</v>
          </cell>
          <cell r="H1154" t="str">
            <v>BSTS</v>
          </cell>
        </row>
        <row r="1155">
          <cell r="A1155" t="str">
            <v xml:space="preserve"> 804-A01R  </v>
          </cell>
          <cell r="B1155" t="str">
            <v xml:space="preserve">RUN            </v>
          </cell>
          <cell r="C1155">
            <v>0</v>
          </cell>
          <cell r="D1155" t="str">
            <v xml:space="preserve">      </v>
          </cell>
          <cell r="E1155" t="str">
            <v xml:space="preserve">    </v>
          </cell>
          <cell r="F1155" t="str">
            <v xml:space="preserve"> S</v>
          </cell>
          <cell r="G1155">
            <v>36796.261805555558</v>
          </cell>
          <cell r="H1155" t="str">
            <v>BSTS</v>
          </cell>
        </row>
        <row r="1156">
          <cell r="A1156" t="str">
            <v xml:space="preserve"> 804-A01A  </v>
          </cell>
          <cell r="B1156" t="str">
            <v xml:space="preserve">AV             </v>
          </cell>
          <cell r="C1156">
            <v>1</v>
          </cell>
          <cell r="D1156" t="str">
            <v xml:space="preserve">      </v>
          </cell>
          <cell r="E1156" t="str">
            <v xml:space="preserve">    </v>
          </cell>
          <cell r="F1156" t="str">
            <v xml:space="preserve"> S</v>
          </cell>
          <cell r="G1156">
            <v>36796.261805555558</v>
          </cell>
          <cell r="H1156" t="str">
            <v>BSTS</v>
          </cell>
        </row>
        <row r="1157">
          <cell r="A1157" t="str">
            <v xml:space="preserve"> 804-A02R  </v>
          </cell>
          <cell r="B1157" t="str">
            <v xml:space="preserve">RUN            </v>
          </cell>
          <cell r="C1157">
            <v>0</v>
          </cell>
          <cell r="D1157" t="str">
            <v xml:space="preserve">      </v>
          </cell>
          <cell r="E1157" t="str">
            <v xml:space="preserve">    </v>
          </cell>
          <cell r="F1157" t="str">
            <v xml:space="preserve"> S</v>
          </cell>
          <cell r="G1157">
            <v>36796.261805555558</v>
          </cell>
          <cell r="H1157" t="str">
            <v>BSTS</v>
          </cell>
        </row>
        <row r="1158">
          <cell r="A1158" t="str">
            <v xml:space="preserve"> 804-A02A  </v>
          </cell>
          <cell r="B1158" t="str">
            <v xml:space="preserve">AV             </v>
          </cell>
          <cell r="C1158">
            <v>1</v>
          </cell>
          <cell r="D1158" t="str">
            <v xml:space="preserve">      </v>
          </cell>
          <cell r="E1158" t="str">
            <v xml:space="preserve">    </v>
          </cell>
          <cell r="F1158" t="str">
            <v xml:space="preserve"> S</v>
          </cell>
          <cell r="G1158">
            <v>36796.261805555558</v>
          </cell>
          <cell r="H1158" t="str">
            <v>BSTS</v>
          </cell>
        </row>
        <row r="1159">
          <cell r="A1159" t="str">
            <v xml:space="preserve"> 806-A01R  </v>
          </cell>
          <cell r="B1159" t="str">
            <v xml:space="preserve">               </v>
          </cell>
          <cell r="C1159">
            <v>0</v>
          </cell>
          <cell r="D1159" t="str">
            <v xml:space="preserve">      </v>
          </cell>
          <cell r="E1159" t="str">
            <v>UNAV</v>
          </cell>
          <cell r="F1159" t="str">
            <v xml:space="preserve"> S</v>
          </cell>
          <cell r="G1159">
            <v>36796.261805555558</v>
          </cell>
          <cell r="H1159" t="str">
            <v>BSTS</v>
          </cell>
        </row>
        <row r="1160">
          <cell r="A1160" t="str">
            <v xml:space="preserve"> 806-A01A  </v>
          </cell>
          <cell r="B1160" t="str">
            <v xml:space="preserve">               </v>
          </cell>
          <cell r="C1160">
            <v>0</v>
          </cell>
          <cell r="D1160" t="str">
            <v xml:space="preserve">      </v>
          </cell>
          <cell r="E1160" t="str">
            <v>UNAV</v>
          </cell>
          <cell r="F1160" t="str">
            <v xml:space="preserve"> S</v>
          </cell>
          <cell r="G1160">
            <v>36796.261805555558</v>
          </cell>
          <cell r="H1160" t="str">
            <v>BSTS</v>
          </cell>
        </row>
        <row r="1161">
          <cell r="A1161" t="str">
            <v xml:space="preserve"> 806-A02R  </v>
          </cell>
          <cell r="B1161" t="str">
            <v xml:space="preserve">               </v>
          </cell>
          <cell r="C1161">
            <v>0</v>
          </cell>
          <cell r="D1161" t="str">
            <v xml:space="preserve">      </v>
          </cell>
          <cell r="E1161" t="str">
            <v>UNAV</v>
          </cell>
          <cell r="F1161" t="str">
            <v xml:space="preserve"> S</v>
          </cell>
          <cell r="G1161">
            <v>36796.261805555558</v>
          </cell>
          <cell r="H1161" t="str">
            <v>BSTS</v>
          </cell>
        </row>
        <row r="1162">
          <cell r="A1162" t="str">
            <v xml:space="preserve"> 806-A02A  </v>
          </cell>
          <cell r="B1162" t="str">
            <v xml:space="preserve">               </v>
          </cell>
          <cell r="C1162">
            <v>0</v>
          </cell>
          <cell r="D1162" t="str">
            <v xml:space="preserve">      </v>
          </cell>
          <cell r="E1162" t="str">
            <v>UNAV</v>
          </cell>
          <cell r="F1162" t="str">
            <v xml:space="preserve"> S</v>
          </cell>
          <cell r="G1162">
            <v>36796.261805555558</v>
          </cell>
          <cell r="H1162" t="str">
            <v>BSTS</v>
          </cell>
        </row>
        <row r="1163">
          <cell r="A1163" t="str">
            <v xml:space="preserve"> 806-A03R  </v>
          </cell>
          <cell r="B1163" t="str">
            <v xml:space="preserve">               </v>
          </cell>
          <cell r="C1163">
            <v>0</v>
          </cell>
          <cell r="D1163" t="str">
            <v xml:space="preserve">      </v>
          </cell>
          <cell r="E1163" t="str">
            <v>UNAV</v>
          </cell>
          <cell r="F1163" t="str">
            <v xml:space="preserve"> S</v>
          </cell>
          <cell r="G1163">
            <v>36796.261805555558</v>
          </cell>
          <cell r="H1163" t="str">
            <v>BSTS</v>
          </cell>
        </row>
        <row r="1164">
          <cell r="A1164" t="str">
            <v xml:space="preserve"> 806-A03A  </v>
          </cell>
          <cell r="B1164" t="str">
            <v xml:space="preserve">               </v>
          </cell>
          <cell r="C1164">
            <v>0</v>
          </cell>
          <cell r="D1164" t="str">
            <v xml:space="preserve">      </v>
          </cell>
          <cell r="E1164" t="str">
            <v>UNAV</v>
          </cell>
          <cell r="F1164" t="str">
            <v xml:space="preserve"> S</v>
          </cell>
          <cell r="G1164">
            <v>36796.261805555558</v>
          </cell>
          <cell r="H1164" t="str">
            <v>BSTS</v>
          </cell>
        </row>
        <row r="1165">
          <cell r="A1165" t="str">
            <v xml:space="preserve"> 809-A01R  </v>
          </cell>
          <cell r="B1165" t="str">
            <v xml:space="preserve">RUN            </v>
          </cell>
          <cell r="C1165">
            <v>0</v>
          </cell>
          <cell r="D1165" t="str">
            <v xml:space="preserve">      </v>
          </cell>
          <cell r="E1165" t="str">
            <v>UNAV</v>
          </cell>
          <cell r="F1165" t="str">
            <v xml:space="preserve"> S</v>
          </cell>
          <cell r="G1165">
            <v>36796.261805555558</v>
          </cell>
          <cell r="H1165" t="str">
            <v>BSTS</v>
          </cell>
        </row>
        <row r="1166">
          <cell r="A1166" t="str">
            <v xml:space="preserve"> 809-A01A  </v>
          </cell>
          <cell r="B1166" t="str">
            <v xml:space="preserve">AV             </v>
          </cell>
          <cell r="C1166">
            <v>0</v>
          </cell>
          <cell r="D1166" t="str">
            <v xml:space="preserve">      </v>
          </cell>
          <cell r="E1166" t="str">
            <v>UNAV</v>
          </cell>
          <cell r="F1166" t="str">
            <v xml:space="preserve"> S</v>
          </cell>
          <cell r="G1166">
            <v>36796.261805555558</v>
          </cell>
          <cell r="H1166" t="str">
            <v>BSTS</v>
          </cell>
        </row>
        <row r="1167">
          <cell r="A1167" t="str">
            <v xml:space="preserve"> 809-A02R  </v>
          </cell>
          <cell r="B1167" t="str">
            <v xml:space="preserve">RUN            </v>
          </cell>
          <cell r="C1167">
            <v>0</v>
          </cell>
          <cell r="D1167" t="str">
            <v xml:space="preserve">      </v>
          </cell>
          <cell r="E1167" t="str">
            <v>UNAV</v>
          </cell>
          <cell r="F1167" t="str">
            <v xml:space="preserve"> S</v>
          </cell>
          <cell r="G1167">
            <v>36796.261805555558</v>
          </cell>
          <cell r="H1167" t="str">
            <v>BSTS</v>
          </cell>
        </row>
        <row r="1168">
          <cell r="A1168" t="str">
            <v xml:space="preserve"> 809-A02A  </v>
          </cell>
          <cell r="B1168" t="str">
            <v xml:space="preserve">AV             </v>
          </cell>
          <cell r="C1168">
            <v>0</v>
          </cell>
          <cell r="D1168" t="str">
            <v xml:space="preserve">      </v>
          </cell>
          <cell r="E1168" t="str">
            <v>UNAV</v>
          </cell>
          <cell r="F1168" t="str">
            <v xml:space="preserve"> S</v>
          </cell>
          <cell r="G1168">
            <v>36796.261805555558</v>
          </cell>
          <cell r="H1168" t="str">
            <v>BSTS</v>
          </cell>
        </row>
        <row r="1169">
          <cell r="A1169" t="str">
            <v xml:space="preserve"> 809-A03R  </v>
          </cell>
          <cell r="B1169" t="str">
            <v xml:space="preserve">RUN            </v>
          </cell>
          <cell r="C1169">
            <v>0</v>
          </cell>
          <cell r="D1169" t="str">
            <v xml:space="preserve">      </v>
          </cell>
          <cell r="E1169" t="str">
            <v>UNAV</v>
          </cell>
          <cell r="F1169" t="str">
            <v xml:space="preserve"> S</v>
          </cell>
          <cell r="G1169">
            <v>36796.261805555558</v>
          </cell>
          <cell r="H1169" t="str">
            <v>BSTS</v>
          </cell>
        </row>
        <row r="1170">
          <cell r="A1170" t="str">
            <v xml:space="preserve"> 809-A03A  </v>
          </cell>
          <cell r="B1170" t="str">
            <v xml:space="preserve">AV             </v>
          </cell>
          <cell r="C1170">
            <v>0</v>
          </cell>
          <cell r="D1170" t="str">
            <v xml:space="preserve">      </v>
          </cell>
          <cell r="E1170" t="str">
            <v>UNAV</v>
          </cell>
          <cell r="F1170" t="str">
            <v xml:space="preserve"> S</v>
          </cell>
          <cell r="G1170">
            <v>36796.261805555558</v>
          </cell>
          <cell r="H1170" t="str">
            <v>BSTS</v>
          </cell>
        </row>
        <row r="1171">
          <cell r="A1171" t="str">
            <v xml:space="preserve"> 809-B01R  </v>
          </cell>
          <cell r="B1171" t="str">
            <v xml:space="preserve">RUN            </v>
          </cell>
          <cell r="C1171">
            <v>0</v>
          </cell>
          <cell r="D1171" t="str">
            <v xml:space="preserve">      </v>
          </cell>
          <cell r="E1171" t="str">
            <v>UNAV</v>
          </cell>
          <cell r="F1171" t="str">
            <v xml:space="preserve"> S</v>
          </cell>
          <cell r="G1171">
            <v>36796.261805555558</v>
          </cell>
          <cell r="H1171" t="str">
            <v>BSTS</v>
          </cell>
        </row>
        <row r="1172">
          <cell r="A1172" t="str">
            <v xml:space="preserve"> 809-B01A  </v>
          </cell>
          <cell r="B1172" t="str">
            <v xml:space="preserve">AV             </v>
          </cell>
          <cell r="C1172">
            <v>0</v>
          </cell>
          <cell r="D1172" t="str">
            <v xml:space="preserve">      </v>
          </cell>
          <cell r="E1172" t="str">
            <v>UNAV</v>
          </cell>
          <cell r="F1172" t="str">
            <v xml:space="preserve"> S</v>
          </cell>
          <cell r="G1172">
            <v>36796.261805555558</v>
          </cell>
          <cell r="H1172" t="str">
            <v>BSTS</v>
          </cell>
        </row>
        <row r="1173">
          <cell r="A1173" t="str">
            <v xml:space="preserve"> 812-A01R  </v>
          </cell>
          <cell r="B1173" t="str">
            <v xml:space="preserve">#1 RUN         </v>
          </cell>
          <cell r="C1173">
            <v>0</v>
          </cell>
          <cell r="D1173" t="str">
            <v xml:space="preserve">      </v>
          </cell>
          <cell r="E1173" t="str">
            <v xml:space="preserve">    </v>
          </cell>
          <cell r="F1173" t="str">
            <v xml:space="preserve"> S</v>
          </cell>
          <cell r="G1173">
            <v>36796.261805555558</v>
          </cell>
          <cell r="H1173" t="str">
            <v>BSTS</v>
          </cell>
        </row>
        <row r="1174">
          <cell r="A1174" t="str">
            <v xml:space="preserve"> 812-A01A  </v>
          </cell>
          <cell r="B1174" t="str">
            <v xml:space="preserve">#1 AVAIL.      </v>
          </cell>
          <cell r="C1174">
            <v>1</v>
          </cell>
          <cell r="D1174" t="str">
            <v xml:space="preserve">      </v>
          </cell>
          <cell r="E1174" t="str">
            <v xml:space="preserve">    </v>
          </cell>
          <cell r="F1174" t="str">
            <v xml:space="preserve"> S</v>
          </cell>
          <cell r="G1174">
            <v>36796.261805555558</v>
          </cell>
          <cell r="H1174" t="str">
            <v>BSTS</v>
          </cell>
        </row>
        <row r="1175">
          <cell r="A1175" t="str">
            <v xml:space="preserve"> 812-A02R  </v>
          </cell>
          <cell r="B1175" t="str">
            <v xml:space="preserve">#2 RUN         </v>
          </cell>
          <cell r="C1175">
            <v>0</v>
          </cell>
          <cell r="D1175" t="str">
            <v xml:space="preserve">      </v>
          </cell>
          <cell r="E1175" t="str">
            <v xml:space="preserve">    </v>
          </cell>
          <cell r="F1175" t="str">
            <v xml:space="preserve"> S</v>
          </cell>
          <cell r="G1175">
            <v>36796.261805555558</v>
          </cell>
          <cell r="H1175" t="str">
            <v>BSTS</v>
          </cell>
        </row>
        <row r="1176">
          <cell r="A1176" t="str">
            <v xml:space="preserve"> 812-A02A  </v>
          </cell>
          <cell r="B1176" t="str">
            <v xml:space="preserve">#2 AVAIL.      </v>
          </cell>
          <cell r="C1176">
            <v>1</v>
          </cell>
          <cell r="D1176" t="str">
            <v xml:space="preserve">      </v>
          </cell>
          <cell r="E1176" t="str">
            <v xml:space="preserve">    </v>
          </cell>
          <cell r="F1176" t="str">
            <v xml:space="preserve"> S</v>
          </cell>
          <cell r="G1176">
            <v>36796.261805555558</v>
          </cell>
          <cell r="H1176" t="str">
            <v>BSTS</v>
          </cell>
        </row>
        <row r="1177">
          <cell r="A1177" t="str">
            <v xml:space="preserve"> 812-A03R  </v>
          </cell>
          <cell r="B1177" t="str">
            <v xml:space="preserve">#3 RUN         </v>
          </cell>
          <cell r="C1177">
            <v>0</v>
          </cell>
          <cell r="D1177" t="str">
            <v xml:space="preserve">      </v>
          </cell>
          <cell r="E1177" t="str">
            <v xml:space="preserve">    </v>
          </cell>
          <cell r="F1177" t="str">
            <v xml:space="preserve"> S</v>
          </cell>
          <cell r="G1177">
            <v>36796.261805555558</v>
          </cell>
          <cell r="H1177" t="str">
            <v>BSTS</v>
          </cell>
        </row>
        <row r="1178">
          <cell r="A1178" t="str">
            <v xml:space="preserve"> 812-A03A  </v>
          </cell>
          <cell r="B1178" t="str">
            <v xml:space="preserve">#3 AVAIL.      </v>
          </cell>
          <cell r="C1178">
            <v>1</v>
          </cell>
          <cell r="D1178" t="str">
            <v xml:space="preserve">      </v>
          </cell>
          <cell r="E1178" t="str">
            <v xml:space="preserve">    </v>
          </cell>
          <cell r="F1178" t="str">
            <v xml:space="preserve"> S</v>
          </cell>
          <cell r="G1178">
            <v>36796.261805555558</v>
          </cell>
          <cell r="H1178" t="str">
            <v>BSTS</v>
          </cell>
        </row>
        <row r="1179">
          <cell r="A1179" t="str">
            <v xml:space="preserve"> 812-S     </v>
          </cell>
          <cell r="B1179" t="str">
            <v xml:space="preserve">SUCT. PRESS    </v>
          </cell>
          <cell r="C1179">
            <v>724.22131300000001</v>
          </cell>
          <cell r="D1179" t="str">
            <v xml:space="preserve">  PSIG</v>
          </cell>
          <cell r="E1179" t="str">
            <v xml:space="preserve">    </v>
          </cell>
          <cell r="F1179" t="str">
            <v xml:space="preserve"> S</v>
          </cell>
          <cell r="G1179">
            <v>36796.261805555558</v>
          </cell>
          <cell r="H1179" t="str">
            <v xml:space="preserve"> PRE</v>
          </cell>
        </row>
        <row r="1180">
          <cell r="A1180" t="str">
            <v xml:space="preserve"> 812-D     </v>
          </cell>
          <cell r="B1180" t="str">
            <v xml:space="preserve">DISCH. PRESS   </v>
          </cell>
          <cell r="C1180">
            <v>719.11926300000005</v>
          </cell>
          <cell r="D1180" t="str">
            <v xml:space="preserve">  PSIG</v>
          </cell>
          <cell r="E1180" t="str">
            <v xml:space="preserve">    </v>
          </cell>
          <cell r="F1180" t="str">
            <v xml:space="preserve"> S</v>
          </cell>
          <cell r="G1180">
            <v>36796.261805555558</v>
          </cell>
          <cell r="H1180" t="str">
            <v xml:space="preserve"> PRE</v>
          </cell>
        </row>
        <row r="1181">
          <cell r="A1181" t="str">
            <v xml:space="preserve"> 56015-CPR </v>
          </cell>
          <cell r="B1181" t="str">
            <v xml:space="preserve">CUST. PRESS.   </v>
          </cell>
          <cell r="C1181">
            <v>482.27713</v>
          </cell>
          <cell r="D1181" t="str">
            <v xml:space="preserve">  PSIG</v>
          </cell>
          <cell r="E1181" t="str">
            <v xml:space="preserve">    </v>
          </cell>
          <cell r="F1181" t="str">
            <v xml:space="preserve"> S</v>
          </cell>
          <cell r="G1181">
            <v>36796.259722222225</v>
          </cell>
          <cell r="H1181" t="str">
            <v xml:space="preserve"> PRE</v>
          </cell>
        </row>
        <row r="1182">
          <cell r="A1182" t="str">
            <v xml:space="preserve"> 06148-PR  </v>
          </cell>
          <cell r="B1182" t="str">
            <v xml:space="preserve">PRESS.         </v>
          </cell>
          <cell r="C1182">
            <v>464.285706</v>
          </cell>
          <cell r="D1182" t="str">
            <v xml:space="preserve">  PSIG</v>
          </cell>
          <cell r="E1182" t="str">
            <v xml:space="preserve">    </v>
          </cell>
          <cell r="F1182" t="str">
            <v xml:space="preserve"> S</v>
          </cell>
          <cell r="G1182">
            <v>36796.260416666664</v>
          </cell>
          <cell r="H1182" t="str">
            <v xml:space="preserve"> PRE</v>
          </cell>
        </row>
        <row r="1183">
          <cell r="A1183">
            <v>11159</v>
          </cell>
          <cell r="B1183" t="e">
            <v>#NAME?</v>
          </cell>
          <cell r="C1183">
            <v>0</v>
          </cell>
          <cell r="D1183" t="str">
            <v xml:space="preserve">  MCFD</v>
          </cell>
          <cell r="E1183" t="str">
            <v xml:space="preserve">    </v>
          </cell>
          <cell r="F1183" t="str">
            <v xml:space="preserve"> S</v>
          </cell>
          <cell r="G1183">
            <v>36796.259722222225</v>
          </cell>
          <cell r="H1183" t="str">
            <v>VOLR</v>
          </cell>
        </row>
        <row r="1184">
          <cell r="A1184">
            <v>11159</v>
          </cell>
          <cell r="B1184" t="e">
            <v>#NAME?</v>
          </cell>
          <cell r="C1184">
            <v>0</v>
          </cell>
          <cell r="D1184" t="str">
            <v xml:space="preserve">   MCF</v>
          </cell>
          <cell r="E1184" t="str">
            <v xml:space="preserve">    </v>
          </cell>
          <cell r="F1184" t="str">
            <v xml:space="preserve"> S</v>
          </cell>
          <cell r="G1184">
            <v>36796.259722222225</v>
          </cell>
          <cell r="H1184" t="str">
            <v>TVOL</v>
          </cell>
        </row>
        <row r="1185">
          <cell r="A1185" t="str">
            <v xml:space="preserve"> 11159BTU  </v>
          </cell>
          <cell r="B1185" t="e">
            <v>#NAME?</v>
          </cell>
          <cell r="C1185">
            <v>1018</v>
          </cell>
          <cell r="D1185" t="str">
            <v xml:space="preserve">   BTU</v>
          </cell>
          <cell r="E1185" t="str">
            <v xml:space="preserve">    </v>
          </cell>
          <cell r="F1185" t="str">
            <v xml:space="preserve"> S</v>
          </cell>
          <cell r="G1185">
            <v>36796.261805555558</v>
          </cell>
          <cell r="H1185" t="str">
            <v xml:space="preserve"> BTU</v>
          </cell>
        </row>
        <row r="1186">
          <cell r="A1186">
            <v>26126</v>
          </cell>
          <cell r="B1186" t="e">
            <v>#NAME?</v>
          </cell>
          <cell r="C1186">
            <v>43073</v>
          </cell>
          <cell r="D1186" t="str">
            <v xml:space="preserve">  MCFD</v>
          </cell>
          <cell r="E1186" t="str">
            <v xml:space="preserve">    </v>
          </cell>
          <cell r="F1186" t="str">
            <v xml:space="preserve"> S</v>
          </cell>
          <cell r="G1186">
            <v>36796.255555555559</v>
          </cell>
          <cell r="H1186" t="str">
            <v>VOLR</v>
          </cell>
        </row>
        <row r="1187">
          <cell r="A1187">
            <v>26126</v>
          </cell>
          <cell r="B1187" t="e">
            <v>#NAME?</v>
          </cell>
          <cell r="C1187">
            <v>36488.894500000002</v>
          </cell>
          <cell r="D1187" t="str">
            <v xml:space="preserve">   MCF</v>
          </cell>
          <cell r="E1187" t="str">
            <v xml:space="preserve">    </v>
          </cell>
          <cell r="F1187" t="str">
            <v xml:space="preserve"> S</v>
          </cell>
          <cell r="G1187">
            <v>36796.255555555559</v>
          </cell>
          <cell r="H1187" t="str">
            <v>TVOL</v>
          </cell>
        </row>
        <row r="1188">
          <cell r="A1188" t="str">
            <v xml:space="preserve"> 26126BTU  </v>
          </cell>
          <cell r="B1188" t="e">
            <v>#NAME?</v>
          </cell>
          <cell r="C1188">
            <v>1040</v>
          </cell>
          <cell r="D1188" t="str">
            <v xml:space="preserve">   BTU</v>
          </cell>
          <cell r="E1188" t="str">
            <v xml:space="preserve">    </v>
          </cell>
          <cell r="F1188" t="str">
            <v xml:space="preserve"> S</v>
          </cell>
          <cell r="G1188">
            <v>36796.261805555558</v>
          </cell>
          <cell r="H1188" t="str">
            <v xml:space="preserve"> BTU</v>
          </cell>
        </row>
        <row r="1189">
          <cell r="A1189">
            <v>26215</v>
          </cell>
          <cell r="B1189" t="e">
            <v>#NAME?</v>
          </cell>
          <cell r="C1189">
            <v>36030</v>
          </cell>
          <cell r="D1189" t="str">
            <v xml:space="preserve">  MCFD</v>
          </cell>
          <cell r="E1189" t="str">
            <v xml:space="preserve">    </v>
          </cell>
          <cell r="F1189" t="str">
            <v xml:space="preserve"> S</v>
          </cell>
          <cell r="G1189">
            <v>36796.256249999999</v>
          </cell>
          <cell r="H1189" t="str">
            <v>VOLR</v>
          </cell>
        </row>
        <row r="1190">
          <cell r="A1190">
            <v>26215</v>
          </cell>
          <cell r="B1190" t="e">
            <v>#NAME?</v>
          </cell>
          <cell r="C1190">
            <v>31586.607400000001</v>
          </cell>
          <cell r="D1190" t="str">
            <v xml:space="preserve">   MCF</v>
          </cell>
          <cell r="E1190" t="str">
            <v xml:space="preserve">    </v>
          </cell>
          <cell r="F1190" t="str">
            <v xml:space="preserve"> S</v>
          </cell>
          <cell r="G1190">
            <v>36796.256249999999</v>
          </cell>
          <cell r="H1190" t="str">
            <v>TVOL</v>
          </cell>
        </row>
        <row r="1191">
          <cell r="A1191" t="str">
            <v xml:space="preserve"> 26215BTU  </v>
          </cell>
          <cell r="B1191" t="e">
            <v>#NAME?</v>
          </cell>
          <cell r="C1191">
            <v>0</v>
          </cell>
          <cell r="D1191" t="str">
            <v xml:space="preserve">   BTU</v>
          </cell>
          <cell r="E1191" t="str">
            <v>UNAV</v>
          </cell>
          <cell r="F1191" t="str">
            <v xml:space="preserve"> S</v>
          </cell>
          <cell r="G1191">
            <v>36796.261805555558</v>
          </cell>
          <cell r="H1191" t="str">
            <v xml:space="preserve"> BTU</v>
          </cell>
        </row>
        <row r="1192">
          <cell r="A1192">
            <v>16367</v>
          </cell>
          <cell r="B1192" t="e">
            <v>#NAME?</v>
          </cell>
          <cell r="C1192">
            <v>39857</v>
          </cell>
          <cell r="D1192" t="str">
            <v xml:space="preserve">  MCFD</v>
          </cell>
          <cell r="E1192" t="str">
            <v xml:space="preserve">    </v>
          </cell>
          <cell r="F1192" t="str">
            <v xml:space="preserve"> S</v>
          </cell>
          <cell r="G1192">
            <v>36796.248611111114</v>
          </cell>
          <cell r="H1192" t="str">
            <v>VOLR</v>
          </cell>
        </row>
        <row r="1193">
          <cell r="A1193">
            <v>16367</v>
          </cell>
          <cell r="B1193" t="e">
            <v>#NAME?</v>
          </cell>
          <cell r="C1193">
            <v>34698.570299999999</v>
          </cell>
          <cell r="D1193" t="str">
            <v xml:space="preserve">   MCF</v>
          </cell>
          <cell r="E1193" t="str">
            <v xml:space="preserve">    </v>
          </cell>
          <cell r="F1193" t="str">
            <v xml:space="preserve"> S</v>
          </cell>
          <cell r="G1193">
            <v>36796.248611111114</v>
          </cell>
          <cell r="H1193" t="str">
            <v>TVOL</v>
          </cell>
        </row>
        <row r="1194">
          <cell r="A1194" t="str">
            <v xml:space="preserve"> 16367-PR  </v>
          </cell>
          <cell r="B1194" t="str">
            <v xml:space="preserve">EXXON PRES.    </v>
          </cell>
          <cell r="C1194">
            <v>690.625</v>
          </cell>
          <cell r="D1194" t="str">
            <v xml:space="preserve">  PSIG</v>
          </cell>
          <cell r="E1194" t="str">
            <v xml:space="preserve">    </v>
          </cell>
          <cell r="F1194" t="str">
            <v xml:space="preserve"> S</v>
          </cell>
          <cell r="G1194">
            <v>36796.248611111114</v>
          </cell>
          <cell r="H1194" t="str">
            <v xml:space="preserve"> PRE</v>
          </cell>
        </row>
        <row r="1195">
          <cell r="A1195" t="str">
            <v xml:space="preserve"> 16367-CPR </v>
          </cell>
          <cell r="B1195" t="str">
            <v xml:space="preserve">               </v>
          </cell>
          <cell r="C1195">
            <v>0</v>
          </cell>
          <cell r="D1195" t="str">
            <v xml:space="preserve">  PSIG</v>
          </cell>
          <cell r="E1195" t="str">
            <v>UNAV</v>
          </cell>
          <cell r="F1195" t="str">
            <v xml:space="preserve"> S</v>
          </cell>
          <cell r="G1195">
            <v>36796.261805555558</v>
          </cell>
          <cell r="H1195" t="str">
            <v xml:space="preserve"> PRE</v>
          </cell>
        </row>
        <row r="1196">
          <cell r="A1196" t="str">
            <v xml:space="preserve"> 16367-GT  </v>
          </cell>
          <cell r="B1196" t="str">
            <v xml:space="preserve">GAS TEMP       </v>
          </cell>
          <cell r="C1196">
            <v>77.734375</v>
          </cell>
          <cell r="D1196" t="str">
            <v xml:space="preserve">  DEGF</v>
          </cell>
          <cell r="E1196" t="str">
            <v xml:space="preserve">    </v>
          </cell>
          <cell r="F1196" t="str">
            <v xml:space="preserve"> S</v>
          </cell>
          <cell r="G1196">
            <v>36796.248611111114</v>
          </cell>
          <cell r="H1196" t="str">
            <v>DEGF</v>
          </cell>
        </row>
        <row r="1197">
          <cell r="A1197" t="str">
            <v xml:space="preserve"> 16367BTU  </v>
          </cell>
          <cell r="B1197" t="e">
            <v>#NAME?</v>
          </cell>
          <cell r="C1197">
            <v>1040</v>
          </cell>
          <cell r="D1197" t="str">
            <v xml:space="preserve">   BTU</v>
          </cell>
          <cell r="E1197" t="str">
            <v xml:space="preserve">    </v>
          </cell>
          <cell r="F1197" t="str">
            <v xml:space="preserve"> S</v>
          </cell>
          <cell r="G1197">
            <v>36796.261805555558</v>
          </cell>
          <cell r="H1197" t="str">
            <v xml:space="preserve"> BTU</v>
          </cell>
        </row>
        <row r="1198">
          <cell r="A1198">
            <v>10093</v>
          </cell>
          <cell r="B1198" t="e">
            <v>#NAME?</v>
          </cell>
          <cell r="C1198">
            <v>768</v>
          </cell>
          <cell r="D1198" t="str">
            <v xml:space="preserve">  MCFD</v>
          </cell>
          <cell r="E1198" t="str">
            <v xml:space="preserve">    </v>
          </cell>
          <cell r="F1198" t="str">
            <v xml:space="preserve"> S</v>
          </cell>
          <cell r="G1198">
            <v>36796.260416666664</v>
          </cell>
          <cell r="H1198" t="str">
            <v>VOLR</v>
          </cell>
        </row>
        <row r="1199">
          <cell r="A1199">
            <v>10093</v>
          </cell>
          <cell r="B1199" t="e">
            <v>#NAME?</v>
          </cell>
          <cell r="C1199">
            <v>676.22644000000003</v>
          </cell>
          <cell r="D1199" t="str">
            <v xml:space="preserve">   MCF</v>
          </cell>
          <cell r="E1199" t="str">
            <v xml:space="preserve">    </v>
          </cell>
          <cell r="F1199" t="str">
            <v xml:space="preserve"> S</v>
          </cell>
          <cell r="G1199">
            <v>36796.260416666664</v>
          </cell>
          <cell r="H1199" t="str">
            <v>TVOL</v>
          </cell>
        </row>
        <row r="1200">
          <cell r="A1200" t="str">
            <v xml:space="preserve"> 10093BTU  </v>
          </cell>
          <cell r="B1200" t="e">
            <v>#NAME?</v>
          </cell>
          <cell r="C1200">
            <v>1174</v>
          </cell>
          <cell r="D1200" t="str">
            <v xml:space="preserve">   BTU</v>
          </cell>
          <cell r="E1200" t="str">
            <v xml:space="preserve">    </v>
          </cell>
          <cell r="F1200" t="str">
            <v xml:space="preserve"> S</v>
          </cell>
          <cell r="G1200">
            <v>36796.261805555558</v>
          </cell>
          <cell r="H1200" t="str">
            <v xml:space="preserve"> BTU</v>
          </cell>
        </row>
        <row r="1201">
          <cell r="A1201">
            <v>12207</v>
          </cell>
          <cell r="B1201" t="e">
            <v>#NAME?</v>
          </cell>
          <cell r="C1201">
            <v>0</v>
          </cell>
          <cell r="D1201" t="str">
            <v xml:space="preserve">  MCFD</v>
          </cell>
          <cell r="E1201" t="str">
            <v>UNAV</v>
          </cell>
          <cell r="F1201" t="str">
            <v xml:space="preserve"> S</v>
          </cell>
          <cell r="G1201">
            <v>36796.261805555558</v>
          </cell>
          <cell r="H1201" t="str">
            <v>VOLR</v>
          </cell>
        </row>
        <row r="1202">
          <cell r="A1202">
            <v>12207</v>
          </cell>
          <cell r="B1202" t="e">
            <v>#NAME?</v>
          </cell>
          <cell r="C1202">
            <v>0</v>
          </cell>
          <cell r="D1202" t="str">
            <v xml:space="preserve">   MCF</v>
          </cell>
          <cell r="E1202" t="str">
            <v>UNAV</v>
          </cell>
          <cell r="F1202" t="str">
            <v xml:space="preserve"> S</v>
          </cell>
          <cell r="G1202">
            <v>36796.261805555558</v>
          </cell>
          <cell r="H1202" t="str">
            <v>TVOL</v>
          </cell>
        </row>
        <row r="1203">
          <cell r="A1203" t="str">
            <v xml:space="preserve"> 12207BTU  </v>
          </cell>
          <cell r="B1203" t="e">
            <v>#NAME?</v>
          </cell>
          <cell r="C1203">
            <v>0</v>
          </cell>
          <cell r="D1203" t="str">
            <v xml:space="preserve">   BTU</v>
          </cell>
          <cell r="E1203" t="str">
            <v>UNAV</v>
          </cell>
          <cell r="F1203" t="str">
            <v xml:space="preserve"> S</v>
          </cell>
          <cell r="G1203">
            <v>36796.261805555558</v>
          </cell>
          <cell r="H1203" t="str">
            <v xml:space="preserve"> BTU</v>
          </cell>
        </row>
        <row r="1204">
          <cell r="A1204">
            <v>12323</v>
          </cell>
          <cell r="B1204" t="e">
            <v>#NAME?</v>
          </cell>
          <cell r="C1204">
            <v>0</v>
          </cell>
          <cell r="D1204" t="str">
            <v xml:space="preserve">  MCFD</v>
          </cell>
          <cell r="E1204" t="str">
            <v>UNAV</v>
          </cell>
          <cell r="F1204" t="str">
            <v xml:space="preserve"> S</v>
          </cell>
          <cell r="G1204">
            <v>36796.261805555558</v>
          </cell>
          <cell r="H1204" t="str">
            <v>VOLR</v>
          </cell>
        </row>
        <row r="1205">
          <cell r="A1205">
            <v>12323</v>
          </cell>
          <cell r="B1205" t="e">
            <v>#NAME?</v>
          </cell>
          <cell r="C1205">
            <v>0</v>
          </cell>
          <cell r="D1205" t="str">
            <v xml:space="preserve">   MCF</v>
          </cell>
          <cell r="E1205" t="str">
            <v>UNAV</v>
          </cell>
          <cell r="F1205" t="str">
            <v xml:space="preserve"> S</v>
          </cell>
          <cell r="G1205">
            <v>36796.261805555558</v>
          </cell>
          <cell r="H1205" t="str">
            <v>TVOL</v>
          </cell>
        </row>
        <row r="1206">
          <cell r="A1206" t="str">
            <v xml:space="preserve"> 12323BTU  </v>
          </cell>
          <cell r="B1206" t="e">
            <v>#NAME?</v>
          </cell>
          <cell r="C1206">
            <v>0</v>
          </cell>
          <cell r="D1206" t="str">
            <v xml:space="preserve">   BTU</v>
          </cell>
          <cell r="E1206" t="str">
            <v>UNAV</v>
          </cell>
          <cell r="F1206" t="str">
            <v xml:space="preserve"> S</v>
          </cell>
          <cell r="G1206">
            <v>36796.261805555558</v>
          </cell>
          <cell r="H1206" t="str">
            <v xml:space="preserve"> BTU</v>
          </cell>
        </row>
        <row r="1207">
          <cell r="A1207">
            <v>11241</v>
          </cell>
          <cell r="B1207" t="e">
            <v>#NAME?</v>
          </cell>
          <cell r="C1207">
            <v>0</v>
          </cell>
          <cell r="D1207" t="str">
            <v xml:space="preserve">  MCFD</v>
          </cell>
          <cell r="E1207" t="str">
            <v>UNAV</v>
          </cell>
          <cell r="F1207" t="str">
            <v xml:space="preserve"> S</v>
          </cell>
          <cell r="G1207">
            <v>36796.261805555558</v>
          </cell>
          <cell r="H1207" t="str">
            <v>VOLR</v>
          </cell>
        </row>
        <row r="1208">
          <cell r="A1208">
            <v>11241</v>
          </cell>
          <cell r="B1208" t="e">
            <v>#NAME?</v>
          </cell>
          <cell r="C1208">
            <v>0</v>
          </cell>
          <cell r="D1208" t="str">
            <v xml:space="preserve">   MCF</v>
          </cell>
          <cell r="E1208" t="str">
            <v>UNAV</v>
          </cell>
          <cell r="F1208" t="str">
            <v xml:space="preserve"> S</v>
          </cell>
          <cell r="G1208">
            <v>36796.261805555558</v>
          </cell>
          <cell r="H1208" t="str">
            <v>TVOL</v>
          </cell>
        </row>
        <row r="1209">
          <cell r="A1209" t="str">
            <v xml:space="preserve"> 11241BTU  </v>
          </cell>
          <cell r="B1209" t="e">
            <v>#NAME?</v>
          </cell>
          <cell r="C1209">
            <v>0</v>
          </cell>
          <cell r="D1209" t="str">
            <v xml:space="preserve">   BTU</v>
          </cell>
          <cell r="E1209" t="str">
            <v>UNAV</v>
          </cell>
          <cell r="F1209" t="str">
            <v xml:space="preserve"> S</v>
          </cell>
          <cell r="G1209">
            <v>36796.261805555558</v>
          </cell>
          <cell r="H1209" t="str">
            <v xml:space="preserve"> BTU</v>
          </cell>
        </row>
        <row r="1210">
          <cell r="A1210">
            <v>11583</v>
          </cell>
          <cell r="B1210" t="e">
            <v>#NAME?</v>
          </cell>
          <cell r="C1210">
            <v>0</v>
          </cell>
          <cell r="D1210" t="str">
            <v xml:space="preserve">  MCFD</v>
          </cell>
          <cell r="E1210" t="str">
            <v>UNAV</v>
          </cell>
          <cell r="F1210" t="str">
            <v xml:space="preserve"> S</v>
          </cell>
          <cell r="G1210">
            <v>36796.261805555558</v>
          </cell>
          <cell r="H1210" t="str">
            <v>VOLR</v>
          </cell>
        </row>
        <row r="1211">
          <cell r="A1211">
            <v>11583</v>
          </cell>
          <cell r="B1211" t="e">
            <v>#NAME?</v>
          </cell>
          <cell r="C1211">
            <v>0</v>
          </cell>
          <cell r="D1211" t="str">
            <v xml:space="preserve">   MCF</v>
          </cell>
          <cell r="E1211" t="str">
            <v>UNAV</v>
          </cell>
          <cell r="F1211" t="str">
            <v xml:space="preserve"> S</v>
          </cell>
          <cell r="G1211">
            <v>36796.261805555558</v>
          </cell>
          <cell r="H1211" t="str">
            <v>TVOL</v>
          </cell>
        </row>
        <row r="1212">
          <cell r="A1212" t="str">
            <v xml:space="preserve"> 11583BTU  </v>
          </cell>
          <cell r="B1212" t="e">
            <v>#NAME?</v>
          </cell>
          <cell r="C1212">
            <v>0</v>
          </cell>
          <cell r="D1212" t="str">
            <v xml:space="preserve">   BTU</v>
          </cell>
          <cell r="E1212" t="str">
            <v>UNAV</v>
          </cell>
          <cell r="F1212" t="str">
            <v xml:space="preserve"> S</v>
          </cell>
          <cell r="G1212">
            <v>36796.261805555558</v>
          </cell>
          <cell r="H1212" t="str">
            <v xml:space="preserve"> BTU</v>
          </cell>
        </row>
        <row r="1213">
          <cell r="A1213">
            <v>10061</v>
          </cell>
          <cell r="B1213" t="e">
            <v>#NAME?</v>
          </cell>
          <cell r="C1213">
            <v>1610</v>
          </cell>
          <cell r="D1213" t="str">
            <v xml:space="preserve">  MCFD</v>
          </cell>
          <cell r="E1213" t="str">
            <v xml:space="preserve">    </v>
          </cell>
          <cell r="F1213" t="str">
            <v xml:space="preserve"> S</v>
          </cell>
          <cell r="G1213">
            <v>36796.254861111112</v>
          </cell>
          <cell r="H1213" t="str">
            <v>VOLR</v>
          </cell>
        </row>
        <row r="1214">
          <cell r="A1214">
            <v>10061</v>
          </cell>
          <cell r="B1214" t="e">
            <v>#NAME?</v>
          </cell>
          <cell r="C1214">
            <v>1481.92761</v>
          </cell>
          <cell r="D1214" t="str">
            <v xml:space="preserve">   MCF</v>
          </cell>
          <cell r="E1214" t="str">
            <v xml:space="preserve">    </v>
          </cell>
          <cell r="F1214" t="str">
            <v xml:space="preserve"> S</v>
          </cell>
          <cell r="G1214">
            <v>36796.254861111112</v>
          </cell>
          <cell r="H1214" t="str">
            <v>TVOL</v>
          </cell>
        </row>
        <row r="1215">
          <cell r="A1215" t="str">
            <v xml:space="preserve"> 10061BTU  </v>
          </cell>
          <cell r="B1215" t="e">
            <v>#NAME?</v>
          </cell>
          <cell r="C1215">
            <v>1111</v>
          </cell>
          <cell r="D1215" t="str">
            <v xml:space="preserve">   BTU</v>
          </cell>
          <cell r="E1215" t="str">
            <v xml:space="preserve">    </v>
          </cell>
          <cell r="F1215" t="str">
            <v xml:space="preserve"> S</v>
          </cell>
          <cell r="G1215">
            <v>36796.261805555558</v>
          </cell>
          <cell r="H1215" t="str">
            <v xml:space="preserve"> BTU</v>
          </cell>
        </row>
        <row r="1216">
          <cell r="A1216">
            <v>11916</v>
          </cell>
          <cell r="B1216" t="e">
            <v>#NAME?</v>
          </cell>
          <cell r="C1216">
            <v>0</v>
          </cell>
          <cell r="D1216" t="str">
            <v xml:space="preserve">  MCFD</v>
          </cell>
          <cell r="E1216" t="str">
            <v>UNAV</v>
          </cell>
          <cell r="F1216" t="str">
            <v xml:space="preserve"> S</v>
          </cell>
          <cell r="G1216">
            <v>36796.261805555558</v>
          </cell>
          <cell r="H1216" t="str">
            <v>VOLR</v>
          </cell>
        </row>
        <row r="1217">
          <cell r="A1217">
            <v>11916</v>
          </cell>
          <cell r="B1217" t="e">
            <v>#NAME?</v>
          </cell>
          <cell r="C1217">
            <v>0</v>
          </cell>
          <cell r="D1217" t="str">
            <v xml:space="preserve">   MCF</v>
          </cell>
          <cell r="E1217" t="str">
            <v>UNAV</v>
          </cell>
          <cell r="F1217" t="str">
            <v xml:space="preserve"> S</v>
          </cell>
          <cell r="G1217">
            <v>36796.261805555558</v>
          </cell>
          <cell r="H1217" t="str">
            <v>TVOL</v>
          </cell>
        </row>
        <row r="1218">
          <cell r="A1218" t="str">
            <v xml:space="preserve"> 11916BTU  </v>
          </cell>
          <cell r="B1218" t="e">
            <v>#NAME?</v>
          </cell>
          <cell r="C1218">
            <v>0</v>
          </cell>
          <cell r="D1218" t="str">
            <v xml:space="preserve">   BTU</v>
          </cell>
          <cell r="E1218" t="str">
            <v>UNAV</v>
          </cell>
          <cell r="F1218" t="str">
            <v xml:space="preserve"> S</v>
          </cell>
          <cell r="G1218">
            <v>36796.261805555558</v>
          </cell>
          <cell r="H1218" t="str">
            <v xml:space="preserve"> BTU</v>
          </cell>
        </row>
        <row r="1219">
          <cell r="A1219">
            <v>12377</v>
          </cell>
          <cell r="B1219" t="e">
            <v>#NAME?</v>
          </cell>
          <cell r="C1219">
            <v>476</v>
          </cell>
          <cell r="D1219" t="str">
            <v xml:space="preserve">  MCFD</v>
          </cell>
          <cell r="E1219" t="str">
            <v xml:space="preserve">    </v>
          </cell>
          <cell r="F1219" t="str">
            <v xml:space="preserve"> S</v>
          </cell>
          <cell r="G1219">
            <v>36796.254861111112</v>
          </cell>
          <cell r="H1219" t="str">
            <v>VOLR</v>
          </cell>
        </row>
        <row r="1220">
          <cell r="A1220">
            <v>12377</v>
          </cell>
          <cell r="B1220" t="e">
            <v>#NAME?</v>
          </cell>
          <cell r="C1220">
            <v>279.27825899999999</v>
          </cell>
          <cell r="D1220" t="str">
            <v xml:space="preserve">   MCF</v>
          </cell>
          <cell r="E1220" t="str">
            <v xml:space="preserve">    </v>
          </cell>
          <cell r="F1220" t="str">
            <v xml:space="preserve"> S</v>
          </cell>
          <cell r="G1220">
            <v>36796.254861111112</v>
          </cell>
          <cell r="H1220" t="str">
            <v>TVOL</v>
          </cell>
        </row>
        <row r="1221">
          <cell r="A1221" t="str">
            <v xml:space="preserve"> 12377BTU  </v>
          </cell>
          <cell r="B1221" t="e">
            <v>#NAME?</v>
          </cell>
          <cell r="C1221">
            <v>1099</v>
          </cell>
          <cell r="D1221" t="str">
            <v xml:space="preserve">   BTU</v>
          </cell>
          <cell r="E1221" t="str">
            <v xml:space="preserve">    </v>
          </cell>
          <cell r="F1221" t="str">
            <v xml:space="preserve"> S</v>
          </cell>
          <cell r="G1221">
            <v>36796.261805555558</v>
          </cell>
          <cell r="H1221" t="str">
            <v xml:space="preserve"> BTU</v>
          </cell>
        </row>
        <row r="1222">
          <cell r="A1222">
            <v>26216</v>
          </cell>
          <cell r="B1222" t="e">
            <v>#NAME?</v>
          </cell>
          <cell r="C1222">
            <v>14763</v>
          </cell>
          <cell r="D1222" t="str">
            <v xml:space="preserve">  MCFD</v>
          </cell>
          <cell r="E1222" t="str">
            <v xml:space="preserve">    </v>
          </cell>
          <cell r="F1222" t="str">
            <v xml:space="preserve"> S</v>
          </cell>
          <cell r="G1222">
            <v>36796.255555555559</v>
          </cell>
          <cell r="H1222" t="str">
            <v>VOLR</v>
          </cell>
        </row>
        <row r="1223">
          <cell r="A1223">
            <v>26216</v>
          </cell>
          <cell r="B1223" t="e">
            <v>#NAME?</v>
          </cell>
          <cell r="C1223">
            <v>12903.79</v>
          </cell>
          <cell r="D1223" t="str">
            <v xml:space="preserve">   MCF</v>
          </cell>
          <cell r="E1223" t="str">
            <v xml:space="preserve">    </v>
          </cell>
          <cell r="F1223" t="str">
            <v xml:space="preserve"> S</v>
          </cell>
          <cell r="G1223">
            <v>36796.255555555559</v>
          </cell>
          <cell r="H1223" t="str">
            <v>TVOL</v>
          </cell>
        </row>
        <row r="1224">
          <cell r="A1224" t="str">
            <v xml:space="preserve"> 26216BTU  </v>
          </cell>
          <cell r="B1224" t="e">
            <v>#NAME?</v>
          </cell>
          <cell r="C1224">
            <v>1023.7869899999999</v>
          </cell>
          <cell r="D1224" t="str">
            <v xml:space="preserve">   BTU</v>
          </cell>
          <cell r="E1224" t="str">
            <v xml:space="preserve">    </v>
          </cell>
          <cell r="F1224" t="str">
            <v xml:space="preserve"> S</v>
          </cell>
          <cell r="G1224">
            <v>36796.261805555558</v>
          </cell>
          <cell r="H1224" t="str">
            <v xml:space="preserve"> BTU</v>
          </cell>
        </row>
        <row r="1225">
          <cell r="A1225">
            <v>11889</v>
          </cell>
          <cell r="B1225" t="e">
            <v>#NAME?</v>
          </cell>
          <cell r="C1225">
            <v>0</v>
          </cell>
          <cell r="D1225" t="str">
            <v xml:space="preserve">  MCFD</v>
          </cell>
          <cell r="E1225" t="str">
            <v>UNAV</v>
          </cell>
          <cell r="F1225" t="str">
            <v xml:space="preserve"> S</v>
          </cell>
          <cell r="G1225">
            <v>36796.261805555558</v>
          </cell>
          <cell r="H1225" t="str">
            <v>VOLR</v>
          </cell>
        </row>
        <row r="1226">
          <cell r="A1226">
            <v>11889</v>
          </cell>
          <cell r="B1226" t="e">
            <v>#NAME?</v>
          </cell>
          <cell r="C1226">
            <v>0</v>
          </cell>
          <cell r="D1226" t="str">
            <v xml:space="preserve">   MCF</v>
          </cell>
          <cell r="E1226" t="str">
            <v>UNAV</v>
          </cell>
          <cell r="F1226" t="str">
            <v xml:space="preserve"> S</v>
          </cell>
          <cell r="G1226">
            <v>36796.261805555558</v>
          </cell>
          <cell r="H1226" t="str">
            <v>TVOL</v>
          </cell>
        </row>
        <row r="1227">
          <cell r="A1227" t="str">
            <v xml:space="preserve"> 11889BTU  </v>
          </cell>
          <cell r="B1227" t="e">
            <v>#NAME?</v>
          </cell>
          <cell r="C1227">
            <v>0</v>
          </cell>
          <cell r="D1227" t="str">
            <v xml:space="preserve">   BTU</v>
          </cell>
          <cell r="E1227" t="str">
            <v>UNAV</v>
          </cell>
          <cell r="F1227" t="str">
            <v xml:space="preserve"> S</v>
          </cell>
          <cell r="G1227">
            <v>36796.261805555558</v>
          </cell>
          <cell r="H1227" t="str">
            <v xml:space="preserve"> BTU</v>
          </cell>
        </row>
        <row r="1228">
          <cell r="A1228">
            <v>11922</v>
          </cell>
          <cell r="B1228" t="e">
            <v>#NAME?</v>
          </cell>
          <cell r="C1228">
            <v>0</v>
          </cell>
          <cell r="D1228" t="str">
            <v xml:space="preserve">  MCFD</v>
          </cell>
          <cell r="E1228" t="str">
            <v>UNAV</v>
          </cell>
          <cell r="F1228" t="str">
            <v xml:space="preserve"> S</v>
          </cell>
          <cell r="G1228">
            <v>36796.261805555558</v>
          </cell>
          <cell r="H1228" t="str">
            <v>VOLR</v>
          </cell>
        </row>
        <row r="1229">
          <cell r="A1229">
            <v>11922</v>
          </cell>
          <cell r="B1229" t="e">
            <v>#NAME?</v>
          </cell>
          <cell r="C1229">
            <v>0</v>
          </cell>
          <cell r="D1229" t="str">
            <v xml:space="preserve">   MCF</v>
          </cell>
          <cell r="E1229" t="str">
            <v>UNAV</v>
          </cell>
          <cell r="F1229" t="str">
            <v xml:space="preserve"> S</v>
          </cell>
          <cell r="G1229">
            <v>36796.261805555558</v>
          </cell>
          <cell r="H1229" t="str">
            <v>TVOL</v>
          </cell>
        </row>
        <row r="1230">
          <cell r="A1230" t="str">
            <v xml:space="preserve"> 11922BTU  </v>
          </cell>
          <cell r="B1230" t="e">
            <v>#NAME?</v>
          </cell>
          <cell r="C1230">
            <v>0</v>
          </cell>
          <cell r="D1230" t="str">
            <v xml:space="preserve">   BTU</v>
          </cell>
          <cell r="E1230" t="str">
            <v>UNAV</v>
          </cell>
          <cell r="F1230" t="str">
            <v xml:space="preserve"> S</v>
          </cell>
          <cell r="G1230">
            <v>36796.261805555558</v>
          </cell>
          <cell r="H1230" t="str">
            <v xml:space="preserve"> BTU</v>
          </cell>
        </row>
        <row r="1231">
          <cell r="A1231">
            <v>12408</v>
          </cell>
          <cell r="B1231" t="e">
            <v>#NAME?</v>
          </cell>
          <cell r="C1231">
            <v>0</v>
          </cell>
          <cell r="D1231" t="str">
            <v xml:space="preserve">  MCFD</v>
          </cell>
          <cell r="E1231" t="str">
            <v>UNAV</v>
          </cell>
          <cell r="F1231" t="str">
            <v xml:space="preserve"> S</v>
          </cell>
          <cell r="G1231">
            <v>36796.261805555558</v>
          </cell>
          <cell r="H1231" t="str">
            <v>VOLR</v>
          </cell>
        </row>
        <row r="1232">
          <cell r="A1232">
            <v>12408</v>
          </cell>
          <cell r="B1232" t="e">
            <v>#NAME?</v>
          </cell>
          <cell r="C1232">
            <v>0</v>
          </cell>
          <cell r="D1232" t="str">
            <v xml:space="preserve">   MCF</v>
          </cell>
          <cell r="E1232" t="str">
            <v>UNAV</v>
          </cell>
          <cell r="F1232" t="str">
            <v xml:space="preserve"> S</v>
          </cell>
          <cell r="G1232">
            <v>36796.261805555558</v>
          </cell>
          <cell r="H1232" t="str">
            <v>TVOL</v>
          </cell>
        </row>
        <row r="1233">
          <cell r="A1233" t="str">
            <v xml:space="preserve"> 12408BTU  </v>
          </cell>
          <cell r="B1233" t="e">
            <v>#NAME?</v>
          </cell>
          <cell r="C1233">
            <v>0</v>
          </cell>
          <cell r="D1233" t="str">
            <v xml:space="preserve">   BTU</v>
          </cell>
          <cell r="E1233" t="str">
            <v>UNAV</v>
          </cell>
          <cell r="F1233" t="str">
            <v xml:space="preserve"> S</v>
          </cell>
          <cell r="G1233">
            <v>36796.261805555558</v>
          </cell>
          <cell r="H1233" t="str">
            <v xml:space="preserve"> BTU</v>
          </cell>
        </row>
      </sheetData>
      <sheetData sheetId="4">
        <row r="1">
          <cell r="A1">
            <v>6148</v>
          </cell>
          <cell r="B1">
            <v>40000</v>
          </cell>
          <cell r="C1">
            <v>0</v>
          </cell>
        </row>
        <row r="2">
          <cell r="A2">
            <v>10061</v>
          </cell>
          <cell r="B2">
            <v>1700</v>
          </cell>
          <cell r="C2">
            <v>0</v>
          </cell>
        </row>
        <row r="3">
          <cell r="A3">
            <v>10093</v>
          </cell>
          <cell r="B3">
            <v>600</v>
          </cell>
          <cell r="C3">
            <v>0</v>
          </cell>
        </row>
        <row r="4">
          <cell r="A4">
            <v>11241</v>
          </cell>
          <cell r="B4">
            <v>5</v>
          </cell>
          <cell r="C4">
            <v>0</v>
          </cell>
        </row>
        <row r="5">
          <cell r="A5">
            <v>11583</v>
          </cell>
          <cell r="B5">
            <v>175</v>
          </cell>
          <cell r="C5">
            <v>0</v>
          </cell>
        </row>
        <row r="6">
          <cell r="A6">
            <v>11889</v>
          </cell>
          <cell r="B6">
            <v>350</v>
          </cell>
          <cell r="C6">
            <v>0</v>
          </cell>
        </row>
        <row r="7">
          <cell r="A7">
            <v>11916</v>
          </cell>
          <cell r="B7">
            <v>35</v>
          </cell>
          <cell r="C7">
            <v>0</v>
          </cell>
        </row>
        <row r="8">
          <cell r="A8">
            <v>11922</v>
          </cell>
          <cell r="B8">
            <v>225</v>
          </cell>
          <cell r="C8">
            <v>0</v>
          </cell>
        </row>
        <row r="9">
          <cell r="A9">
            <v>12207</v>
          </cell>
          <cell r="B9">
            <v>105</v>
          </cell>
          <cell r="C9">
            <v>0</v>
          </cell>
        </row>
        <row r="10">
          <cell r="A10">
            <v>12323</v>
          </cell>
          <cell r="B10">
            <v>135</v>
          </cell>
          <cell r="C10">
            <v>0</v>
          </cell>
        </row>
        <row r="11">
          <cell r="A11">
            <v>12377</v>
          </cell>
          <cell r="B11">
            <v>400</v>
          </cell>
          <cell r="C11">
            <v>0</v>
          </cell>
        </row>
        <row r="12">
          <cell r="A12">
            <v>12408</v>
          </cell>
          <cell r="B12">
            <v>100</v>
          </cell>
          <cell r="C12">
            <v>0</v>
          </cell>
        </row>
        <row r="13">
          <cell r="A13">
            <v>16001</v>
          </cell>
          <cell r="B13">
            <v>169</v>
          </cell>
          <cell r="C13">
            <v>0</v>
          </cell>
        </row>
        <row r="14">
          <cell r="A14">
            <v>16032</v>
          </cell>
          <cell r="B14">
            <v>20273</v>
          </cell>
          <cell r="C14">
            <v>74727</v>
          </cell>
        </row>
        <row r="15">
          <cell r="A15">
            <v>16036</v>
          </cell>
          <cell r="B15">
            <v>0</v>
          </cell>
          <cell r="C15">
            <v>22000</v>
          </cell>
        </row>
        <row r="16">
          <cell r="A16">
            <v>16055</v>
          </cell>
          <cell r="B16">
            <v>0</v>
          </cell>
          <cell r="C16">
            <v>3500</v>
          </cell>
        </row>
        <row r="17">
          <cell r="A17">
            <v>16057</v>
          </cell>
          <cell r="B17">
            <v>707</v>
          </cell>
          <cell r="C17">
            <v>0</v>
          </cell>
        </row>
        <row r="18">
          <cell r="A18">
            <v>16058</v>
          </cell>
          <cell r="B18">
            <v>26571</v>
          </cell>
          <cell r="C18">
            <v>15893</v>
          </cell>
        </row>
        <row r="19">
          <cell r="A19">
            <v>16066</v>
          </cell>
          <cell r="B19">
            <v>27034</v>
          </cell>
          <cell r="C19">
            <v>0</v>
          </cell>
        </row>
        <row r="20">
          <cell r="A20">
            <v>16068</v>
          </cell>
          <cell r="B20">
            <v>0</v>
          </cell>
          <cell r="C20">
            <v>0</v>
          </cell>
        </row>
        <row r="21">
          <cell r="A21">
            <v>16069</v>
          </cell>
          <cell r="B21">
            <v>0</v>
          </cell>
          <cell r="C21">
            <v>0</v>
          </cell>
        </row>
        <row r="22">
          <cell r="A22">
            <v>16083</v>
          </cell>
          <cell r="B22">
            <v>0</v>
          </cell>
          <cell r="C22">
            <v>0</v>
          </cell>
        </row>
        <row r="23">
          <cell r="A23">
            <v>16087</v>
          </cell>
          <cell r="B23">
            <v>0</v>
          </cell>
          <cell r="C23">
            <v>0</v>
          </cell>
        </row>
        <row r="24">
          <cell r="A24">
            <v>16088</v>
          </cell>
          <cell r="B24">
            <v>35645</v>
          </cell>
          <cell r="C24">
            <v>0</v>
          </cell>
        </row>
        <row r="25">
          <cell r="A25">
            <v>16094</v>
          </cell>
          <cell r="B25">
            <v>15</v>
          </cell>
          <cell r="C25">
            <v>0</v>
          </cell>
        </row>
        <row r="26">
          <cell r="A26">
            <v>16105</v>
          </cell>
          <cell r="B26">
            <v>600</v>
          </cell>
          <cell r="C26">
            <v>0</v>
          </cell>
        </row>
        <row r="27">
          <cell r="A27">
            <v>16107</v>
          </cell>
          <cell r="B27">
            <v>0</v>
          </cell>
          <cell r="C27">
            <v>0</v>
          </cell>
        </row>
        <row r="28">
          <cell r="A28">
            <v>16127</v>
          </cell>
          <cell r="B28">
            <v>20854</v>
          </cell>
          <cell r="C28">
            <v>0</v>
          </cell>
        </row>
        <row r="29">
          <cell r="A29">
            <v>16128</v>
          </cell>
          <cell r="B29">
            <v>0</v>
          </cell>
          <cell r="C29">
            <v>146</v>
          </cell>
        </row>
        <row r="30">
          <cell r="A30">
            <v>16130</v>
          </cell>
          <cell r="B30">
            <v>56106</v>
          </cell>
          <cell r="C30">
            <v>7810</v>
          </cell>
        </row>
        <row r="31">
          <cell r="A31">
            <v>16151</v>
          </cell>
          <cell r="B31">
            <v>0</v>
          </cell>
          <cell r="C31">
            <v>113127</v>
          </cell>
        </row>
        <row r="32">
          <cell r="A32">
            <v>16152</v>
          </cell>
          <cell r="B32">
            <v>0</v>
          </cell>
          <cell r="C32">
            <v>0</v>
          </cell>
        </row>
        <row r="33">
          <cell r="A33">
            <v>16154</v>
          </cell>
          <cell r="B33">
            <v>115</v>
          </cell>
          <cell r="C33">
            <v>0</v>
          </cell>
        </row>
        <row r="34">
          <cell r="A34">
            <v>16161</v>
          </cell>
          <cell r="B34">
            <v>226</v>
          </cell>
          <cell r="C34">
            <v>0</v>
          </cell>
        </row>
        <row r="35">
          <cell r="A35">
            <v>16164</v>
          </cell>
          <cell r="B35">
            <v>400</v>
          </cell>
          <cell r="C35">
            <v>0</v>
          </cell>
        </row>
        <row r="36">
          <cell r="A36">
            <v>16167</v>
          </cell>
          <cell r="B36">
            <v>76</v>
          </cell>
          <cell r="C36">
            <v>0</v>
          </cell>
        </row>
        <row r="37">
          <cell r="A37">
            <v>16168</v>
          </cell>
          <cell r="B37">
            <v>0</v>
          </cell>
          <cell r="C37">
            <v>0</v>
          </cell>
        </row>
        <row r="38">
          <cell r="A38">
            <v>16179</v>
          </cell>
          <cell r="B38">
            <v>0</v>
          </cell>
          <cell r="C38">
            <v>0</v>
          </cell>
        </row>
        <row r="39">
          <cell r="A39">
            <v>16181</v>
          </cell>
          <cell r="B39">
            <v>0</v>
          </cell>
          <cell r="C39">
            <v>0</v>
          </cell>
        </row>
        <row r="40">
          <cell r="A40">
            <v>16182</v>
          </cell>
          <cell r="B40">
            <v>250</v>
          </cell>
          <cell r="C40">
            <v>0</v>
          </cell>
        </row>
        <row r="41">
          <cell r="A41">
            <v>16188</v>
          </cell>
          <cell r="B41">
            <v>315</v>
          </cell>
          <cell r="C41">
            <v>0</v>
          </cell>
        </row>
        <row r="42">
          <cell r="A42">
            <v>16198</v>
          </cell>
          <cell r="B42">
            <v>0</v>
          </cell>
          <cell r="C42">
            <v>0</v>
          </cell>
        </row>
        <row r="43">
          <cell r="A43">
            <v>16204</v>
          </cell>
          <cell r="B43">
            <v>0</v>
          </cell>
          <cell r="C43">
            <v>150</v>
          </cell>
        </row>
        <row r="44">
          <cell r="A44">
            <v>16210</v>
          </cell>
          <cell r="B44">
            <v>0</v>
          </cell>
          <cell r="C44">
            <v>1500</v>
          </cell>
        </row>
        <row r="45">
          <cell r="A45">
            <v>16218</v>
          </cell>
          <cell r="B45">
            <v>1100</v>
          </cell>
          <cell r="C45">
            <v>0</v>
          </cell>
        </row>
        <row r="46">
          <cell r="A46">
            <v>16219</v>
          </cell>
          <cell r="B46">
            <v>0</v>
          </cell>
          <cell r="C46">
            <v>0</v>
          </cell>
        </row>
        <row r="47">
          <cell r="A47">
            <v>16222</v>
          </cell>
          <cell r="B47">
            <v>8765</v>
          </cell>
          <cell r="C47">
            <v>12024</v>
          </cell>
        </row>
        <row r="48">
          <cell r="A48">
            <v>16223</v>
          </cell>
          <cell r="B48">
            <v>0</v>
          </cell>
          <cell r="C48">
            <v>51</v>
          </cell>
        </row>
        <row r="49">
          <cell r="A49">
            <v>16226</v>
          </cell>
          <cell r="B49">
            <v>0</v>
          </cell>
          <cell r="C49">
            <v>0</v>
          </cell>
        </row>
        <row r="50">
          <cell r="A50">
            <v>16227</v>
          </cell>
          <cell r="B50">
            <v>0</v>
          </cell>
          <cell r="C50">
            <v>0</v>
          </cell>
        </row>
        <row r="51">
          <cell r="A51">
            <v>16241</v>
          </cell>
          <cell r="B51">
            <v>100</v>
          </cell>
          <cell r="C51">
            <v>0</v>
          </cell>
        </row>
        <row r="52">
          <cell r="A52">
            <v>16244</v>
          </cell>
          <cell r="B52">
            <v>80700</v>
          </cell>
          <cell r="C52">
            <v>4000</v>
          </cell>
        </row>
        <row r="53">
          <cell r="A53">
            <v>16247</v>
          </cell>
          <cell r="B53">
            <v>12174</v>
          </cell>
          <cell r="C53">
            <v>0</v>
          </cell>
        </row>
        <row r="54">
          <cell r="A54">
            <v>16254</v>
          </cell>
          <cell r="B54">
            <v>0</v>
          </cell>
          <cell r="C54">
            <v>0</v>
          </cell>
        </row>
        <row r="55">
          <cell r="A55">
            <v>16272</v>
          </cell>
          <cell r="B55">
            <v>0</v>
          </cell>
          <cell r="C55">
            <v>590</v>
          </cell>
        </row>
        <row r="56">
          <cell r="A56">
            <v>16273</v>
          </cell>
          <cell r="B56">
            <v>0</v>
          </cell>
          <cell r="C56">
            <v>0</v>
          </cell>
        </row>
        <row r="57">
          <cell r="A57">
            <v>16281</v>
          </cell>
          <cell r="B57">
            <v>0</v>
          </cell>
          <cell r="C57">
            <v>0</v>
          </cell>
        </row>
        <row r="58">
          <cell r="A58">
            <v>16282</v>
          </cell>
          <cell r="B58">
            <v>1000</v>
          </cell>
          <cell r="C58">
            <v>0</v>
          </cell>
        </row>
        <row r="59">
          <cell r="A59">
            <v>16290</v>
          </cell>
          <cell r="B59">
            <v>510</v>
          </cell>
          <cell r="C59">
            <v>6279</v>
          </cell>
        </row>
        <row r="60">
          <cell r="A60">
            <v>16291</v>
          </cell>
          <cell r="B60">
            <v>1000</v>
          </cell>
          <cell r="C60">
            <v>0</v>
          </cell>
        </row>
        <row r="61">
          <cell r="A61">
            <v>16296</v>
          </cell>
          <cell r="B61">
            <v>0</v>
          </cell>
          <cell r="C61">
            <v>0</v>
          </cell>
        </row>
        <row r="62">
          <cell r="A62">
            <v>16297</v>
          </cell>
          <cell r="B62">
            <v>0</v>
          </cell>
          <cell r="C62">
            <v>0</v>
          </cell>
        </row>
        <row r="63">
          <cell r="A63">
            <v>16299</v>
          </cell>
          <cell r="B63">
            <v>0</v>
          </cell>
          <cell r="C63">
            <v>0</v>
          </cell>
        </row>
        <row r="64">
          <cell r="A64">
            <v>16304</v>
          </cell>
          <cell r="B64">
            <v>300</v>
          </cell>
          <cell r="C64">
            <v>0</v>
          </cell>
        </row>
        <row r="65">
          <cell r="A65">
            <v>16306</v>
          </cell>
          <cell r="B65">
            <v>0</v>
          </cell>
          <cell r="C65">
            <v>0</v>
          </cell>
        </row>
        <row r="66">
          <cell r="A66">
            <v>16307</v>
          </cell>
          <cell r="B66">
            <v>0</v>
          </cell>
          <cell r="C66">
            <v>0</v>
          </cell>
        </row>
        <row r="67">
          <cell r="A67">
            <v>16308</v>
          </cell>
          <cell r="B67">
            <v>0</v>
          </cell>
          <cell r="C67">
            <v>118</v>
          </cell>
        </row>
        <row r="68">
          <cell r="A68">
            <v>16312</v>
          </cell>
          <cell r="B68">
            <v>0</v>
          </cell>
          <cell r="C68">
            <v>0</v>
          </cell>
        </row>
        <row r="69">
          <cell r="A69">
            <v>16314</v>
          </cell>
          <cell r="B69">
            <v>100</v>
          </cell>
          <cell r="C69">
            <v>0</v>
          </cell>
        </row>
        <row r="70">
          <cell r="A70">
            <v>16316</v>
          </cell>
          <cell r="B70">
            <v>109</v>
          </cell>
          <cell r="C70">
            <v>0</v>
          </cell>
        </row>
        <row r="71">
          <cell r="A71">
            <v>16317</v>
          </cell>
          <cell r="B71">
            <v>72</v>
          </cell>
          <cell r="C71">
            <v>0</v>
          </cell>
        </row>
        <row r="72">
          <cell r="A72">
            <v>16319</v>
          </cell>
          <cell r="B72">
            <v>87</v>
          </cell>
          <cell r="C72">
            <v>0</v>
          </cell>
        </row>
        <row r="73">
          <cell r="A73">
            <v>16320</v>
          </cell>
          <cell r="B73">
            <v>906</v>
          </cell>
          <cell r="C73">
            <v>0</v>
          </cell>
        </row>
        <row r="74">
          <cell r="A74">
            <v>16321</v>
          </cell>
          <cell r="B74">
            <v>0</v>
          </cell>
          <cell r="C74">
            <v>188</v>
          </cell>
        </row>
        <row r="75">
          <cell r="A75">
            <v>16322</v>
          </cell>
          <cell r="B75">
            <v>0</v>
          </cell>
          <cell r="C75">
            <v>0</v>
          </cell>
        </row>
        <row r="76">
          <cell r="A76">
            <v>16324</v>
          </cell>
          <cell r="B76">
            <v>0</v>
          </cell>
          <cell r="C76">
            <v>131</v>
          </cell>
        </row>
        <row r="77">
          <cell r="A77">
            <v>16330</v>
          </cell>
          <cell r="B77">
            <v>0</v>
          </cell>
          <cell r="C77">
            <v>0</v>
          </cell>
        </row>
        <row r="78">
          <cell r="A78">
            <v>16331</v>
          </cell>
          <cell r="B78">
            <v>4400</v>
          </cell>
          <cell r="C78">
            <v>0</v>
          </cell>
        </row>
        <row r="79">
          <cell r="A79">
            <v>16335</v>
          </cell>
          <cell r="B79">
            <v>0</v>
          </cell>
          <cell r="C79">
            <v>80000</v>
          </cell>
        </row>
        <row r="80">
          <cell r="A80">
            <v>16336</v>
          </cell>
          <cell r="B80">
            <v>0</v>
          </cell>
          <cell r="C80">
            <v>0</v>
          </cell>
        </row>
        <row r="81">
          <cell r="A81">
            <v>16337</v>
          </cell>
          <cell r="B81">
            <v>0</v>
          </cell>
          <cell r="C81">
            <v>0</v>
          </cell>
        </row>
        <row r="82">
          <cell r="A82">
            <v>16338</v>
          </cell>
          <cell r="B82">
            <v>0</v>
          </cell>
          <cell r="C82">
            <v>0</v>
          </cell>
        </row>
        <row r="83">
          <cell r="A83">
            <v>16339</v>
          </cell>
          <cell r="B83">
            <v>0</v>
          </cell>
          <cell r="C83">
            <v>0</v>
          </cell>
        </row>
        <row r="84">
          <cell r="A84">
            <v>16340</v>
          </cell>
          <cell r="B84">
            <v>0</v>
          </cell>
          <cell r="C84">
            <v>0</v>
          </cell>
        </row>
        <row r="85">
          <cell r="A85">
            <v>16341</v>
          </cell>
          <cell r="B85">
            <v>0</v>
          </cell>
          <cell r="C85">
            <v>0</v>
          </cell>
        </row>
        <row r="86">
          <cell r="A86">
            <v>16345</v>
          </cell>
          <cell r="B86">
            <v>40</v>
          </cell>
          <cell r="C86">
            <v>0</v>
          </cell>
        </row>
        <row r="87">
          <cell r="A87">
            <v>16346</v>
          </cell>
          <cell r="B87">
            <v>277</v>
          </cell>
          <cell r="C87">
            <v>0</v>
          </cell>
        </row>
        <row r="88">
          <cell r="A88">
            <v>16347</v>
          </cell>
          <cell r="B88">
            <v>0</v>
          </cell>
          <cell r="C88">
            <v>0</v>
          </cell>
        </row>
        <row r="89">
          <cell r="A89">
            <v>16350</v>
          </cell>
          <cell r="B89">
            <v>11803</v>
          </cell>
          <cell r="C89">
            <v>0</v>
          </cell>
        </row>
        <row r="90">
          <cell r="A90">
            <v>16351</v>
          </cell>
          <cell r="B90">
            <v>0</v>
          </cell>
          <cell r="C90">
            <v>0</v>
          </cell>
        </row>
        <row r="91">
          <cell r="A91">
            <v>16352</v>
          </cell>
          <cell r="B91">
            <v>248</v>
          </cell>
          <cell r="C91">
            <v>0</v>
          </cell>
        </row>
        <row r="92">
          <cell r="A92">
            <v>16353</v>
          </cell>
          <cell r="B92">
            <v>0</v>
          </cell>
          <cell r="C92">
            <v>0</v>
          </cell>
        </row>
        <row r="93">
          <cell r="A93">
            <v>16354</v>
          </cell>
          <cell r="B93">
            <v>76036</v>
          </cell>
          <cell r="C93">
            <v>0</v>
          </cell>
        </row>
        <row r="94">
          <cell r="A94">
            <v>16355</v>
          </cell>
          <cell r="B94">
            <v>11001</v>
          </cell>
          <cell r="C94">
            <v>0</v>
          </cell>
        </row>
        <row r="95">
          <cell r="A95">
            <v>16357</v>
          </cell>
          <cell r="B95">
            <v>0</v>
          </cell>
          <cell r="C95">
            <v>1366</v>
          </cell>
        </row>
        <row r="96">
          <cell r="A96">
            <v>16359</v>
          </cell>
          <cell r="B96">
            <v>1140</v>
          </cell>
          <cell r="C96">
            <v>0</v>
          </cell>
        </row>
        <row r="97">
          <cell r="A97">
            <v>16360</v>
          </cell>
          <cell r="B97">
            <v>1296</v>
          </cell>
          <cell r="C97">
            <v>0</v>
          </cell>
        </row>
        <row r="98">
          <cell r="A98">
            <v>16361</v>
          </cell>
          <cell r="B98">
            <v>0</v>
          </cell>
          <cell r="C98">
            <v>0</v>
          </cell>
        </row>
        <row r="99">
          <cell r="A99">
            <v>16362</v>
          </cell>
          <cell r="B99">
            <v>0</v>
          </cell>
          <cell r="C99">
            <v>0</v>
          </cell>
        </row>
        <row r="100">
          <cell r="A100">
            <v>16363</v>
          </cell>
          <cell r="B100">
            <v>70</v>
          </cell>
          <cell r="C100">
            <v>0</v>
          </cell>
        </row>
        <row r="101">
          <cell r="A101">
            <v>16365</v>
          </cell>
          <cell r="B101">
            <v>0</v>
          </cell>
          <cell r="C101">
            <v>7257</v>
          </cell>
        </row>
        <row r="102">
          <cell r="A102">
            <v>16366</v>
          </cell>
          <cell r="B102">
            <v>2500</v>
          </cell>
          <cell r="C102">
            <v>0</v>
          </cell>
        </row>
        <row r="103">
          <cell r="A103">
            <v>16367</v>
          </cell>
          <cell r="B103">
            <v>45000</v>
          </cell>
          <cell r="C103">
            <v>0</v>
          </cell>
        </row>
        <row r="104">
          <cell r="A104">
            <v>16369</v>
          </cell>
          <cell r="B104">
            <v>0</v>
          </cell>
          <cell r="C104">
            <v>8515</v>
          </cell>
        </row>
        <row r="105">
          <cell r="A105">
            <v>16373</v>
          </cell>
          <cell r="B105">
            <v>750</v>
          </cell>
          <cell r="C105">
            <v>0</v>
          </cell>
        </row>
        <row r="106">
          <cell r="A106">
            <v>26001</v>
          </cell>
          <cell r="B106">
            <v>2000</v>
          </cell>
          <cell r="C106">
            <v>0</v>
          </cell>
        </row>
        <row r="107">
          <cell r="A107">
            <v>26002</v>
          </cell>
          <cell r="B107">
            <v>4500</v>
          </cell>
          <cell r="C107">
            <v>0</v>
          </cell>
        </row>
        <row r="108">
          <cell r="A108">
            <v>26005</v>
          </cell>
          <cell r="B108">
            <v>0</v>
          </cell>
          <cell r="C108">
            <v>0</v>
          </cell>
        </row>
        <row r="109">
          <cell r="A109">
            <v>26006</v>
          </cell>
          <cell r="B109">
            <v>0</v>
          </cell>
          <cell r="C109">
            <v>9000</v>
          </cell>
        </row>
        <row r="110">
          <cell r="A110">
            <v>26007</v>
          </cell>
          <cell r="B110">
            <v>0</v>
          </cell>
          <cell r="C110">
            <v>250</v>
          </cell>
        </row>
        <row r="111">
          <cell r="A111">
            <v>26008</v>
          </cell>
          <cell r="B111">
            <v>5000</v>
          </cell>
          <cell r="C111">
            <v>0</v>
          </cell>
        </row>
        <row r="112">
          <cell r="A112">
            <v>26009</v>
          </cell>
          <cell r="B112">
            <v>0</v>
          </cell>
          <cell r="C112">
            <v>0</v>
          </cell>
        </row>
        <row r="113">
          <cell r="A113">
            <v>26011</v>
          </cell>
          <cell r="B113">
            <v>10</v>
          </cell>
          <cell r="C113">
            <v>0</v>
          </cell>
        </row>
        <row r="114">
          <cell r="A114">
            <v>26013</v>
          </cell>
          <cell r="B114">
            <v>10</v>
          </cell>
          <cell r="C114">
            <v>0</v>
          </cell>
        </row>
        <row r="115">
          <cell r="A115">
            <v>26015</v>
          </cell>
          <cell r="B115">
            <v>50</v>
          </cell>
          <cell r="C115">
            <v>0</v>
          </cell>
        </row>
        <row r="116">
          <cell r="A116">
            <v>26016</v>
          </cell>
          <cell r="B116">
            <v>50</v>
          </cell>
          <cell r="C116">
            <v>0</v>
          </cell>
        </row>
        <row r="117">
          <cell r="A117">
            <v>26018</v>
          </cell>
          <cell r="B117">
            <v>0</v>
          </cell>
          <cell r="C117">
            <v>0</v>
          </cell>
        </row>
        <row r="118">
          <cell r="A118">
            <v>26021</v>
          </cell>
          <cell r="B118">
            <v>0</v>
          </cell>
          <cell r="C118">
            <v>15000</v>
          </cell>
        </row>
        <row r="119">
          <cell r="A119">
            <v>26022</v>
          </cell>
          <cell r="B119">
            <v>0</v>
          </cell>
          <cell r="C119">
            <v>0</v>
          </cell>
        </row>
        <row r="120">
          <cell r="A120">
            <v>26023</v>
          </cell>
          <cell r="B120">
            <v>10000</v>
          </cell>
          <cell r="C120">
            <v>0</v>
          </cell>
        </row>
        <row r="121">
          <cell r="A121">
            <v>26025</v>
          </cell>
          <cell r="B121">
            <v>0</v>
          </cell>
          <cell r="C121">
            <v>0</v>
          </cell>
        </row>
        <row r="122">
          <cell r="A122">
            <v>26026</v>
          </cell>
          <cell r="B122">
            <v>0</v>
          </cell>
          <cell r="C122">
            <v>23000</v>
          </cell>
        </row>
        <row r="123">
          <cell r="A123">
            <v>26030</v>
          </cell>
          <cell r="B123">
            <v>0</v>
          </cell>
          <cell r="C123">
            <v>82</v>
          </cell>
        </row>
        <row r="124">
          <cell r="A124">
            <v>26033</v>
          </cell>
          <cell r="B124">
            <v>10000</v>
          </cell>
          <cell r="C124">
            <v>0</v>
          </cell>
        </row>
        <row r="125">
          <cell r="A125">
            <v>26034</v>
          </cell>
          <cell r="B125">
            <v>10</v>
          </cell>
          <cell r="C125">
            <v>0</v>
          </cell>
        </row>
        <row r="126">
          <cell r="A126">
            <v>26035</v>
          </cell>
          <cell r="B126">
            <v>39300</v>
          </cell>
          <cell r="C126">
            <v>0</v>
          </cell>
        </row>
        <row r="127">
          <cell r="A127">
            <v>26037</v>
          </cell>
          <cell r="B127">
            <v>0</v>
          </cell>
          <cell r="C127">
            <v>1</v>
          </cell>
        </row>
        <row r="128">
          <cell r="A128">
            <v>26038</v>
          </cell>
          <cell r="B128">
            <v>0</v>
          </cell>
          <cell r="C128">
            <v>1</v>
          </cell>
        </row>
        <row r="129">
          <cell r="A129">
            <v>26040</v>
          </cell>
          <cell r="B129">
            <v>0</v>
          </cell>
          <cell r="C129">
            <v>48</v>
          </cell>
        </row>
        <row r="130">
          <cell r="A130">
            <v>26042</v>
          </cell>
          <cell r="B130">
            <v>10</v>
          </cell>
          <cell r="C130">
            <v>0</v>
          </cell>
        </row>
        <row r="131">
          <cell r="A131">
            <v>26043</v>
          </cell>
          <cell r="B131">
            <v>0</v>
          </cell>
          <cell r="C131">
            <v>0</v>
          </cell>
        </row>
        <row r="132">
          <cell r="A132">
            <v>26044</v>
          </cell>
          <cell r="B132">
            <v>0</v>
          </cell>
          <cell r="C132">
            <v>0</v>
          </cell>
        </row>
        <row r="133">
          <cell r="A133">
            <v>26045</v>
          </cell>
          <cell r="B133">
            <v>6000</v>
          </cell>
          <cell r="C133">
            <v>0</v>
          </cell>
        </row>
        <row r="134">
          <cell r="A134">
            <v>26046</v>
          </cell>
          <cell r="B134">
            <v>0</v>
          </cell>
          <cell r="C134">
            <v>0</v>
          </cell>
        </row>
        <row r="135">
          <cell r="A135">
            <v>26049</v>
          </cell>
          <cell r="B135">
            <v>0</v>
          </cell>
          <cell r="C135">
            <v>0</v>
          </cell>
        </row>
        <row r="136">
          <cell r="A136">
            <v>26051</v>
          </cell>
          <cell r="B136">
            <v>0</v>
          </cell>
          <cell r="C136">
            <v>0</v>
          </cell>
        </row>
        <row r="137">
          <cell r="A137">
            <v>26055</v>
          </cell>
          <cell r="B137">
            <v>0</v>
          </cell>
          <cell r="C137">
            <v>0</v>
          </cell>
        </row>
        <row r="138">
          <cell r="A138">
            <v>26056</v>
          </cell>
          <cell r="B138">
            <v>0</v>
          </cell>
          <cell r="C138">
            <v>0</v>
          </cell>
        </row>
        <row r="139">
          <cell r="A139">
            <v>26058</v>
          </cell>
          <cell r="B139">
            <v>0</v>
          </cell>
          <cell r="C139">
            <v>10000</v>
          </cell>
        </row>
        <row r="140">
          <cell r="A140">
            <v>26059</v>
          </cell>
          <cell r="B140">
            <v>0</v>
          </cell>
          <cell r="C140">
            <v>17000</v>
          </cell>
        </row>
        <row r="141">
          <cell r="A141">
            <v>26061</v>
          </cell>
          <cell r="B141">
            <v>0</v>
          </cell>
          <cell r="C141">
            <v>48</v>
          </cell>
        </row>
        <row r="142">
          <cell r="A142">
            <v>26063</v>
          </cell>
          <cell r="B142">
            <v>0</v>
          </cell>
          <cell r="C142">
            <v>0</v>
          </cell>
        </row>
        <row r="143">
          <cell r="A143">
            <v>26070</v>
          </cell>
          <cell r="B143">
            <v>0</v>
          </cell>
          <cell r="C143">
            <v>1013</v>
          </cell>
        </row>
        <row r="144">
          <cell r="A144">
            <v>26071</v>
          </cell>
          <cell r="B144">
            <v>0</v>
          </cell>
          <cell r="C144">
            <v>0</v>
          </cell>
        </row>
        <row r="145">
          <cell r="A145">
            <v>26073</v>
          </cell>
          <cell r="B145">
            <v>0</v>
          </cell>
          <cell r="C145">
            <v>28393</v>
          </cell>
        </row>
        <row r="146">
          <cell r="A146">
            <v>26075</v>
          </cell>
          <cell r="B146">
            <v>1</v>
          </cell>
          <cell r="C146">
            <v>0</v>
          </cell>
        </row>
        <row r="147">
          <cell r="A147">
            <v>26076</v>
          </cell>
          <cell r="B147">
            <v>0</v>
          </cell>
          <cell r="C147">
            <v>0</v>
          </cell>
        </row>
        <row r="148">
          <cell r="A148">
            <v>26077</v>
          </cell>
          <cell r="B148">
            <v>0</v>
          </cell>
          <cell r="C148">
            <v>0</v>
          </cell>
        </row>
        <row r="149">
          <cell r="A149">
            <v>26079</v>
          </cell>
          <cell r="B149">
            <v>0</v>
          </cell>
          <cell r="C149">
            <v>25000</v>
          </cell>
        </row>
        <row r="150">
          <cell r="A150">
            <v>26080</v>
          </cell>
          <cell r="B150">
            <v>0</v>
          </cell>
          <cell r="C150">
            <v>10000</v>
          </cell>
        </row>
        <row r="151">
          <cell r="A151">
            <v>26081</v>
          </cell>
          <cell r="B151">
            <v>846</v>
          </cell>
          <cell r="C151">
            <v>432</v>
          </cell>
        </row>
        <row r="152">
          <cell r="A152">
            <v>26082</v>
          </cell>
          <cell r="B152">
            <v>0</v>
          </cell>
          <cell r="C152">
            <v>0</v>
          </cell>
        </row>
        <row r="153">
          <cell r="A153">
            <v>26083</v>
          </cell>
          <cell r="B153">
            <v>5000</v>
          </cell>
          <cell r="C153">
            <v>0</v>
          </cell>
        </row>
        <row r="154">
          <cell r="A154">
            <v>26084</v>
          </cell>
          <cell r="B154">
            <v>0</v>
          </cell>
          <cell r="C154">
            <v>0</v>
          </cell>
        </row>
        <row r="155">
          <cell r="A155">
            <v>26088</v>
          </cell>
          <cell r="B155">
            <v>0</v>
          </cell>
          <cell r="C155">
            <v>29000</v>
          </cell>
        </row>
        <row r="156">
          <cell r="A156">
            <v>26091</v>
          </cell>
          <cell r="B156">
            <v>20000</v>
          </cell>
          <cell r="C156">
            <v>0</v>
          </cell>
        </row>
        <row r="157">
          <cell r="A157">
            <v>26092</v>
          </cell>
          <cell r="B157">
            <v>0</v>
          </cell>
          <cell r="C157">
            <v>0</v>
          </cell>
        </row>
        <row r="158">
          <cell r="A158">
            <v>26093</v>
          </cell>
          <cell r="B158">
            <v>0</v>
          </cell>
          <cell r="C158">
            <v>0</v>
          </cell>
        </row>
        <row r="159">
          <cell r="A159">
            <v>26099</v>
          </cell>
          <cell r="B159">
            <v>0</v>
          </cell>
          <cell r="C159">
            <v>0</v>
          </cell>
        </row>
        <row r="160">
          <cell r="A160">
            <v>26101</v>
          </cell>
          <cell r="B160">
            <v>0</v>
          </cell>
          <cell r="C160">
            <v>0</v>
          </cell>
        </row>
        <row r="161">
          <cell r="A161">
            <v>26106</v>
          </cell>
          <cell r="B161">
            <v>70000</v>
          </cell>
          <cell r="C161">
            <v>0</v>
          </cell>
        </row>
        <row r="162">
          <cell r="A162">
            <v>26107</v>
          </cell>
          <cell r="B162">
            <v>0</v>
          </cell>
          <cell r="C162">
            <v>1000</v>
          </cell>
        </row>
        <row r="163">
          <cell r="A163">
            <v>26109</v>
          </cell>
          <cell r="B163">
            <v>25</v>
          </cell>
          <cell r="C163">
            <v>0</v>
          </cell>
        </row>
        <row r="164">
          <cell r="A164">
            <v>26113</v>
          </cell>
          <cell r="B164">
            <v>120</v>
          </cell>
          <cell r="C164">
            <v>0</v>
          </cell>
        </row>
        <row r="165">
          <cell r="A165">
            <v>26114</v>
          </cell>
          <cell r="B165">
            <v>7500</v>
          </cell>
          <cell r="C165">
            <v>0</v>
          </cell>
        </row>
        <row r="166">
          <cell r="A166">
            <v>26123</v>
          </cell>
          <cell r="B166">
            <v>0</v>
          </cell>
          <cell r="C166">
            <v>0</v>
          </cell>
        </row>
        <row r="167">
          <cell r="A167">
            <v>26124</v>
          </cell>
          <cell r="B167">
            <v>15000</v>
          </cell>
          <cell r="C167">
            <v>0</v>
          </cell>
        </row>
        <row r="168">
          <cell r="A168">
            <v>26126</v>
          </cell>
          <cell r="B168">
            <v>23000</v>
          </cell>
          <cell r="C168">
            <v>20000</v>
          </cell>
        </row>
        <row r="169">
          <cell r="A169">
            <v>26127</v>
          </cell>
          <cell r="B169">
            <v>0</v>
          </cell>
          <cell r="C169">
            <v>73000</v>
          </cell>
        </row>
        <row r="170">
          <cell r="A170">
            <v>26129</v>
          </cell>
          <cell r="B170">
            <v>54768</v>
          </cell>
          <cell r="C170">
            <v>0</v>
          </cell>
        </row>
        <row r="171">
          <cell r="A171">
            <v>26130</v>
          </cell>
          <cell r="B171">
            <v>0</v>
          </cell>
          <cell r="C171">
            <v>0</v>
          </cell>
        </row>
        <row r="172">
          <cell r="A172">
            <v>26131</v>
          </cell>
          <cell r="B172">
            <v>0</v>
          </cell>
          <cell r="C172">
            <v>0</v>
          </cell>
        </row>
        <row r="173">
          <cell r="A173">
            <v>26135</v>
          </cell>
          <cell r="B173">
            <v>0</v>
          </cell>
          <cell r="C173">
            <v>0</v>
          </cell>
        </row>
        <row r="174">
          <cell r="A174">
            <v>26136</v>
          </cell>
          <cell r="B174">
            <v>0</v>
          </cell>
          <cell r="C174">
            <v>0</v>
          </cell>
        </row>
        <row r="175">
          <cell r="A175">
            <v>26138</v>
          </cell>
          <cell r="B175">
            <v>0</v>
          </cell>
          <cell r="C175">
            <v>0</v>
          </cell>
        </row>
        <row r="176">
          <cell r="A176">
            <v>26143</v>
          </cell>
          <cell r="B176">
            <v>1000</v>
          </cell>
          <cell r="C176">
            <v>0</v>
          </cell>
        </row>
        <row r="177">
          <cell r="A177">
            <v>26144</v>
          </cell>
          <cell r="B177">
            <v>0</v>
          </cell>
          <cell r="C177">
            <v>1</v>
          </cell>
        </row>
        <row r="178">
          <cell r="A178">
            <v>26146</v>
          </cell>
          <cell r="B178">
            <v>0</v>
          </cell>
          <cell r="C178">
            <v>0</v>
          </cell>
        </row>
        <row r="179">
          <cell r="A179">
            <v>26147</v>
          </cell>
          <cell r="B179">
            <v>0</v>
          </cell>
          <cell r="C179">
            <v>0</v>
          </cell>
        </row>
        <row r="180">
          <cell r="A180">
            <v>26149</v>
          </cell>
          <cell r="B180">
            <v>400</v>
          </cell>
          <cell r="C180">
            <v>0</v>
          </cell>
        </row>
        <row r="181">
          <cell r="A181">
            <v>26150</v>
          </cell>
          <cell r="B181">
            <v>0</v>
          </cell>
          <cell r="C181">
            <v>0</v>
          </cell>
        </row>
        <row r="182">
          <cell r="A182">
            <v>26151</v>
          </cell>
          <cell r="B182">
            <v>0</v>
          </cell>
          <cell r="C182">
            <v>0</v>
          </cell>
        </row>
        <row r="183">
          <cell r="A183">
            <v>26153</v>
          </cell>
          <cell r="B183">
            <v>0</v>
          </cell>
          <cell r="C183">
            <v>34000</v>
          </cell>
        </row>
        <row r="184">
          <cell r="A184">
            <v>26154</v>
          </cell>
          <cell r="B184">
            <v>0</v>
          </cell>
          <cell r="C184">
            <v>0</v>
          </cell>
        </row>
        <row r="185">
          <cell r="A185">
            <v>26155</v>
          </cell>
          <cell r="B185">
            <v>0</v>
          </cell>
          <cell r="C185">
            <v>65</v>
          </cell>
        </row>
        <row r="186">
          <cell r="A186">
            <v>26156</v>
          </cell>
          <cell r="B186">
            <v>0</v>
          </cell>
          <cell r="C186">
            <v>0</v>
          </cell>
        </row>
        <row r="187">
          <cell r="A187">
            <v>26157</v>
          </cell>
          <cell r="B187">
            <v>5000</v>
          </cell>
          <cell r="C187">
            <v>0</v>
          </cell>
        </row>
        <row r="188">
          <cell r="A188">
            <v>26158</v>
          </cell>
          <cell r="B188">
            <v>10000</v>
          </cell>
          <cell r="C188">
            <v>0</v>
          </cell>
        </row>
        <row r="189">
          <cell r="A189">
            <v>26160</v>
          </cell>
          <cell r="B189">
            <v>0</v>
          </cell>
          <cell r="C189">
            <v>1000</v>
          </cell>
        </row>
        <row r="190">
          <cell r="A190">
            <v>26164</v>
          </cell>
          <cell r="B190">
            <v>12000</v>
          </cell>
          <cell r="C190">
            <v>0</v>
          </cell>
        </row>
        <row r="191">
          <cell r="A191">
            <v>26165</v>
          </cell>
          <cell r="B191">
            <v>26000</v>
          </cell>
          <cell r="C191">
            <v>0</v>
          </cell>
        </row>
        <row r="192">
          <cell r="A192">
            <v>26166</v>
          </cell>
          <cell r="B192">
            <v>5000</v>
          </cell>
          <cell r="C192">
            <v>0</v>
          </cell>
        </row>
        <row r="193">
          <cell r="A193">
            <v>26167</v>
          </cell>
          <cell r="B193">
            <v>0</v>
          </cell>
          <cell r="C193">
            <v>0</v>
          </cell>
        </row>
        <row r="194">
          <cell r="A194">
            <v>26168</v>
          </cell>
          <cell r="B194">
            <v>20000</v>
          </cell>
          <cell r="C194">
            <v>0</v>
          </cell>
        </row>
        <row r="195">
          <cell r="A195">
            <v>26169</v>
          </cell>
          <cell r="B195">
            <v>0</v>
          </cell>
          <cell r="C195">
            <v>0</v>
          </cell>
        </row>
        <row r="196">
          <cell r="A196">
            <v>26176</v>
          </cell>
          <cell r="B196">
            <v>0</v>
          </cell>
          <cell r="C196">
            <v>0</v>
          </cell>
        </row>
        <row r="197">
          <cell r="A197">
            <v>26178</v>
          </cell>
          <cell r="B197">
            <v>0</v>
          </cell>
          <cell r="C197">
            <v>0</v>
          </cell>
        </row>
        <row r="198">
          <cell r="A198">
            <v>26179</v>
          </cell>
          <cell r="B198">
            <v>0</v>
          </cell>
          <cell r="C198">
            <v>0</v>
          </cell>
        </row>
        <row r="199">
          <cell r="A199">
            <v>26184</v>
          </cell>
          <cell r="B199">
            <v>15000</v>
          </cell>
          <cell r="C199">
            <v>0</v>
          </cell>
        </row>
        <row r="200">
          <cell r="A200">
            <v>26185</v>
          </cell>
          <cell r="B200">
            <v>0</v>
          </cell>
          <cell r="C200">
            <v>4000</v>
          </cell>
        </row>
        <row r="201">
          <cell r="A201">
            <v>26186</v>
          </cell>
          <cell r="B201">
            <v>1000</v>
          </cell>
          <cell r="C201">
            <v>0</v>
          </cell>
        </row>
        <row r="202">
          <cell r="A202">
            <v>26187</v>
          </cell>
          <cell r="B202">
            <v>0</v>
          </cell>
          <cell r="C202">
            <v>0</v>
          </cell>
        </row>
        <row r="203">
          <cell r="A203">
            <v>26188</v>
          </cell>
          <cell r="B203">
            <v>5000</v>
          </cell>
          <cell r="C203">
            <v>0</v>
          </cell>
        </row>
        <row r="204">
          <cell r="A204">
            <v>26189</v>
          </cell>
          <cell r="B204">
            <v>0</v>
          </cell>
          <cell r="C204">
            <v>0</v>
          </cell>
        </row>
        <row r="205">
          <cell r="A205">
            <v>26190</v>
          </cell>
          <cell r="B205">
            <v>10000</v>
          </cell>
          <cell r="C205">
            <v>0</v>
          </cell>
        </row>
        <row r="206">
          <cell r="A206">
            <v>26191</v>
          </cell>
          <cell r="B206">
            <v>0</v>
          </cell>
          <cell r="C206">
            <v>23000</v>
          </cell>
        </row>
        <row r="207">
          <cell r="A207">
            <v>26192</v>
          </cell>
          <cell r="B207">
            <v>0</v>
          </cell>
          <cell r="C207">
            <v>0</v>
          </cell>
        </row>
        <row r="208">
          <cell r="A208">
            <v>26194</v>
          </cell>
          <cell r="B208">
            <v>0</v>
          </cell>
          <cell r="C208">
            <v>0</v>
          </cell>
        </row>
        <row r="209">
          <cell r="A209">
            <v>26196</v>
          </cell>
          <cell r="B209">
            <v>0</v>
          </cell>
          <cell r="C209">
            <v>0</v>
          </cell>
        </row>
        <row r="210">
          <cell r="A210">
            <v>26198</v>
          </cell>
          <cell r="B210">
            <v>9116</v>
          </cell>
          <cell r="C210">
            <v>0</v>
          </cell>
        </row>
        <row r="211">
          <cell r="A211">
            <v>26199</v>
          </cell>
          <cell r="B211">
            <v>0</v>
          </cell>
          <cell r="C211">
            <v>0</v>
          </cell>
        </row>
        <row r="212">
          <cell r="A212">
            <v>26200</v>
          </cell>
          <cell r="B212">
            <v>0</v>
          </cell>
          <cell r="C212">
            <v>0</v>
          </cell>
        </row>
        <row r="213">
          <cell r="A213">
            <v>26201</v>
          </cell>
          <cell r="B213">
            <v>0</v>
          </cell>
          <cell r="C213">
            <v>0</v>
          </cell>
        </row>
        <row r="214">
          <cell r="A214">
            <v>26202</v>
          </cell>
          <cell r="B214">
            <v>0</v>
          </cell>
          <cell r="C214">
            <v>0</v>
          </cell>
        </row>
        <row r="215">
          <cell r="A215">
            <v>26203</v>
          </cell>
          <cell r="B215">
            <v>35000</v>
          </cell>
          <cell r="C215">
            <v>0</v>
          </cell>
        </row>
        <row r="216">
          <cell r="A216">
            <v>26204</v>
          </cell>
          <cell r="B216">
            <v>10000</v>
          </cell>
          <cell r="C216">
            <v>0</v>
          </cell>
        </row>
        <row r="217">
          <cell r="A217">
            <v>26205</v>
          </cell>
          <cell r="B217">
            <v>0</v>
          </cell>
          <cell r="C217">
            <v>0</v>
          </cell>
        </row>
        <row r="218">
          <cell r="A218">
            <v>26206</v>
          </cell>
          <cell r="B218">
            <v>0</v>
          </cell>
          <cell r="C218">
            <v>38</v>
          </cell>
        </row>
        <row r="219">
          <cell r="A219">
            <v>26207</v>
          </cell>
          <cell r="B219">
            <v>0</v>
          </cell>
          <cell r="C219">
            <v>0</v>
          </cell>
        </row>
        <row r="220">
          <cell r="A220">
            <v>26208</v>
          </cell>
          <cell r="B220">
            <v>20</v>
          </cell>
          <cell r="C220">
            <v>0</v>
          </cell>
        </row>
        <row r="221">
          <cell r="A221">
            <v>26209</v>
          </cell>
          <cell r="B221">
            <v>0</v>
          </cell>
          <cell r="C221">
            <v>0</v>
          </cell>
        </row>
        <row r="222">
          <cell r="A222">
            <v>26210</v>
          </cell>
          <cell r="B222">
            <v>0</v>
          </cell>
          <cell r="C222">
            <v>0</v>
          </cell>
        </row>
        <row r="223">
          <cell r="A223">
            <v>26212</v>
          </cell>
          <cell r="B223">
            <v>0</v>
          </cell>
          <cell r="C223">
            <v>0</v>
          </cell>
        </row>
        <row r="224">
          <cell r="A224">
            <v>26212</v>
          </cell>
          <cell r="B224">
            <v>0</v>
          </cell>
          <cell r="C224">
            <v>0</v>
          </cell>
        </row>
        <row r="225">
          <cell r="A225">
            <v>26213</v>
          </cell>
          <cell r="B225">
            <v>2782</v>
          </cell>
          <cell r="C225">
            <v>0</v>
          </cell>
        </row>
        <row r="226">
          <cell r="A226">
            <v>26215</v>
          </cell>
          <cell r="B226">
            <v>0</v>
          </cell>
          <cell r="C226">
            <v>35000</v>
          </cell>
        </row>
        <row r="227">
          <cell r="A227">
            <v>26216</v>
          </cell>
          <cell r="B227">
            <v>15000</v>
          </cell>
          <cell r="C227">
            <v>0</v>
          </cell>
        </row>
        <row r="228">
          <cell r="A228">
            <v>26218</v>
          </cell>
          <cell r="B228">
            <v>3235</v>
          </cell>
          <cell r="C228">
            <v>0</v>
          </cell>
        </row>
        <row r="229">
          <cell r="A229">
            <v>88888</v>
          </cell>
          <cell r="B229">
            <v>262.54300000000001</v>
          </cell>
          <cell r="C229">
            <v>0</v>
          </cell>
        </row>
        <row r="230">
          <cell r="A230">
            <v>99802</v>
          </cell>
          <cell r="B230">
            <v>47.345999999999997</v>
          </cell>
          <cell r="C230">
            <v>0</v>
          </cell>
        </row>
        <row r="231">
          <cell r="A231">
            <v>99804</v>
          </cell>
          <cell r="B231">
            <v>52.442999999999998</v>
          </cell>
          <cell r="C231">
            <v>0</v>
          </cell>
        </row>
        <row r="232">
          <cell r="A232">
            <v>99806</v>
          </cell>
          <cell r="B232">
            <v>43.234999999999999</v>
          </cell>
          <cell r="C232">
            <v>0</v>
          </cell>
        </row>
        <row r="233">
          <cell r="A233">
            <v>99809</v>
          </cell>
          <cell r="B233">
            <v>75.441000000000003</v>
          </cell>
          <cell r="C233">
            <v>0</v>
          </cell>
        </row>
        <row r="234">
          <cell r="A234">
            <v>99812</v>
          </cell>
          <cell r="B234">
            <v>74.924000000000007</v>
          </cell>
          <cell r="C234">
            <v>0</v>
          </cell>
        </row>
        <row r="235">
          <cell r="A235">
            <v>99814</v>
          </cell>
          <cell r="B235">
            <v>34.783999999999999</v>
          </cell>
          <cell r="C235">
            <v>0</v>
          </cell>
        </row>
        <row r="236">
          <cell r="A236">
            <v>99820</v>
          </cell>
          <cell r="B236">
            <v>109.203</v>
          </cell>
          <cell r="C236">
            <v>0</v>
          </cell>
        </row>
      </sheetData>
      <sheetData sheetId="5"/>
      <sheetData sheetId="6">
        <row r="4">
          <cell r="K4">
            <v>44.193162895933924</v>
          </cell>
        </row>
        <row r="5">
          <cell r="K5">
            <v>48.905435655807104</v>
          </cell>
        </row>
        <row r="6">
          <cell r="K6">
            <v>40.745668717154601</v>
          </cell>
        </row>
        <row r="7">
          <cell r="K7">
            <v>72.790453799646556</v>
          </cell>
        </row>
        <row r="8">
          <cell r="K8">
            <v>72.898303540180891</v>
          </cell>
        </row>
        <row r="9">
          <cell r="K9">
            <v>34.010286459093386</v>
          </cell>
        </row>
        <row r="10">
          <cell r="K10">
            <v>94.887589062042764</v>
          </cell>
        </row>
        <row r="11">
          <cell r="K11">
            <v>11.418665786951946</v>
          </cell>
        </row>
      </sheetData>
      <sheetData sheetId="7">
        <row r="1">
          <cell r="A1" t="str">
            <v>CIG806_1A_UNIT_STATUS</v>
          </cell>
          <cell r="B1">
            <v>5</v>
          </cell>
        </row>
        <row r="2">
          <cell r="A2" t="str">
            <v>CIG806_2A_UNIT_STATUS</v>
          </cell>
          <cell r="B2">
            <v>5</v>
          </cell>
        </row>
        <row r="3">
          <cell r="A3" t="str">
            <v>CIG806_3A_UNIT_STATUS</v>
          </cell>
          <cell r="B3">
            <v>0</v>
          </cell>
        </row>
        <row r="4">
          <cell r="A4" t="str">
            <v>CIG806_ST_MLDISCH_PRESS</v>
          </cell>
          <cell r="B4">
            <v>888.78698699999995</v>
          </cell>
        </row>
        <row r="5">
          <cell r="A5" t="str">
            <v>CIG806_ST_MLSUCT_PRESS</v>
          </cell>
          <cell r="B5">
            <v>699.99401899999998</v>
          </cell>
        </row>
        <row r="6">
          <cell r="A6" t="str">
            <v>CIG806_ST_MLSUCT_TEMP</v>
          </cell>
          <cell r="B6">
            <v>82.487899999999996</v>
          </cell>
        </row>
        <row r="7">
          <cell r="A7" t="str">
            <v>CIG806_ST_MLDISCH_TEMP</v>
          </cell>
          <cell r="B7">
            <v>117.204002</v>
          </cell>
        </row>
        <row r="8">
          <cell r="A8" t="str">
            <v>CIG809_2A_UNIT_STATUS</v>
          </cell>
          <cell r="B8">
            <v>2</v>
          </cell>
        </row>
        <row r="9">
          <cell r="A9" t="str">
            <v>CIG809_3A_UNIT_STATUS</v>
          </cell>
          <cell r="B9">
            <v>2</v>
          </cell>
        </row>
        <row r="10">
          <cell r="A10" t="str">
            <v>CIG809_ST_MLDISCH_PRESS</v>
          </cell>
          <cell r="B10">
            <v>803.942993</v>
          </cell>
        </row>
        <row r="11">
          <cell r="A11" t="str">
            <v>CIG809_ST_MLSUCT_PRESS</v>
          </cell>
          <cell r="B11">
            <v>806.078979</v>
          </cell>
        </row>
        <row r="12">
          <cell r="A12" t="str">
            <v>CIG809_ST_MLSUCT_TEMP</v>
          </cell>
          <cell r="B12">
            <v>85.362899999999996</v>
          </cell>
        </row>
        <row r="13">
          <cell r="A13" t="str">
            <v>CIG809_ST_MLDISCH_TEMP</v>
          </cell>
          <cell r="B13">
            <v>84.801299999999998</v>
          </cell>
        </row>
        <row r="14">
          <cell r="A14" t="str">
            <v>CIG809_1B_UNIT_STATUS</v>
          </cell>
          <cell r="B14">
            <v>2</v>
          </cell>
        </row>
      </sheetData>
      <sheetData sheetId="8">
        <row r="1">
          <cell r="A1" t="str">
            <v>Type</v>
          </cell>
          <cell r="C1">
            <v>15</v>
          </cell>
          <cell r="F1" t="str">
            <v>Type</v>
          </cell>
          <cell r="G1">
            <v>0.26180555555555557</v>
          </cell>
          <cell r="I1">
            <v>0.8868055555576575</v>
          </cell>
          <cell r="L1" t="str">
            <v>Type</v>
          </cell>
          <cell r="O1" t="str">
            <v>Type</v>
          </cell>
          <cell r="R1" t="b">
            <v>0</v>
          </cell>
          <cell r="T1" t="b">
            <v>0</v>
          </cell>
          <cell r="U1">
            <v>1</v>
          </cell>
          <cell r="W1" t="b">
            <v>1</v>
          </cell>
        </row>
        <row r="2">
          <cell r="A2" t="str">
            <v>VOLR</v>
          </cell>
          <cell r="C2">
            <v>70</v>
          </cell>
          <cell r="F2" t="str">
            <v>TVOL</v>
          </cell>
          <cell r="L2" t="str">
            <v xml:space="preserve"> BTU</v>
          </cell>
          <cell r="O2" t="str">
            <v xml:space="preserve"> PRE</v>
          </cell>
          <cell r="R2" t="b">
            <v>0</v>
          </cell>
          <cell r="T2" t="b">
            <v>0</v>
          </cell>
          <cell r="U2" t="b">
            <v>1</v>
          </cell>
        </row>
        <row r="3">
          <cell r="O3" t="str">
            <v>BSTS</v>
          </cell>
          <cell r="R3" t="b">
            <v>0</v>
          </cell>
          <cell r="U3" t="b">
            <v>0</v>
          </cell>
        </row>
        <row r="4">
          <cell r="O4" t="str">
            <v>TEMP</v>
          </cell>
          <cell r="R4" t="b">
            <v>0</v>
          </cell>
          <cell r="U4" t="b">
            <v>0</v>
          </cell>
        </row>
        <row r="7">
          <cell r="A7" t="str">
            <v>Meter</v>
          </cell>
          <cell r="B7" t="str">
            <v>Value</v>
          </cell>
          <cell r="C7" t="str">
            <v>Data</v>
          </cell>
          <cell r="D7" t="str">
            <v>Time</v>
          </cell>
          <cell r="F7" t="str">
            <v>Meter</v>
          </cell>
          <cell r="G7" t="str">
            <v>Value</v>
          </cell>
          <cell r="I7" t="str">
            <v>Meter</v>
          </cell>
          <cell r="J7" t="str">
            <v>Value</v>
          </cell>
          <cell r="L7" t="str">
            <v>Meter</v>
          </cell>
          <cell r="M7" t="str">
            <v>Value</v>
          </cell>
          <cell r="O7" t="str">
            <v>Meter</v>
          </cell>
          <cell r="P7" t="str">
            <v>Value</v>
          </cell>
          <cell r="R7" t="str">
            <v>Meter</v>
          </cell>
          <cell r="S7" t="str">
            <v>Meter</v>
          </cell>
          <cell r="T7" t="str">
            <v>Meter</v>
          </cell>
          <cell r="U7" t="str">
            <v>Meter</v>
          </cell>
          <cell r="V7" t="str">
            <v>Meter</v>
          </cell>
          <cell r="W7" t="str">
            <v>Err</v>
          </cell>
        </row>
        <row r="8">
          <cell r="A8">
            <v>6101</v>
          </cell>
          <cell r="B8">
            <v>0</v>
          </cell>
          <cell r="C8" t="str">
            <v>UNAV</v>
          </cell>
          <cell r="D8">
            <v>36796.261805555558</v>
          </cell>
          <cell r="F8">
            <v>6101</v>
          </cell>
          <cell r="G8">
            <v>0</v>
          </cell>
          <cell r="I8">
            <v>6101</v>
          </cell>
          <cell r="J8">
            <v>0</v>
          </cell>
          <cell r="L8">
            <v>6101</v>
          </cell>
          <cell r="M8">
            <v>1025</v>
          </cell>
          <cell r="O8" t="str">
            <v xml:space="preserve"> 16297-PR  </v>
          </cell>
          <cell r="P8">
            <v>702.47045900000001</v>
          </cell>
          <cell r="R8" t="str">
            <v>&lt;20000</v>
          </cell>
          <cell r="S8" t="str">
            <v>&gt;20000</v>
          </cell>
          <cell r="T8" t="str">
            <v>&lt;29999</v>
          </cell>
          <cell r="U8" t="str">
            <v>&gt;40000</v>
          </cell>
          <cell r="V8" t="str">
            <v>&lt;50000</v>
          </cell>
          <cell r="W8" t="str">
            <v>COMM</v>
          </cell>
        </row>
        <row r="9">
          <cell r="A9">
            <v>6148</v>
          </cell>
          <cell r="B9">
            <v>0</v>
          </cell>
          <cell r="C9" t="str">
            <v xml:space="preserve">    </v>
          </cell>
          <cell r="D9">
            <v>36796.260416666664</v>
          </cell>
          <cell r="F9">
            <v>6148</v>
          </cell>
          <cell r="G9">
            <v>13519.098599999999</v>
          </cell>
          <cell r="I9">
            <v>6148</v>
          </cell>
          <cell r="J9">
            <v>13519.098599999999</v>
          </cell>
          <cell r="L9">
            <v>6148</v>
          </cell>
          <cell r="M9">
            <v>1010.98407</v>
          </cell>
          <cell r="O9" t="str">
            <v xml:space="preserve"> 16354-CPR </v>
          </cell>
          <cell r="P9">
            <v>846.40167199999996</v>
          </cell>
        </row>
        <row r="10">
          <cell r="A10">
            <v>16001</v>
          </cell>
          <cell r="B10">
            <v>0</v>
          </cell>
          <cell r="C10" t="str">
            <v>UNAV</v>
          </cell>
          <cell r="D10">
            <v>36796.261805555558</v>
          </cell>
          <cell r="F10">
            <v>16001</v>
          </cell>
          <cell r="G10">
            <v>0</v>
          </cell>
          <cell r="I10">
            <v>16001</v>
          </cell>
          <cell r="J10">
            <v>0</v>
          </cell>
          <cell r="L10">
            <v>16001</v>
          </cell>
          <cell r="M10">
            <v>1025</v>
          </cell>
          <cell r="O10" t="str">
            <v xml:space="preserve"> 16354-PR  </v>
          </cell>
          <cell r="P10">
            <v>843.25457800000004</v>
          </cell>
        </row>
        <row r="11">
          <cell r="A11">
            <v>16016</v>
          </cell>
          <cell r="B11">
            <v>0</v>
          </cell>
          <cell r="C11" t="str">
            <v>UNAV</v>
          </cell>
          <cell r="D11">
            <v>36796.261805555558</v>
          </cell>
          <cell r="F11">
            <v>16016</v>
          </cell>
          <cell r="G11">
            <v>0</v>
          </cell>
          <cell r="I11">
            <v>16016</v>
          </cell>
          <cell r="J11">
            <v>0</v>
          </cell>
          <cell r="L11">
            <v>16016</v>
          </cell>
          <cell r="M11">
            <v>1025</v>
          </cell>
          <cell r="O11" t="str">
            <v xml:space="preserve"> 26081-PR  </v>
          </cell>
          <cell r="P11">
            <v>823.84533699999997</v>
          </cell>
        </row>
        <row r="12">
          <cell r="A12">
            <v>16032</v>
          </cell>
          <cell r="B12">
            <v>117948</v>
          </cell>
          <cell r="C12" t="str">
            <v xml:space="preserve">    </v>
          </cell>
          <cell r="D12">
            <v>36796.255555555559</v>
          </cell>
          <cell r="F12">
            <v>16032</v>
          </cell>
          <cell r="G12">
            <v>96704.382800000007</v>
          </cell>
          <cell r="I12">
            <v>16032</v>
          </cell>
          <cell r="J12">
            <v>110055.44113308542</v>
          </cell>
          <cell r="L12">
            <v>16032</v>
          </cell>
          <cell r="M12">
            <v>1025</v>
          </cell>
          <cell r="O12" t="str">
            <v xml:space="preserve"> 26114-PR  </v>
          </cell>
          <cell r="P12">
            <v>595.4375</v>
          </cell>
        </row>
        <row r="13">
          <cell r="A13">
            <v>16036</v>
          </cell>
          <cell r="B13">
            <v>22521</v>
          </cell>
          <cell r="C13" t="str">
            <v xml:space="preserve">    </v>
          </cell>
          <cell r="D13">
            <v>36796.256249999999</v>
          </cell>
          <cell r="F13">
            <v>16036</v>
          </cell>
          <cell r="G13">
            <v>18320.800800000001</v>
          </cell>
          <cell r="I13">
            <v>16036</v>
          </cell>
          <cell r="J13">
            <v>20870.052883285996</v>
          </cell>
          <cell r="L13">
            <v>16036</v>
          </cell>
          <cell r="M13">
            <v>1025</v>
          </cell>
          <cell r="O13" t="str">
            <v xml:space="preserve"> 26153-PR  </v>
          </cell>
          <cell r="P13">
            <v>598.28143299999999</v>
          </cell>
        </row>
        <row r="14">
          <cell r="A14">
            <v>16038</v>
          </cell>
          <cell r="B14">
            <v>0</v>
          </cell>
          <cell r="C14" t="str">
            <v>UNAV</v>
          </cell>
          <cell r="D14">
            <v>36796.261805555558</v>
          </cell>
          <cell r="F14">
            <v>16038</v>
          </cell>
          <cell r="G14">
            <v>0</v>
          </cell>
          <cell r="I14">
            <v>16038</v>
          </cell>
          <cell r="J14">
            <v>0</v>
          </cell>
          <cell r="L14">
            <v>16038</v>
          </cell>
          <cell r="M14">
            <v>1025</v>
          </cell>
          <cell r="O14" t="str">
            <v xml:space="preserve"> 26164-PR  </v>
          </cell>
          <cell r="P14">
            <v>702.47045900000001</v>
          </cell>
        </row>
        <row r="15">
          <cell r="A15">
            <v>16039</v>
          </cell>
          <cell r="B15">
            <v>0</v>
          </cell>
          <cell r="C15" t="str">
            <v>UNAV</v>
          </cell>
          <cell r="D15">
            <v>36796.261805555558</v>
          </cell>
          <cell r="F15">
            <v>16039</v>
          </cell>
          <cell r="G15">
            <v>0</v>
          </cell>
          <cell r="I15">
            <v>16039</v>
          </cell>
          <cell r="J15">
            <v>0</v>
          </cell>
          <cell r="L15">
            <v>16039</v>
          </cell>
          <cell r="M15">
            <v>1025</v>
          </cell>
          <cell r="O15" t="str">
            <v xml:space="preserve"> 26167-PR  </v>
          </cell>
          <cell r="P15">
            <v>634.80127000000005</v>
          </cell>
        </row>
        <row r="16">
          <cell r="A16">
            <v>16047</v>
          </cell>
          <cell r="B16">
            <v>0</v>
          </cell>
          <cell r="C16" t="str">
            <v>UNAV</v>
          </cell>
          <cell r="D16">
            <v>36796.261805555558</v>
          </cell>
          <cell r="F16">
            <v>16047</v>
          </cell>
          <cell r="G16">
            <v>0</v>
          </cell>
          <cell r="I16">
            <v>16047</v>
          </cell>
          <cell r="J16">
            <v>0</v>
          </cell>
          <cell r="L16">
            <v>16047</v>
          </cell>
          <cell r="M16">
            <v>1025</v>
          </cell>
          <cell r="O16" t="str">
            <v xml:space="preserve"> 26215-PR  </v>
          </cell>
          <cell r="P16">
            <v>0</v>
          </cell>
        </row>
        <row r="17">
          <cell r="A17">
            <v>16055</v>
          </cell>
          <cell r="B17">
            <v>3218</v>
          </cell>
          <cell r="C17" t="str">
            <v xml:space="preserve">    </v>
          </cell>
          <cell r="D17">
            <v>36796.256249999999</v>
          </cell>
          <cell r="F17">
            <v>16055</v>
          </cell>
          <cell r="G17">
            <v>2782.6855500000001</v>
          </cell>
          <cell r="I17">
            <v>16055</v>
          </cell>
          <cell r="J17">
            <v>3146.9452722154583</v>
          </cell>
          <cell r="L17">
            <v>16055</v>
          </cell>
          <cell r="M17">
            <v>1025</v>
          </cell>
          <cell r="O17" t="str">
            <v xml:space="preserve"> 56001-DN  </v>
          </cell>
          <cell r="P17">
            <v>0</v>
          </cell>
        </row>
        <row r="18">
          <cell r="A18">
            <v>16057</v>
          </cell>
          <cell r="B18">
            <v>0</v>
          </cell>
          <cell r="C18" t="str">
            <v>UNAV</v>
          </cell>
          <cell r="D18">
            <v>36796.261805555558</v>
          </cell>
          <cell r="F18">
            <v>16057</v>
          </cell>
          <cell r="G18">
            <v>0</v>
          </cell>
          <cell r="I18">
            <v>16057</v>
          </cell>
          <cell r="J18">
            <v>0</v>
          </cell>
          <cell r="L18">
            <v>16057</v>
          </cell>
          <cell r="M18">
            <v>1025</v>
          </cell>
          <cell r="O18" t="str">
            <v xml:space="preserve"> 56001-PDN </v>
          </cell>
          <cell r="P18">
            <v>0</v>
          </cell>
        </row>
        <row r="19">
          <cell r="A19">
            <v>16058</v>
          </cell>
          <cell r="B19">
            <v>42011</v>
          </cell>
          <cell r="C19" t="str">
            <v xml:space="preserve">    </v>
          </cell>
          <cell r="D19">
            <v>36796.255555555559</v>
          </cell>
          <cell r="F19">
            <v>16058</v>
          </cell>
          <cell r="G19">
            <v>36846.656300000002</v>
          </cell>
          <cell r="I19">
            <v>16058</v>
          </cell>
          <cell r="J19">
            <v>41602.068105467253</v>
          </cell>
          <cell r="L19">
            <v>16058</v>
          </cell>
          <cell r="M19">
            <v>1025</v>
          </cell>
          <cell r="O19" t="str">
            <v xml:space="preserve"> 802-UP    </v>
          </cell>
          <cell r="P19">
            <v>786.78839100000005</v>
          </cell>
        </row>
        <row r="20">
          <cell r="A20">
            <v>16059</v>
          </cell>
          <cell r="B20">
            <v>0</v>
          </cell>
          <cell r="C20" t="str">
            <v xml:space="preserve">    </v>
          </cell>
          <cell r="D20">
            <v>36796.255555555559</v>
          </cell>
          <cell r="F20">
            <v>16059</v>
          </cell>
          <cell r="G20">
            <v>0</v>
          </cell>
          <cell r="I20">
            <v>16059</v>
          </cell>
          <cell r="J20">
            <v>0</v>
          </cell>
          <cell r="L20">
            <v>16059</v>
          </cell>
          <cell r="M20">
            <v>1025</v>
          </cell>
          <cell r="O20" t="str">
            <v xml:space="preserve"> 802-DN    </v>
          </cell>
          <cell r="P20">
            <v>787.05694600000004</v>
          </cell>
        </row>
        <row r="21">
          <cell r="A21">
            <v>16064</v>
          </cell>
          <cell r="B21">
            <v>0</v>
          </cell>
          <cell r="C21" t="str">
            <v>UNAV</v>
          </cell>
          <cell r="D21">
            <v>36796.261805555558</v>
          </cell>
          <cell r="F21">
            <v>16064</v>
          </cell>
          <cell r="G21">
            <v>0</v>
          </cell>
          <cell r="I21">
            <v>16064</v>
          </cell>
          <cell r="J21">
            <v>0</v>
          </cell>
          <cell r="L21">
            <v>16064</v>
          </cell>
          <cell r="M21">
            <v>1025</v>
          </cell>
          <cell r="O21" t="str">
            <v xml:space="preserve"> 804-S     </v>
          </cell>
          <cell r="P21">
            <v>738</v>
          </cell>
        </row>
        <row r="22">
          <cell r="A22">
            <v>16066</v>
          </cell>
          <cell r="B22">
            <v>27970</v>
          </cell>
          <cell r="C22" t="str">
            <v xml:space="preserve">    </v>
          </cell>
          <cell r="D22">
            <v>36796.261111111111</v>
          </cell>
          <cell r="F22">
            <v>16066</v>
          </cell>
          <cell r="G22">
            <v>24684.367200000001</v>
          </cell>
          <cell r="I22">
            <v>16066</v>
          </cell>
          <cell r="J22">
            <v>27850.41581105232</v>
          </cell>
          <cell r="L22">
            <v>16066</v>
          </cell>
          <cell r="M22">
            <v>1013</v>
          </cell>
          <cell r="O22" t="str">
            <v xml:space="preserve"> 804-D     </v>
          </cell>
          <cell r="P22">
            <v>736</v>
          </cell>
        </row>
        <row r="23">
          <cell r="A23">
            <v>16068</v>
          </cell>
          <cell r="B23">
            <v>0</v>
          </cell>
          <cell r="C23" t="str">
            <v xml:space="preserve">    </v>
          </cell>
          <cell r="D23">
            <v>36796.254166666666</v>
          </cell>
          <cell r="F23">
            <v>16068</v>
          </cell>
          <cell r="G23">
            <v>0</v>
          </cell>
          <cell r="I23">
            <v>16068</v>
          </cell>
          <cell r="J23">
            <v>0</v>
          </cell>
          <cell r="L23">
            <v>16068</v>
          </cell>
          <cell r="M23">
            <v>1026</v>
          </cell>
          <cell r="O23" t="str">
            <v xml:space="preserve"> 806-S     </v>
          </cell>
          <cell r="P23">
            <v>700.48199499999998</v>
          </cell>
        </row>
        <row r="24">
          <cell r="A24">
            <v>16069</v>
          </cell>
          <cell r="B24">
            <v>0</v>
          </cell>
          <cell r="C24" t="str">
            <v xml:space="preserve">    </v>
          </cell>
          <cell r="D24">
            <v>36796.255555555559</v>
          </cell>
          <cell r="F24">
            <v>16069</v>
          </cell>
          <cell r="G24">
            <v>0</v>
          </cell>
          <cell r="I24">
            <v>16069</v>
          </cell>
          <cell r="J24">
            <v>0</v>
          </cell>
          <cell r="L24">
            <v>16069</v>
          </cell>
          <cell r="M24">
            <v>1025</v>
          </cell>
          <cell r="O24" t="str">
            <v xml:space="preserve"> 806-D     </v>
          </cell>
          <cell r="P24">
            <v>887.07800299999997</v>
          </cell>
        </row>
        <row r="25">
          <cell r="A25">
            <v>16070</v>
          </cell>
          <cell r="B25">
            <v>0</v>
          </cell>
          <cell r="C25" t="str">
            <v>UNAV</v>
          </cell>
          <cell r="D25">
            <v>36796.261805555558</v>
          </cell>
          <cell r="F25">
            <v>16070</v>
          </cell>
          <cell r="G25">
            <v>0</v>
          </cell>
          <cell r="I25">
            <v>16070</v>
          </cell>
          <cell r="J25">
            <v>0</v>
          </cell>
          <cell r="L25">
            <v>16070</v>
          </cell>
          <cell r="M25">
            <v>1025</v>
          </cell>
          <cell r="O25" t="str">
            <v xml:space="preserve"> 809-S     </v>
          </cell>
          <cell r="P25">
            <v>805.103027</v>
          </cell>
        </row>
        <row r="26">
          <cell r="A26">
            <v>16073</v>
          </cell>
          <cell r="B26">
            <v>0</v>
          </cell>
          <cell r="C26" t="str">
            <v>UNAV</v>
          </cell>
          <cell r="D26">
            <v>36796.261805555558</v>
          </cell>
          <cell r="F26">
            <v>16073</v>
          </cell>
          <cell r="G26">
            <v>0</v>
          </cell>
          <cell r="I26">
            <v>16073</v>
          </cell>
          <cell r="J26">
            <v>0</v>
          </cell>
          <cell r="L26">
            <v>16073</v>
          </cell>
          <cell r="M26">
            <v>1025</v>
          </cell>
          <cell r="O26" t="str">
            <v xml:space="preserve"> 809-D     </v>
          </cell>
          <cell r="P26">
            <v>803.02801499999998</v>
          </cell>
        </row>
        <row r="27">
          <cell r="A27">
            <v>16078</v>
          </cell>
          <cell r="B27">
            <v>0</v>
          </cell>
          <cell r="C27" t="str">
            <v>UNAV</v>
          </cell>
          <cell r="D27">
            <v>36796.261805555558</v>
          </cell>
          <cell r="F27">
            <v>16078</v>
          </cell>
          <cell r="G27">
            <v>0</v>
          </cell>
          <cell r="I27">
            <v>16078</v>
          </cell>
          <cell r="J27">
            <v>0</v>
          </cell>
          <cell r="L27">
            <v>16078</v>
          </cell>
          <cell r="M27">
            <v>1025</v>
          </cell>
          <cell r="O27" t="str">
            <v xml:space="preserve"> 812-1A-UP </v>
          </cell>
          <cell r="P27">
            <v>729.591858</v>
          </cell>
        </row>
        <row r="28">
          <cell r="A28">
            <v>16080</v>
          </cell>
          <cell r="B28">
            <v>0</v>
          </cell>
          <cell r="C28" t="str">
            <v>UNAV</v>
          </cell>
          <cell r="D28">
            <v>36796.261805555558</v>
          </cell>
          <cell r="F28">
            <v>16080</v>
          </cell>
          <cell r="G28">
            <v>0</v>
          </cell>
          <cell r="I28">
            <v>16080</v>
          </cell>
          <cell r="J28">
            <v>0</v>
          </cell>
          <cell r="L28">
            <v>16080</v>
          </cell>
          <cell r="M28">
            <v>1033</v>
          </cell>
          <cell r="O28" t="str">
            <v xml:space="preserve"> 812-1A-DN </v>
          </cell>
          <cell r="P28">
            <v>722.07299799999998</v>
          </cell>
        </row>
        <row r="29">
          <cell r="A29">
            <v>16083</v>
          </cell>
          <cell r="B29">
            <v>0</v>
          </cell>
          <cell r="C29" t="str">
            <v>UNAV</v>
          </cell>
          <cell r="D29">
            <v>36796.261805555558</v>
          </cell>
          <cell r="F29">
            <v>16083</v>
          </cell>
          <cell r="G29">
            <v>0</v>
          </cell>
          <cell r="I29">
            <v>16083</v>
          </cell>
          <cell r="J29">
            <v>0</v>
          </cell>
          <cell r="L29">
            <v>16083</v>
          </cell>
          <cell r="M29">
            <v>1025</v>
          </cell>
          <cell r="O29" t="str">
            <v xml:space="preserve"> 813-PR    </v>
          </cell>
          <cell r="P29">
            <v>703.54455600000006</v>
          </cell>
        </row>
        <row r="30">
          <cell r="A30">
            <v>16087</v>
          </cell>
          <cell r="B30">
            <v>0</v>
          </cell>
          <cell r="C30" t="str">
            <v>UNAV</v>
          </cell>
          <cell r="D30">
            <v>36796.261805555558</v>
          </cell>
          <cell r="F30">
            <v>16087</v>
          </cell>
          <cell r="G30">
            <v>0</v>
          </cell>
          <cell r="I30">
            <v>16087</v>
          </cell>
          <cell r="J30">
            <v>0</v>
          </cell>
          <cell r="L30">
            <v>16087</v>
          </cell>
          <cell r="M30">
            <v>1028</v>
          </cell>
          <cell r="O30" t="str">
            <v xml:space="preserve"> 56006-PR  </v>
          </cell>
          <cell r="P30">
            <v>824.65087900000003</v>
          </cell>
        </row>
        <row r="31">
          <cell r="A31">
            <v>16088</v>
          </cell>
          <cell r="B31">
            <v>64012</v>
          </cell>
          <cell r="C31" t="str">
            <v xml:space="preserve">    </v>
          </cell>
          <cell r="D31">
            <v>36796.259722222225</v>
          </cell>
          <cell r="F31">
            <v>16088</v>
          </cell>
          <cell r="G31">
            <v>46195.253900000003</v>
          </cell>
          <cell r="I31">
            <v>16088</v>
          </cell>
          <cell r="J31">
            <v>53441.056677643232</v>
          </cell>
          <cell r="L31">
            <v>16088</v>
          </cell>
          <cell r="M31">
            <v>1010.98407</v>
          </cell>
          <cell r="O31" t="str">
            <v xml:space="preserve"> 56001-PR  </v>
          </cell>
          <cell r="P31">
            <v>632.78735400000005</v>
          </cell>
        </row>
        <row r="32">
          <cell r="A32">
            <v>16092</v>
          </cell>
          <cell r="B32">
            <v>0</v>
          </cell>
          <cell r="C32" t="str">
            <v>UNAV</v>
          </cell>
          <cell r="D32">
            <v>36796.261805555558</v>
          </cell>
          <cell r="F32">
            <v>16092</v>
          </cell>
          <cell r="G32">
            <v>0</v>
          </cell>
          <cell r="I32">
            <v>16092</v>
          </cell>
          <cell r="J32">
            <v>0</v>
          </cell>
          <cell r="L32">
            <v>16092</v>
          </cell>
          <cell r="M32">
            <v>1025</v>
          </cell>
          <cell r="O32" t="str">
            <v xml:space="preserve"> 26157-PR  </v>
          </cell>
          <cell r="P32">
            <v>632.65307600000006</v>
          </cell>
        </row>
        <row r="33">
          <cell r="A33">
            <v>16094</v>
          </cell>
          <cell r="B33">
            <v>0</v>
          </cell>
          <cell r="C33" t="str">
            <v>UNAV</v>
          </cell>
          <cell r="D33">
            <v>36796.261805555558</v>
          </cell>
          <cell r="F33">
            <v>16094</v>
          </cell>
          <cell r="G33">
            <v>0</v>
          </cell>
          <cell r="I33">
            <v>16094</v>
          </cell>
          <cell r="J33">
            <v>0</v>
          </cell>
          <cell r="L33">
            <v>16094</v>
          </cell>
          <cell r="M33">
            <v>1025</v>
          </cell>
          <cell r="O33" t="str">
            <v xml:space="preserve"> 26156-PR  </v>
          </cell>
          <cell r="P33">
            <v>876.47686799999997</v>
          </cell>
        </row>
        <row r="34">
          <cell r="A34">
            <v>16098</v>
          </cell>
          <cell r="B34">
            <v>0</v>
          </cell>
          <cell r="C34" t="str">
            <v>UNAV</v>
          </cell>
          <cell r="D34">
            <v>36796.261805555558</v>
          </cell>
          <cell r="F34">
            <v>16098</v>
          </cell>
          <cell r="G34">
            <v>0</v>
          </cell>
          <cell r="I34">
            <v>16098</v>
          </cell>
          <cell r="J34">
            <v>0</v>
          </cell>
          <cell r="L34">
            <v>16098</v>
          </cell>
          <cell r="M34">
            <v>1025</v>
          </cell>
          <cell r="O34" t="str">
            <v xml:space="preserve"> 26083-GT  </v>
          </cell>
          <cell r="P34">
            <v>79.712676999999999</v>
          </cell>
        </row>
        <row r="35">
          <cell r="A35">
            <v>16104</v>
          </cell>
          <cell r="B35">
            <v>0</v>
          </cell>
          <cell r="C35" t="str">
            <v>UNAV</v>
          </cell>
          <cell r="D35">
            <v>36796.261805555558</v>
          </cell>
          <cell r="F35">
            <v>16104</v>
          </cell>
          <cell r="G35">
            <v>0</v>
          </cell>
          <cell r="I35">
            <v>16104</v>
          </cell>
          <cell r="J35">
            <v>0</v>
          </cell>
          <cell r="L35">
            <v>16104</v>
          </cell>
          <cell r="M35">
            <v>1025</v>
          </cell>
          <cell r="O35" t="str">
            <v xml:space="preserve"> 16340-GT  </v>
          </cell>
          <cell r="P35">
            <v>0</v>
          </cell>
        </row>
        <row r="36">
          <cell r="A36">
            <v>16105</v>
          </cell>
          <cell r="B36">
            <v>0</v>
          </cell>
          <cell r="C36" t="str">
            <v>UNAV</v>
          </cell>
          <cell r="D36">
            <v>36796.261805555558</v>
          </cell>
          <cell r="F36">
            <v>16105</v>
          </cell>
          <cell r="G36">
            <v>0</v>
          </cell>
          <cell r="I36">
            <v>16105</v>
          </cell>
          <cell r="J36">
            <v>0</v>
          </cell>
          <cell r="L36">
            <v>16105</v>
          </cell>
          <cell r="M36">
            <v>1025</v>
          </cell>
          <cell r="O36" t="str">
            <v xml:space="preserve"> 804-DT    </v>
          </cell>
          <cell r="P36">
            <v>-5.8000002000000004</v>
          </cell>
        </row>
        <row r="37">
          <cell r="A37">
            <v>16107</v>
          </cell>
          <cell r="B37">
            <v>0</v>
          </cell>
          <cell r="C37" t="str">
            <v>UNAV</v>
          </cell>
          <cell r="D37">
            <v>36796.261805555558</v>
          </cell>
          <cell r="F37">
            <v>16107</v>
          </cell>
          <cell r="G37">
            <v>0</v>
          </cell>
          <cell r="I37">
            <v>16107</v>
          </cell>
          <cell r="J37">
            <v>0</v>
          </cell>
          <cell r="L37">
            <v>16107</v>
          </cell>
          <cell r="M37">
            <v>1025</v>
          </cell>
          <cell r="O37" t="str">
            <v xml:space="preserve"> 806-ST    </v>
          </cell>
          <cell r="P37">
            <v>0</v>
          </cell>
        </row>
        <row r="38">
          <cell r="A38">
            <v>16108</v>
          </cell>
          <cell r="B38">
            <v>0</v>
          </cell>
          <cell r="C38" t="str">
            <v>UNAV</v>
          </cell>
          <cell r="D38">
            <v>36796.261805555558</v>
          </cell>
          <cell r="F38">
            <v>16108</v>
          </cell>
          <cell r="G38">
            <v>0</v>
          </cell>
          <cell r="I38">
            <v>16108</v>
          </cell>
          <cell r="J38">
            <v>0</v>
          </cell>
          <cell r="L38">
            <v>16108</v>
          </cell>
          <cell r="M38">
            <v>1025</v>
          </cell>
          <cell r="O38" t="str">
            <v xml:space="preserve"> 806-DT    </v>
          </cell>
          <cell r="P38">
            <v>0</v>
          </cell>
        </row>
        <row r="39">
          <cell r="A39">
            <v>16109</v>
          </cell>
          <cell r="B39">
            <v>0</v>
          </cell>
          <cell r="C39" t="str">
            <v>UNAV</v>
          </cell>
          <cell r="D39">
            <v>36796.261805555558</v>
          </cell>
          <cell r="F39">
            <v>16109</v>
          </cell>
          <cell r="G39">
            <v>0</v>
          </cell>
          <cell r="I39">
            <v>16109</v>
          </cell>
          <cell r="J39">
            <v>0</v>
          </cell>
          <cell r="L39">
            <v>16109</v>
          </cell>
          <cell r="M39">
            <v>1025</v>
          </cell>
          <cell r="O39" t="str">
            <v xml:space="preserve"> 809-ST    </v>
          </cell>
          <cell r="P39">
            <v>0</v>
          </cell>
        </row>
        <row r="40">
          <cell r="A40">
            <v>16112</v>
          </cell>
          <cell r="B40">
            <v>0</v>
          </cell>
          <cell r="C40" t="str">
            <v>UNAV</v>
          </cell>
          <cell r="D40">
            <v>36796.261805555558</v>
          </cell>
          <cell r="F40">
            <v>16112</v>
          </cell>
          <cell r="G40">
            <v>0</v>
          </cell>
          <cell r="I40">
            <v>16112</v>
          </cell>
          <cell r="J40">
            <v>0</v>
          </cell>
          <cell r="L40">
            <v>16112</v>
          </cell>
          <cell r="M40">
            <v>1025</v>
          </cell>
          <cell r="O40" t="str">
            <v xml:space="preserve"> 809-DT    </v>
          </cell>
          <cell r="P40">
            <v>0</v>
          </cell>
        </row>
        <row r="41">
          <cell r="A41">
            <v>16114</v>
          </cell>
          <cell r="B41">
            <v>0</v>
          </cell>
          <cell r="C41" t="str">
            <v>UNAV</v>
          </cell>
          <cell r="D41">
            <v>36796.261805555558</v>
          </cell>
          <cell r="F41">
            <v>16114</v>
          </cell>
          <cell r="G41">
            <v>0</v>
          </cell>
          <cell r="I41">
            <v>16114</v>
          </cell>
          <cell r="J41">
            <v>0</v>
          </cell>
          <cell r="L41">
            <v>16114</v>
          </cell>
          <cell r="M41">
            <v>1025</v>
          </cell>
          <cell r="O41" t="str">
            <v xml:space="preserve"> 16088-GT  </v>
          </cell>
          <cell r="P41">
            <v>79.162193299999998</v>
          </cell>
        </row>
        <row r="42">
          <cell r="A42">
            <v>16119</v>
          </cell>
          <cell r="B42">
            <v>0</v>
          </cell>
          <cell r="C42" t="str">
            <v>UNAV</v>
          </cell>
          <cell r="D42">
            <v>36796.261805555558</v>
          </cell>
          <cell r="F42">
            <v>16119</v>
          </cell>
          <cell r="G42">
            <v>0</v>
          </cell>
          <cell r="I42">
            <v>16119</v>
          </cell>
          <cell r="J42">
            <v>0</v>
          </cell>
          <cell r="L42">
            <v>16119</v>
          </cell>
          <cell r="M42">
            <v>1025</v>
          </cell>
          <cell r="O42" t="str">
            <v xml:space="preserve"> 26006-GT  </v>
          </cell>
          <cell r="P42">
            <v>78.262619000000001</v>
          </cell>
        </row>
        <row r="43">
          <cell r="A43">
            <v>16122</v>
          </cell>
          <cell r="B43">
            <v>0</v>
          </cell>
          <cell r="C43" t="str">
            <v>UNAV</v>
          </cell>
          <cell r="D43">
            <v>36796.261805555558</v>
          </cell>
          <cell r="F43">
            <v>16122</v>
          </cell>
          <cell r="G43">
            <v>0</v>
          </cell>
          <cell r="I43">
            <v>16122</v>
          </cell>
          <cell r="J43">
            <v>0</v>
          </cell>
          <cell r="L43">
            <v>16122</v>
          </cell>
          <cell r="M43">
            <v>1025</v>
          </cell>
          <cell r="O43" t="str">
            <v xml:space="preserve"> 26157-GT  </v>
          </cell>
          <cell r="P43">
            <v>74.543502799999999</v>
          </cell>
        </row>
        <row r="44">
          <cell r="A44">
            <v>16124</v>
          </cell>
          <cell r="B44">
            <v>0</v>
          </cell>
          <cell r="C44" t="str">
            <v>UNAV</v>
          </cell>
          <cell r="D44">
            <v>36796.261805555558</v>
          </cell>
          <cell r="F44">
            <v>16124</v>
          </cell>
          <cell r="G44">
            <v>0</v>
          </cell>
          <cell r="I44">
            <v>16124</v>
          </cell>
          <cell r="J44">
            <v>0</v>
          </cell>
          <cell r="L44">
            <v>16124</v>
          </cell>
          <cell r="M44">
            <v>1025</v>
          </cell>
          <cell r="O44" t="str">
            <v xml:space="preserve"> 16179-GT  </v>
          </cell>
          <cell r="P44">
            <v>51.987110100000002</v>
          </cell>
        </row>
        <row r="45">
          <cell r="A45">
            <v>16127</v>
          </cell>
          <cell r="B45">
            <v>47321</v>
          </cell>
          <cell r="C45" t="str">
            <v xml:space="preserve">    </v>
          </cell>
          <cell r="D45">
            <v>36796.256944444445</v>
          </cell>
          <cell r="F45">
            <v>16127</v>
          </cell>
          <cell r="G45">
            <v>39412.265599999999</v>
          </cell>
          <cell r="I45">
            <v>16127</v>
          </cell>
          <cell r="J45">
            <v>44768.739905456088</v>
          </cell>
          <cell r="L45">
            <v>16127</v>
          </cell>
          <cell r="M45">
            <v>1015</v>
          </cell>
          <cell r="O45" t="str">
            <v xml:space="preserve"> 402-A01R  </v>
          </cell>
          <cell r="P45">
            <v>0</v>
          </cell>
        </row>
        <row r="46">
          <cell r="A46">
            <v>16128</v>
          </cell>
          <cell r="B46">
            <v>0</v>
          </cell>
          <cell r="C46" t="str">
            <v>UNAV</v>
          </cell>
          <cell r="D46">
            <v>36796.261805555558</v>
          </cell>
          <cell r="F46">
            <v>16128</v>
          </cell>
          <cell r="G46">
            <v>0</v>
          </cell>
          <cell r="I46">
            <v>16128</v>
          </cell>
          <cell r="J46">
            <v>0</v>
          </cell>
          <cell r="L46">
            <v>16128</v>
          </cell>
          <cell r="M46">
            <v>1025</v>
          </cell>
          <cell r="O46" t="str">
            <v xml:space="preserve"> 402-A01A  </v>
          </cell>
          <cell r="P46">
            <v>1</v>
          </cell>
        </row>
        <row r="47">
          <cell r="A47">
            <v>16130</v>
          </cell>
          <cell r="B47">
            <v>72920</v>
          </cell>
          <cell r="C47" t="str">
            <v xml:space="preserve">    </v>
          </cell>
          <cell r="D47">
            <v>36796.261805555558</v>
          </cell>
          <cell r="F47">
            <v>16130</v>
          </cell>
          <cell r="G47">
            <v>65174.304700000001</v>
          </cell>
          <cell r="I47">
            <v>16130</v>
          </cell>
          <cell r="J47">
            <v>73428.443588735623</v>
          </cell>
          <cell r="L47">
            <v>16130</v>
          </cell>
          <cell r="M47">
            <v>1005</v>
          </cell>
          <cell r="O47" t="str">
            <v xml:space="preserve"> 402-A02R  </v>
          </cell>
          <cell r="P47">
            <v>0</v>
          </cell>
        </row>
        <row r="48">
          <cell r="A48">
            <v>16136</v>
          </cell>
          <cell r="B48">
            <v>0</v>
          </cell>
          <cell r="C48" t="str">
            <v>UNAV</v>
          </cell>
          <cell r="D48">
            <v>36796.261805555558</v>
          </cell>
          <cell r="F48">
            <v>16136</v>
          </cell>
          <cell r="G48">
            <v>0</v>
          </cell>
          <cell r="I48">
            <v>16136</v>
          </cell>
          <cell r="J48">
            <v>0</v>
          </cell>
          <cell r="L48">
            <v>16136</v>
          </cell>
          <cell r="M48">
            <v>1025</v>
          </cell>
          <cell r="O48" t="str">
            <v xml:space="preserve"> 402-A02A  </v>
          </cell>
          <cell r="P48">
            <v>1</v>
          </cell>
        </row>
        <row r="49">
          <cell r="A49">
            <v>16138</v>
          </cell>
          <cell r="B49">
            <v>0</v>
          </cell>
          <cell r="C49" t="str">
            <v>UNAV</v>
          </cell>
          <cell r="D49">
            <v>36796.261805555558</v>
          </cell>
          <cell r="F49">
            <v>16138</v>
          </cell>
          <cell r="G49">
            <v>0</v>
          </cell>
          <cell r="I49">
            <v>16138</v>
          </cell>
          <cell r="J49">
            <v>0</v>
          </cell>
          <cell r="L49">
            <v>16138</v>
          </cell>
          <cell r="M49">
            <v>1025</v>
          </cell>
          <cell r="O49" t="str">
            <v xml:space="preserve"> 804-A01R  </v>
          </cell>
          <cell r="P49">
            <v>0</v>
          </cell>
        </row>
        <row r="50">
          <cell r="A50">
            <v>16146</v>
          </cell>
          <cell r="B50">
            <v>0</v>
          </cell>
          <cell r="C50" t="str">
            <v>UNAV</v>
          </cell>
          <cell r="D50">
            <v>36796.261805555558</v>
          </cell>
          <cell r="F50">
            <v>16146</v>
          </cell>
          <cell r="G50">
            <v>0</v>
          </cell>
          <cell r="I50">
            <v>16146</v>
          </cell>
          <cell r="J50">
            <v>0</v>
          </cell>
          <cell r="L50">
            <v>16146</v>
          </cell>
          <cell r="M50">
            <v>1025</v>
          </cell>
          <cell r="O50" t="str">
            <v xml:space="preserve"> 804-A01A  </v>
          </cell>
          <cell r="P50">
            <v>1</v>
          </cell>
        </row>
        <row r="51">
          <cell r="A51">
            <v>16147</v>
          </cell>
          <cell r="B51">
            <v>0</v>
          </cell>
          <cell r="C51" t="str">
            <v>UNAV</v>
          </cell>
          <cell r="D51">
            <v>36796.261805555558</v>
          </cell>
          <cell r="F51">
            <v>16147</v>
          </cell>
          <cell r="G51">
            <v>0</v>
          </cell>
          <cell r="I51">
            <v>16147</v>
          </cell>
          <cell r="J51">
            <v>0</v>
          </cell>
          <cell r="L51">
            <v>16147</v>
          </cell>
          <cell r="M51">
            <v>1025</v>
          </cell>
          <cell r="O51" t="str">
            <v xml:space="preserve"> 804-A02R  </v>
          </cell>
          <cell r="P51">
            <v>0</v>
          </cell>
        </row>
        <row r="52">
          <cell r="A52">
            <v>16151</v>
          </cell>
          <cell r="B52">
            <v>136064</v>
          </cell>
          <cell r="C52" t="str">
            <v xml:space="preserve">    </v>
          </cell>
          <cell r="D52">
            <v>36796.255555555559</v>
          </cell>
          <cell r="F52">
            <v>16151</v>
          </cell>
          <cell r="G52">
            <v>94377.6875</v>
          </cell>
          <cell r="I52">
            <v>16151</v>
          </cell>
          <cell r="J52">
            <v>109779.37638860289</v>
          </cell>
          <cell r="L52">
            <v>16151</v>
          </cell>
          <cell r="M52">
            <v>1025</v>
          </cell>
          <cell r="O52" t="str">
            <v xml:space="preserve"> 804-A02A  </v>
          </cell>
          <cell r="P52">
            <v>1</v>
          </cell>
        </row>
        <row r="53">
          <cell r="A53">
            <v>16152</v>
          </cell>
          <cell r="B53">
            <v>0</v>
          </cell>
          <cell r="C53" t="str">
            <v xml:space="preserve">    </v>
          </cell>
          <cell r="D53">
            <v>36796.261805555558</v>
          </cell>
          <cell r="F53">
            <v>16152</v>
          </cell>
          <cell r="G53">
            <v>0</v>
          </cell>
          <cell r="I53">
            <v>16152</v>
          </cell>
          <cell r="J53">
            <v>0</v>
          </cell>
          <cell r="L53">
            <v>16152</v>
          </cell>
          <cell r="M53">
            <v>1179</v>
          </cell>
          <cell r="O53" t="str">
            <v xml:space="preserve"> 806-A01R  </v>
          </cell>
          <cell r="P53">
            <v>0</v>
          </cell>
        </row>
        <row r="54">
          <cell r="A54">
            <v>16154</v>
          </cell>
          <cell r="B54">
            <v>0</v>
          </cell>
          <cell r="C54" t="str">
            <v>UNAV</v>
          </cell>
          <cell r="D54">
            <v>36796.261805555558</v>
          </cell>
          <cell r="F54">
            <v>16154</v>
          </cell>
          <cell r="G54">
            <v>0</v>
          </cell>
          <cell r="I54">
            <v>16154</v>
          </cell>
          <cell r="J54">
            <v>0</v>
          </cell>
          <cell r="L54">
            <v>16154</v>
          </cell>
          <cell r="M54">
            <v>1025</v>
          </cell>
          <cell r="O54" t="str">
            <v xml:space="preserve"> 806-A01A  </v>
          </cell>
          <cell r="P54">
            <v>0</v>
          </cell>
        </row>
        <row r="55">
          <cell r="A55">
            <v>16159</v>
          </cell>
          <cell r="B55">
            <v>0</v>
          </cell>
          <cell r="C55" t="str">
            <v>UNAV</v>
          </cell>
          <cell r="D55">
            <v>36796.261805555558</v>
          </cell>
          <cell r="F55">
            <v>16159</v>
          </cell>
          <cell r="G55">
            <v>0</v>
          </cell>
          <cell r="I55">
            <v>16159</v>
          </cell>
          <cell r="J55">
            <v>0</v>
          </cell>
          <cell r="L55">
            <v>16159</v>
          </cell>
          <cell r="M55">
            <v>1025</v>
          </cell>
          <cell r="O55" t="str">
            <v xml:space="preserve"> 806-A02R  </v>
          </cell>
          <cell r="P55">
            <v>0</v>
          </cell>
        </row>
        <row r="56">
          <cell r="A56">
            <v>16161</v>
          </cell>
          <cell r="B56">
            <v>0</v>
          </cell>
          <cell r="C56" t="str">
            <v>UNAV</v>
          </cell>
          <cell r="D56">
            <v>36796.261805555558</v>
          </cell>
          <cell r="F56">
            <v>16161</v>
          </cell>
          <cell r="G56">
            <v>0</v>
          </cell>
          <cell r="I56">
            <v>16161</v>
          </cell>
          <cell r="J56">
            <v>0</v>
          </cell>
          <cell r="L56">
            <v>16161</v>
          </cell>
          <cell r="M56">
            <v>1025</v>
          </cell>
          <cell r="O56" t="str">
            <v xml:space="preserve"> 806-A02A  </v>
          </cell>
          <cell r="P56">
            <v>0</v>
          </cell>
        </row>
        <row r="57">
          <cell r="A57">
            <v>16164</v>
          </cell>
          <cell r="B57">
            <v>0</v>
          </cell>
          <cell r="C57" t="str">
            <v>UNAV</v>
          </cell>
          <cell r="D57">
            <v>36796.261805555558</v>
          </cell>
          <cell r="F57">
            <v>16164</v>
          </cell>
          <cell r="G57">
            <v>0</v>
          </cell>
          <cell r="I57">
            <v>16164</v>
          </cell>
          <cell r="J57">
            <v>0</v>
          </cell>
          <cell r="L57">
            <v>16164</v>
          </cell>
          <cell r="M57">
            <v>1025</v>
          </cell>
          <cell r="O57" t="str">
            <v xml:space="preserve"> 806-A03R  </v>
          </cell>
          <cell r="P57">
            <v>0</v>
          </cell>
        </row>
        <row r="58">
          <cell r="A58">
            <v>16167</v>
          </cell>
          <cell r="B58">
            <v>0</v>
          </cell>
          <cell r="C58" t="str">
            <v>UNAV</v>
          </cell>
          <cell r="D58">
            <v>36796.261805555558</v>
          </cell>
          <cell r="F58">
            <v>16167</v>
          </cell>
          <cell r="G58">
            <v>0</v>
          </cell>
          <cell r="I58">
            <v>16167</v>
          </cell>
          <cell r="J58">
            <v>0</v>
          </cell>
          <cell r="L58">
            <v>16167</v>
          </cell>
          <cell r="M58">
            <v>1025</v>
          </cell>
          <cell r="O58" t="str">
            <v xml:space="preserve"> 806-A03A  </v>
          </cell>
          <cell r="P58">
            <v>0</v>
          </cell>
        </row>
        <row r="59">
          <cell r="A59">
            <v>16168</v>
          </cell>
          <cell r="B59">
            <v>0</v>
          </cell>
          <cell r="C59" t="str">
            <v xml:space="preserve">    </v>
          </cell>
          <cell r="D59">
            <v>36796.259722222225</v>
          </cell>
          <cell r="F59">
            <v>16168</v>
          </cell>
          <cell r="G59">
            <v>0</v>
          </cell>
          <cell r="I59">
            <v>16168</v>
          </cell>
          <cell r="J59">
            <v>0</v>
          </cell>
          <cell r="L59">
            <v>16168</v>
          </cell>
          <cell r="M59">
            <v>1025</v>
          </cell>
          <cell r="O59" t="str">
            <v xml:space="preserve"> 809-A01R  </v>
          </cell>
          <cell r="P59">
            <v>0</v>
          </cell>
        </row>
        <row r="60">
          <cell r="A60">
            <v>16169</v>
          </cell>
          <cell r="B60">
            <v>0</v>
          </cell>
          <cell r="C60" t="str">
            <v>UNAV</v>
          </cell>
          <cell r="D60">
            <v>36796.261805555558</v>
          </cell>
          <cell r="F60">
            <v>16169</v>
          </cell>
          <cell r="G60">
            <v>0</v>
          </cell>
          <cell r="I60">
            <v>16169</v>
          </cell>
          <cell r="J60">
            <v>0</v>
          </cell>
          <cell r="L60">
            <v>16169</v>
          </cell>
          <cell r="M60">
            <v>1025</v>
          </cell>
          <cell r="O60" t="str">
            <v xml:space="preserve"> 809-A01A  </v>
          </cell>
          <cell r="P60">
            <v>0</v>
          </cell>
        </row>
        <row r="61">
          <cell r="A61">
            <v>16170</v>
          </cell>
          <cell r="B61">
            <v>0</v>
          </cell>
          <cell r="C61" t="str">
            <v>UNAV</v>
          </cell>
          <cell r="D61">
            <v>36796.261805555558</v>
          </cell>
          <cell r="F61">
            <v>16170</v>
          </cell>
          <cell r="G61">
            <v>0</v>
          </cell>
          <cell r="I61">
            <v>16170</v>
          </cell>
          <cell r="J61">
            <v>0</v>
          </cell>
          <cell r="L61">
            <v>16170</v>
          </cell>
          <cell r="M61">
            <v>1025</v>
          </cell>
          <cell r="O61" t="str">
            <v xml:space="preserve"> 809-A02R  </v>
          </cell>
          <cell r="P61">
            <v>0</v>
          </cell>
        </row>
        <row r="62">
          <cell r="A62">
            <v>16171</v>
          </cell>
          <cell r="B62">
            <v>0</v>
          </cell>
          <cell r="C62" t="str">
            <v>UNAV</v>
          </cell>
          <cell r="D62">
            <v>36796.261805555558</v>
          </cell>
          <cell r="F62">
            <v>16171</v>
          </cell>
          <cell r="G62">
            <v>0</v>
          </cell>
          <cell r="I62">
            <v>16171</v>
          </cell>
          <cell r="J62">
            <v>0</v>
          </cell>
          <cell r="L62">
            <v>16171</v>
          </cell>
          <cell r="M62">
            <v>1025</v>
          </cell>
          <cell r="O62" t="str">
            <v xml:space="preserve"> 809-A02A  </v>
          </cell>
          <cell r="P62">
            <v>0</v>
          </cell>
        </row>
        <row r="63">
          <cell r="A63">
            <v>16174</v>
          </cell>
          <cell r="B63">
            <v>0</v>
          </cell>
          <cell r="C63" t="str">
            <v>UNAV</v>
          </cell>
          <cell r="D63">
            <v>36796.261805555558</v>
          </cell>
          <cell r="F63">
            <v>16174</v>
          </cell>
          <cell r="G63">
            <v>0</v>
          </cell>
          <cell r="I63">
            <v>16174</v>
          </cell>
          <cell r="J63">
            <v>0</v>
          </cell>
          <cell r="L63">
            <v>16174</v>
          </cell>
          <cell r="M63">
            <v>1025</v>
          </cell>
          <cell r="O63" t="str">
            <v xml:space="preserve"> 809-A03R  </v>
          </cell>
          <cell r="P63">
            <v>0</v>
          </cell>
        </row>
        <row r="64">
          <cell r="A64">
            <v>16178</v>
          </cell>
          <cell r="B64">
            <v>0</v>
          </cell>
          <cell r="C64" t="str">
            <v>COMM</v>
          </cell>
          <cell r="D64">
            <v>36795.410416666666</v>
          </cell>
          <cell r="F64">
            <v>16178</v>
          </cell>
          <cell r="G64">
            <v>0</v>
          </cell>
          <cell r="I64">
            <v>16178</v>
          </cell>
          <cell r="J64">
            <v>0</v>
          </cell>
          <cell r="L64">
            <v>16178</v>
          </cell>
          <cell r="M64">
            <v>1025</v>
          </cell>
          <cell r="O64" t="str">
            <v xml:space="preserve"> 809-A03A  </v>
          </cell>
          <cell r="P64">
            <v>0</v>
          </cell>
        </row>
        <row r="65">
          <cell r="A65">
            <v>16179</v>
          </cell>
          <cell r="B65">
            <v>0</v>
          </cell>
          <cell r="C65" t="str">
            <v xml:space="preserve">    </v>
          </cell>
          <cell r="D65">
            <v>36796.254861111112</v>
          </cell>
          <cell r="F65">
            <v>16179</v>
          </cell>
          <cell r="G65">
            <v>0</v>
          </cell>
          <cell r="I65">
            <v>16179</v>
          </cell>
          <cell r="J65">
            <v>0</v>
          </cell>
          <cell r="L65">
            <v>16179</v>
          </cell>
          <cell r="M65">
            <v>1035.1430700000001</v>
          </cell>
          <cell r="O65" t="str">
            <v xml:space="preserve"> 809-B01R  </v>
          </cell>
          <cell r="P65">
            <v>0</v>
          </cell>
        </row>
        <row r="66">
          <cell r="A66">
            <v>16181</v>
          </cell>
          <cell r="B66">
            <v>0</v>
          </cell>
          <cell r="C66" t="str">
            <v>UNAV</v>
          </cell>
          <cell r="D66">
            <v>36796.261805555558</v>
          </cell>
          <cell r="F66">
            <v>16181</v>
          </cell>
          <cell r="G66">
            <v>0</v>
          </cell>
          <cell r="I66">
            <v>16181</v>
          </cell>
          <cell r="J66">
            <v>0</v>
          </cell>
          <cell r="L66">
            <v>16181</v>
          </cell>
          <cell r="M66">
            <v>1025</v>
          </cell>
          <cell r="O66" t="str">
            <v xml:space="preserve"> 809-B01A  </v>
          </cell>
          <cell r="P66">
            <v>0</v>
          </cell>
        </row>
        <row r="67">
          <cell r="A67">
            <v>16182</v>
          </cell>
          <cell r="B67">
            <v>0</v>
          </cell>
          <cell r="C67" t="str">
            <v>UNAV</v>
          </cell>
          <cell r="D67">
            <v>36796.261805555558</v>
          </cell>
          <cell r="F67">
            <v>16182</v>
          </cell>
          <cell r="G67">
            <v>0</v>
          </cell>
          <cell r="I67">
            <v>16182</v>
          </cell>
          <cell r="J67">
            <v>0</v>
          </cell>
          <cell r="L67">
            <v>16182</v>
          </cell>
          <cell r="M67">
            <v>1025</v>
          </cell>
          <cell r="O67" t="str">
            <v xml:space="preserve"> 812-A01R  </v>
          </cell>
          <cell r="P67">
            <v>0</v>
          </cell>
        </row>
        <row r="68">
          <cell r="A68">
            <v>16188</v>
          </cell>
          <cell r="B68">
            <v>0</v>
          </cell>
          <cell r="C68" t="str">
            <v>UNAV</v>
          </cell>
          <cell r="D68">
            <v>36796.261805555558</v>
          </cell>
          <cell r="F68">
            <v>16188</v>
          </cell>
          <cell r="G68">
            <v>0</v>
          </cell>
          <cell r="I68">
            <v>16188</v>
          </cell>
          <cell r="J68">
            <v>0</v>
          </cell>
          <cell r="L68">
            <v>16188</v>
          </cell>
          <cell r="M68">
            <v>1025</v>
          </cell>
          <cell r="O68" t="str">
            <v xml:space="preserve"> 812-A01A  </v>
          </cell>
          <cell r="P68">
            <v>1</v>
          </cell>
        </row>
        <row r="69">
          <cell r="A69">
            <v>16189</v>
          </cell>
          <cell r="B69">
            <v>0</v>
          </cell>
          <cell r="C69" t="str">
            <v>UNAV</v>
          </cell>
          <cell r="D69">
            <v>36796.261805555558</v>
          </cell>
          <cell r="F69">
            <v>16189</v>
          </cell>
          <cell r="G69">
            <v>0</v>
          </cell>
          <cell r="I69">
            <v>16189</v>
          </cell>
          <cell r="J69">
            <v>0</v>
          </cell>
          <cell r="L69">
            <v>16189</v>
          </cell>
          <cell r="M69">
            <v>1025</v>
          </cell>
          <cell r="O69" t="str">
            <v xml:space="preserve"> 812-A02R  </v>
          </cell>
          <cell r="P69">
            <v>0</v>
          </cell>
        </row>
        <row r="70">
          <cell r="A70">
            <v>16198</v>
          </cell>
          <cell r="B70">
            <v>0</v>
          </cell>
          <cell r="C70" t="str">
            <v>UNAV</v>
          </cell>
          <cell r="D70">
            <v>36796.261805555558</v>
          </cell>
          <cell r="F70">
            <v>16198</v>
          </cell>
          <cell r="G70">
            <v>0</v>
          </cell>
          <cell r="I70">
            <v>16198</v>
          </cell>
          <cell r="J70">
            <v>0</v>
          </cell>
          <cell r="L70">
            <v>16198</v>
          </cell>
          <cell r="M70">
            <v>1025</v>
          </cell>
          <cell r="O70" t="str">
            <v xml:space="preserve"> 812-A02A  </v>
          </cell>
          <cell r="P70">
            <v>1</v>
          </cell>
        </row>
        <row r="71">
          <cell r="A71">
            <v>16199</v>
          </cell>
          <cell r="B71">
            <v>0</v>
          </cell>
          <cell r="C71" t="str">
            <v>UNAV</v>
          </cell>
          <cell r="D71">
            <v>36796.261805555558</v>
          </cell>
          <cell r="F71">
            <v>16199</v>
          </cell>
          <cell r="G71">
            <v>0</v>
          </cell>
          <cell r="I71">
            <v>16199</v>
          </cell>
          <cell r="J71">
            <v>0</v>
          </cell>
          <cell r="L71">
            <v>16199</v>
          </cell>
          <cell r="M71">
            <v>1025</v>
          </cell>
          <cell r="O71" t="str">
            <v xml:space="preserve"> 812-A03R  </v>
          </cell>
          <cell r="P71">
            <v>0</v>
          </cell>
        </row>
        <row r="72">
          <cell r="A72">
            <v>16201</v>
          </cell>
          <cell r="B72">
            <v>0</v>
          </cell>
          <cell r="C72" t="str">
            <v>UNAV</v>
          </cell>
          <cell r="D72">
            <v>36796.261805555558</v>
          </cell>
          <cell r="F72">
            <v>16201</v>
          </cell>
          <cell r="G72">
            <v>0</v>
          </cell>
          <cell r="I72">
            <v>16201</v>
          </cell>
          <cell r="J72">
            <v>0</v>
          </cell>
          <cell r="L72">
            <v>16201</v>
          </cell>
          <cell r="M72">
            <v>1025</v>
          </cell>
          <cell r="O72" t="str">
            <v xml:space="preserve"> 812-A03A  </v>
          </cell>
          <cell r="P72">
            <v>1</v>
          </cell>
        </row>
        <row r="73">
          <cell r="A73">
            <v>16204</v>
          </cell>
          <cell r="B73">
            <v>0</v>
          </cell>
          <cell r="C73" t="str">
            <v>UNAV</v>
          </cell>
          <cell r="D73">
            <v>36796.261805555558</v>
          </cell>
          <cell r="F73">
            <v>16204</v>
          </cell>
          <cell r="G73">
            <v>0</v>
          </cell>
          <cell r="I73">
            <v>16204</v>
          </cell>
          <cell r="J73">
            <v>0</v>
          </cell>
          <cell r="L73">
            <v>16204</v>
          </cell>
          <cell r="M73">
            <v>1025</v>
          </cell>
          <cell r="O73" t="str">
            <v xml:space="preserve"> 812-S     </v>
          </cell>
          <cell r="P73">
            <v>724.22131300000001</v>
          </cell>
        </row>
        <row r="74">
          <cell r="A74">
            <v>16208</v>
          </cell>
          <cell r="B74">
            <v>0</v>
          </cell>
          <cell r="C74" t="str">
            <v>UNAV</v>
          </cell>
          <cell r="D74">
            <v>36796.261805555558</v>
          </cell>
          <cell r="F74">
            <v>16208</v>
          </cell>
          <cell r="G74">
            <v>0</v>
          </cell>
          <cell r="I74">
            <v>16208</v>
          </cell>
          <cell r="J74">
            <v>0</v>
          </cell>
          <cell r="L74">
            <v>16208</v>
          </cell>
          <cell r="M74">
            <v>1025</v>
          </cell>
          <cell r="O74" t="str">
            <v xml:space="preserve"> 812-D     </v>
          </cell>
          <cell r="P74">
            <v>719.11926300000005</v>
          </cell>
        </row>
        <row r="75">
          <cell r="A75">
            <v>16209</v>
          </cell>
          <cell r="B75">
            <v>0</v>
          </cell>
          <cell r="C75" t="str">
            <v>UNAV</v>
          </cell>
          <cell r="D75">
            <v>36796.261805555558</v>
          </cell>
          <cell r="F75">
            <v>16209</v>
          </cell>
          <cell r="G75">
            <v>0</v>
          </cell>
          <cell r="I75">
            <v>16209</v>
          </cell>
          <cell r="J75">
            <v>0</v>
          </cell>
          <cell r="L75">
            <v>16209</v>
          </cell>
          <cell r="M75">
            <v>1025</v>
          </cell>
          <cell r="O75" t="str">
            <v xml:space="preserve"> 56015-CPR </v>
          </cell>
          <cell r="P75">
            <v>482.27713</v>
          </cell>
        </row>
        <row r="76">
          <cell r="A76">
            <v>16210</v>
          </cell>
          <cell r="B76">
            <v>0</v>
          </cell>
          <cell r="C76" t="str">
            <v xml:space="preserve">    </v>
          </cell>
          <cell r="D76">
            <v>36796.256249999999</v>
          </cell>
          <cell r="F76">
            <v>16210</v>
          </cell>
          <cell r="G76">
            <v>0</v>
          </cell>
          <cell r="I76">
            <v>16210</v>
          </cell>
          <cell r="J76">
            <v>0</v>
          </cell>
          <cell r="L76">
            <v>16210</v>
          </cell>
          <cell r="M76">
            <v>1025</v>
          </cell>
          <cell r="O76" t="str">
            <v xml:space="preserve"> 06148-PR  </v>
          </cell>
          <cell r="P76">
            <v>464.285706</v>
          </cell>
        </row>
        <row r="77">
          <cell r="A77">
            <v>16215</v>
          </cell>
          <cell r="B77">
            <v>0</v>
          </cell>
          <cell r="C77" t="str">
            <v>UNAV</v>
          </cell>
          <cell r="D77">
            <v>36796.261805555558</v>
          </cell>
          <cell r="F77">
            <v>16215</v>
          </cell>
          <cell r="G77">
            <v>0</v>
          </cell>
          <cell r="I77">
            <v>16215</v>
          </cell>
          <cell r="J77">
            <v>0</v>
          </cell>
          <cell r="L77">
            <v>16215</v>
          </cell>
          <cell r="M77">
            <v>1025</v>
          </cell>
          <cell r="O77" t="str">
            <v xml:space="preserve"> 16367-PR  </v>
          </cell>
          <cell r="P77">
            <v>690.625</v>
          </cell>
        </row>
        <row r="78">
          <cell r="A78">
            <v>16218</v>
          </cell>
          <cell r="B78">
            <v>1155</v>
          </cell>
          <cell r="C78" t="str">
            <v xml:space="preserve">    </v>
          </cell>
          <cell r="D78">
            <v>36796.259027777778</v>
          </cell>
          <cell r="F78">
            <v>16218</v>
          </cell>
          <cell r="G78">
            <v>1151.25964</v>
          </cell>
          <cell r="I78">
            <v>16218</v>
          </cell>
          <cell r="J78">
            <v>1281.9992233309056</v>
          </cell>
          <cell r="L78">
            <v>16218</v>
          </cell>
          <cell r="M78">
            <v>1014</v>
          </cell>
          <cell r="O78" t="str">
            <v xml:space="preserve"> 16367-CPR </v>
          </cell>
          <cell r="P78">
            <v>0</v>
          </cell>
        </row>
        <row r="79">
          <cell r="A79">
            <v>16219</v>
          </cell>
          <cell r="B79">
            <v>0</v>
          </cell>
          <cell r="C79" t="str">
            <v>UNAV</v>
          </cell>
          <cell r="D79">
            <v>36796.261805555558</v>
          </cell>
          <cell r="F79">
            <v>16219</v>
          </cell>
          <cell r="G79">
            <v>0</v>
          </cell>
          <cell r="I79">
            <v>16219</v>
          </cell>
          <cell r="J79">
            <v>0</v>
          </cell>
          <cell r="L79">
            <v>16219</v>
          </cell>
          <cell r="M79">
            <v>1025</v>
          </cell>
        </row>
        <row r="80">
          <cell r="A80">
            <v>16222</v>
          </cell>
          <cell r="B80">
            <v>20938</v>
          </cell>
          <cell r="C80" t="str">
            <v xml:space="preserve">    </v>
          </cell>
          <cell r="D80">
            <v>36796.256249999999</v>
          </cell>
          <cell r="F80">
            <v>16222</v>
          </cell>
          <cell r="G80">
            <v>18265.300800000001</v>
          </cell>
          <cell r="I80">
            <v>16222</v>
          </cell>
          <cell r="J80">
            <v>20635.366077733768</v>
          </cell>
          <cell r="L80">
            <v>16222</v>
          </cell>
          <cell r="M80">
            <v>1025</v>
          </cell>
        </row>
        <row r="81">
          <cell r="A81">
            <v>16223</v>
          </cell>
          <cell r="B81">
            <v>0</v>
          </cell>
          <cell r="C81" t="str">
            <v>UNAV</v>
          </cell>
          <cell r="D81">
            <v>36796.261805555558</v>
          </cell>
          <cell r="F81">
            <v>16223</v>
          </cell>
          <cell r="G81">
            <v>0</v>
          </cell>
          <cell r="I81">
            <v>16223</v>
          </cell>
          <cell r="J81">
            <v>0</v>
          </cell>
          <cell r="L81">
            <v>16223</v>
          </cell>
          <cell r="M81">
            <v>1025</v>
          </cell>
        </row>
        <row r="82">
          <cell r="A82">
            <v>16226</v>
          </cell>
          <cell r="B82">
            <v>0</v>
          </cell>
          <cell r="C82" t="str">
            <v xml:space="preserve">    </v>
          </cell>
          <cell r="D82">
            <v>36796.255555555559</v>
          </cell>
          <cell r="F82">
            <v>16226</v>
          </cell>
          <cell r="G82">
            <v>0</v>
          </cell>
          <cell r="I82">
            <v>16226</v>
          </cell>
          <cell r="J82">
            <v>0</v>
          </cell>
          <cell r="L82">
            <v>16226</v>
          </cell>
          <cell r="M82">
            <v>1025</v>
          </cell>
        </row>
        <row r="83">
          <cell r="A83">
            <v>16227</v>
          </cell>
          <cell r="B83">
            <v>0</v>
          </cell>
          <cell r="C83" t="str">
            <v>UNAV</v>
          </cell>
          <cell r="D83">
            <v>36796.261805555558</v>
          </cell>
          <cell r="F83">
            <v>16227</v>
          </cell>
          <cell r="G83">
            <v>0</v>
          </cell>
          <cell r="I83">
            <v>16227</v>
          </cell>
          <cell r="J83">
            <v>0</v>
          </cell>
          <cell r="L83">
            <v>16227</v>
          </cell>
          <cell r="M83">
            <v>1025</v>
          </cell>
        </row>
        <row r="84">
          <cell r="A84">
            <v>16229</v>
          </cell>
          <cell r="B84">
            <v>0</v>
          </cell>
          <cell r="C84" t="str">
            <v>UNAV</v>
          </cell>
          <cell r="D84">
            <v>36796.261805555558</v>
          </cell>
          <cell r="F84">
            <v>16229</v>
          </cell>
          <cell r="G84">
            <v>0</v>
          </cell>
          <cell r="I84">
            <v>16229</v>
          </cell>
          <cell r="J84">
            <v>0</v>
          </cell>
          <cell r="L84">
            <v>16229</v>
          </cell>
          <cell r="M84">
            <v>1025</v>
          </cell>
        </row>
        <row r="85">
          <cell r="A85">
            <v>16234</v>
          </cell>
          <cell r="B85">
            <v>0</v>
          </cell>
          <cell r="C85" t="str">
            <v>UNAV</v>
          </cell>
          <cell r="D85">
            <v>36796.261805555558</v>
          </cell>
          <cell r="F85">
            <v>16234</v>
          </cell>
          <cell r="G85">
            <v>0</v>
          </cell>
          <cell r="I85">
            <v>16234</v>
          </cell>
          <cell r="J85">
            <v>0</v>
          </cell>
          <cell r="L85">
            <v>16234</v>
          </cell>
          <cell r="M85">
            <v>1025</v>
          </cell>
        </row>
        <row r="86">
          <cell r="A86">
            <v>16236</v>
          </cell>
          <cell r="B86">
            <v>0</v>
          </cell>
          <cell r="C86" t="str">
            <v>UNAV</v>
          </cell>
          <cell r="D86">
            <v>36796.261805555558</v>
          </cell>
          <cell r="F86">
            <v>16236</v>
          </cell>
          <cell r="G86">
            <v>0</v>
          </cell>
          <cell r="I86">
            <v>16236</v>
          </cell>
          <cell r="J86">
            <v>0</v>
          </cell>
          <cell r="L86">
            <v>16236</v>
          </cell>
          <cell r="M86">
            <v>1025</v>
          </cell>
        </row>
        <row r="87">
          <cell r="A87">
            <v>16237</v>
          </cell>
          <cell r="B87">
            <v>0</v>
          </cell>
          <cell r="C87" t="str">
            <v>UNAV</v>
          </cell>
          <cell r="D87">
            <v>36796.261805555558</v>
          </cell>
          <cell r="F87">
            <v>16237</v>
          </cell>
          <cell r="G87">
            <v>0</v>
          </cell>
          <cell r="I87">
            <v>16237</v>
          </cell>
          <cell r="J87">
            <v>0</v>
          </cell>
          <cell r="L87">
            <v>16237</v>
          </cell>
          <cell r="M87">
            <v>1025</v>
          </cell>
        </row>
        <row r="88">
          <cell r="A88">
            <v>16240</v>
          </cell>
          <cell r="B88">
            <v>0</v>
          </cell>
          <cell r="C88" t="str">
            <v>UNAV</v>
          </cell>
          <cell r="D88">
            <v>36796.261805555558</v>
          </cell>
          <cell r="F88">
            <v>16240</v>
          </cell>
          <cell r="G88">
            <v>0</v>
          </cell>
          <cell r="I88">
            <v>16240</v>
          </cell>
          <cell r="J88">
            <v>0</v>
          </cell>
          <cell r="L88">
            <v>16240</v>
          </cell>
          <cell r="M88">
            <v>1025</v>
          </cell>
        </row>
        <row r="89">
          <cell r="A89">
            <v>16241</v>
          </cell>
          <cell r="B89">
            <v>0</v>
          </cell>
          <cell r="C89" t="str">
            <v>UNAV</v>
          </cell>
          <cell r="D89">
            <v>36796.261805555558</v>
          </cell>
          <cell r="F89">
            <v>16241</v>
          </cell>
          <cell r="G89">
            <v>0</v>
          </cell>
          <cell r="I89">
            <v>16241</v>
          </cell>
          <cell r="J89">
            <v>0</v>
          </cell>
          <cell r="L89">
            <v>16241</v>
          </cell>
          <cell r="M89">
            <v>1025</v>
          </cell>
        </row>
        <row r="90">
          <cell r="A90">
            <v>16242</v>
          </cell>
          <cell r="B90">
            <v>0</v>
          </cell>
          <cell r="C90" t="str">
            <v>UNAV</v>
          </cell>
          <cell r="D90">
            <v>36796.261805555558</v>
          </cell>
          <cell r="F90">
            <v>16242</v>
          </cell>
          <cell r="G90">
            <v>0</v>
          </cell>
          <cell r="I90">
            <v>16242</v>
          </cell>
          <cell r="J90">
            <v>0</v>
          </cell>
          <cell r="L90">
            <v>16242</v>
          </cell>
          <cell r="M90">
            <v>1025</v>
          </cell>
        </row>
        <row r="91">
          <cell r="A91">
            <v>16243</v>
          </cell>
          <cell r="B91">
            <v>0</v>
          </cell>
          <cell r="C91" t="str">
            <v>UNAV</v>
          </cell>
          <cell r="D91">
            <v>36796.261805555558</v>
          </cell>
          <cell r="F91">
            <v>16243</v>
          </cell>
          <cell r="G91">
            <v>0</v>
          </cell>
          <cell r="I91">
            <v>16243</v>
          </cell>
          <cell r="J91">
            <v>0</v>
          </cell>
          <cell r="L91">
            <v>16243</v>
          </cell>
          <cell r="M91">
            <v>1025</v>
          </cell>
        </row>
        <row r="92">
          <cell r="A92">
            <v>16244</v>
          </cell>
          <cell r="B92">
            <v>118027</v>
          </cell>
          <cell r="C92" t="str">
            <v xml:space="preserve">    </v>
          </cell>
          <cell r="D92">
            <v>36796.259027777778</v>
          </cell>
          <cell r="F92">
            <v>16244</v>
          </cell>
          <cell r="G92">
            <v>77297.015599999999</v>
          </cell>
          <cell r="I92">
            <v>16244</v>
          </cell>
          <cell r="J92">
            <v>90657.016294196364</v>
          </cell>
          <cell r="L92">
            <v>16244</v>
          </cell>
          <cell r="M92">
            <v>1019</v>
          </cell>
        </row>
        <row r="93">
          <cell r="A93">
            <v>16247</v>
          </cell>
          <cell r="B93">
            <v>0</v>
          </cell>
          <cell r="C93" t="str">
            <v xml:space="preserve">    </v>
          </cell>
          <cell r="D93">
            <v>36796.254861111112</v>
          </cell>
          <cell r="F93">
            <v>16247</v>
          </cell>
          <cell r="G93">
            <v>0</v>
          </cell>
          <cell r="I93">
            <v>16247</v>
          </cell>
          <cell r="J93">
            <v>0</v>
          </cell>
          <cell r="L93">
            <v>16247</v>
          </cell>
          <cell r="M93">
            <v>1214</v>
          </cell>
        </row>
        <row r="94">
          <cell r="A94">
            <v>16248</v>
          </cell>
          <cell r="B94">
            <v>0</v>
          </cell>
          <cell r="C94" t="str">
            <v>UNAV</v>
          </cell>
          <cell r="D94">
            <v>36796.261805555558</v>
          </cell>
          <cell r="F94">
            <v>16248</v>
          </cell>
          <cell r="G94">
            <v>0</v>
          </cell>
          <cell r="I94">
            <v>16248</v>
          </cell>
          <cell r="J94">
            <v>0</v>
          </cell>
          <cell r="L94">
            <v>16248</v>
          </cell>
          <cell r="M94">
            <v>1025</v>
          </cell>
        </row>
        <row r="95">
          <cell r="A95">
            <v>16252</v>
          </cell>
          <cell r="B95">
            <v>0</v>
          </cell>
          <cell r="C95" t="str">
            <v>UNAV</v>
          </cell>
          <cell r="D95">
            <v>36796.261805555558</v>
          </cell>
          <cell r="F95">
            <v>16252</v>
          </cell>
          <cell r="G95">
            <v>0</v>
          </cell>
          <cell r="I95">
            <v>16252</v>
          </cell>
          <cell r="J95">
            <v>0</v>
          </cell>
          <cell r="L95">
            <v>16252</v>
          </cell>
          <cell r="M95">
            <v>1025</v>
          </cell>
        </row>
        <row r="96">
          <cell r="A96">
            <v>16253</v>
          </cell>
          <cell r="B96">
            <v>0</v>
          </cell>
          <cell r="C96" t="str">
            <v>UNAV</v>
          </cell>
          <cell r="D96">
            <v>36796.261805555558</v>
          </cell>
          <cell r="F96">
            <v>16253</v>
          </cell>
          <cell r="G96">
            <v>0</v>
          </cell>
          <cell r="I96">
            <v>16253</v>
          </cell>
          <cell r="J96">
            <v>0</v>
          </cell>
          <cell r="L96">
            <v>16253</v>
          </cell>
          <cell r="M96">
            <v>1025</v>
          </cell>
        </row>
        <row r="97">
          <cell r="A97">
            <v>16254</v>
          </cell>
          <cell r="B97">
            <v>0</v>
          </cell>
          <cell r="C97" t="str">
            <v>UNAV</v>
          </cell>
          <cell r="D97">
            <v>36796.261805555558</v>
          </cell>
          <cell r="F97">
            <v>16254</v>
          </cell>
          <cell r="G97">
            <v>0</v>
          </cell>
          <cell r="I97">
            <v>16254</v>
          </cell>
          <cell r="J97">
            <v>0</v>
          </cell>
          <cell r="L97">
            <v>16254</v>
          </cell>
          <cell r="M97">
            <v>1025</v>
          </cell>
        </row>
        <row r="98">
          <cell r="A98">
            <v>16255</v>
          </cell>
          <cell r="B98">
            <v>0</v>
          </cell>
          <cell r="C98" t="str">
            <v>UNAV</v>
          </cell>
          <cell r="D98">
            <v>36796.261805555558</v>
          </cell>
          <cell r="F98">
            <v>16255</v>
          </cell>
          <cell r="G98">
            <v>0</v>
          </cell>
          <cell r="I98">
            <v>16255</v>
          </cell>
          <cell r="J98">
            <v>0</v>
          </cell>
          <cell r="L98">
            <v>16255</v>
          </cell>
          <cell r="M98">
            <v>1025</v>
          </cell>
        </row>
        <row r="99">
          <cell r="A99">
            <v>16257</v>
          </cell>
          <cell r="B99">
            <v>0</v>
          </cell>
          <cell r="C99" t="str">
            <v>UNAV</v>
          </cell>
          <cell r="D99">
            <v>36796.261805555558</v>
          </cell>
          <cell r="F99">
            <v>16257</v>
          </cell>
          <cell r="G99">
            <v>0</v>
          </cell>
          <cell r="I99">
            <v>16257</v>
          </cell>
          <cell r="J99">
            <v>0</v>
          </cell>
          <cell r="L99">
            <v>16257</v>
          </cell>
          <cell r="M99">
            <v>1025</v>
          </cell>
        </row>
        <row r="100">
          <cell r="A100">
            <v>16258</v>
          </cell>
          <cell r="B100">
            <v>0</v>
          </cell>
          <cell r="C100" t="str">
            <v>UNAV</v>
          </cell>
          <cell r="D100">
            <v>36796.261805555558</v>
          </cell>
          <cell r="F100">
            <v>16258</v>
          </cell>
          <cell r="G100">
            <v>0</v>
          </cell>
          <cell r="I100">
            <v>16258</v>
          </cell>
          <cell r="J100">
            <v>0</v>
          </cell>
          <cell r="L100">
            <v>16258</v>
          </cell>
          <cell r="M100">
            <v>1025</v>
          </cell>
        </row>
        <row r="101">
          <cell r="A101">
            <v>16259</v>
          </cell>
          <cell r="B101">
            <v>0</v>
          </cell>
          <cell r="C101" t="str">
            <v>UNAV</v>
          </cell>
          <cell r="D101">
            <v>36796.261805555558</v>
          </cell>
          <cell r="F101">
            <v>16259</v>
          </cell>
          <cell r="G101">
            <v>0</v>
          </cell>
          <cell r="I101">
            <v>16259</v>
          </cell>
          <cell r="J101">
            <v>0</v>
          </cell>
          <cell r="L101">
            <v>16259</v>
          </cell>
          <cell r="M101">
            <v>1025</v>
          </cell>
        </row>
        <row r="102">
          <cell r="A102">
            <v>16262</v>
          </cell>
          <cell r="B102">
            <v>0</v>
          </cell>
          <cell r="C102" t="str">
            <v>UNAV</v>
          </cell>
          <cell r="D102">
            <v>36796.261805555558</v>
          </cell>
          <cell r="F102">
            <v>16262</v>
          </cell>
          <cell r="G102">
            <v>0</v>
          </cell>
          <cell r="I102">
            <v>16262</v>
          </cell>
          <cell r="J102">
            <v>0</v>
          </cell>
          <cell r="L102">
            <v>16262</v>
          </cell>
          <cell r="M102">
            <v>1025</v>
          </cell>
        </row>
        <row r="103">
          <cell r="A103">
            <v>16263</v>
          </cell>
          <cell r="B103">
            <v>0</v>
          </cell>
          <cell r="C103" t="str">
            <v>UNAV</v>
          </cell>
          <cell r="D103">
            <v>36796.261805555558</v>
          </cell>
          <cell r="F103">
            <v>16263</v>
          </cell>
          <cell r="G103">
            <v>0</v>
          </cell>
          <cell r="I103">
            <v>16263</v>
          </cell>
          <cell r="J103">
            <v>0</v>
          </cell>
          <cell r="L103">
            <v>16263</v>
          </cell>
          <cell r="M103">
            <v>1025</v>
          </cell>
        </row>
        <row r="104">
          <cell r="A104">
            <v>16264</v>
          </cell>
          <cell r="B104">
            <v>0</v>
          </cell>
          <cell r="C104" t="str">
            <v>UNAV</v>
          </cell>
          <cell r="D104">
            <v>36796.261805555558</v>
          </cell>
          <cell r="F104">
            <v>16264</v>
          </cell>
          <cell r="G104">
            <v>0</v>
          </cell>
          <cell r="I104">
            <v>16264</v>
          </cell>
          <cell r="J104">
            <v>0</v>
          </cell>
          <cell r="L104">
            <v>16264</v>
          </cell>
          <cell r="M104">
            <v>1025</v>
          </cell>
        </row>
        <row r="105">
          <cell r="A105">
            <v>16266</v>
          </cell>
          <cell r="B105">
            <v>0</v>
          </cell>
          <cell r="C105" t="str">
            <v>UNAV</v>
          </cell>
          <cell r="D105">
            <v>36796.261805555558</v>
          </cell>
          <cell r="F105">
            <v>16266</v>
          </cell>
          <cell r="G105">
            <v>0</v>
          </cell>
          <cell r="I105">
            <v>16266</v>
          </cell>
          <cell r="J105">
            <v>0</v>
          </cell>
          <cell r="L105">
            <v>16266</v>
          </cell>
          <cell r="M105">
            <v>1025</v>
          </cell>
        </row>
        <row r="106">
          <cell r="A106">
            <v>16267</v>
          </cell>
          <cell r="B106">
            <v>0</v>
          </cell>
          <cell r="C106" t="str">
            <v>UNAV</v>
          </cell>
          <cell r="D106">
            <v>36796.261805555558</v>
          </cell>
          <cell r="F106">
            <v>16267</v>
          </cell>
          <cell r="G106">
            <v>0</v>
          </cell>
          <cell r="I106">
            <v>16267</v>
          </cell>
          <cell r="J106">
            <v>0</v>
          </cell>
          <cell r="L106">
            <v>16267</v>
          </cell>
          <cell r="M106">
            <v>1025</v>
          </cell>
        </row>
        <row r="107">
          <cell r="A107">
            <v>16271</v>
          </cell>
          <cell r="B107">
            <v>0</v>
          </cell>
          <cell r="C107" t="str">
            <v>UNAV</v>
          </cell>
          <cell r="D107">
            <v>36796.261805555558</v>
          </cell>
          <cell r="F107">
            <v>16271</v>
          </cell>
          <cell r="G107">
            <v>0</v>
          </cell>
          <cell r="I107">
            <v>16271</v>
          </cell>
          <cell r="J107">
            <v>0</v>
          </cell>
          <cell r="L107">
            <v>16271</v>
          </cell>
          <cell r="M107">
            <v>1025</v>
          </cell>
        </row>
        <row r="108">
          <cell r="A108">
            <v>16272</v>
          </cell>
          <cell r="B108">
            <v>0</v>
          </cell>
          <cell r="C108" t="str">
            <v>UNAV</v>
          </cell>
          <cell r="D108">
            <v>36796.261805555558</v>
          </cell>
          <cell r="F108">
            <v>16272</v>
          </cell>
          <cell r="G108">
            <v>0</v>
          </cell>
          <cell r="I108">
            <v>16272</v>
          </cell>
          <cell r="J108">
            <v>0</v>
          </cell>
          <cell r="L108">
            <v>16272</v>
          </cell>
          <cell r="M108">
            <v>1025</v>
          </cell>
        </row>
        <row r="109">
          <cell r="A109">
            <v>16273</v>
          </cell>
          <cell r="B109">
            <v>0</v>
          </cell>
          <cell r="C109" t="str">
            <v xml:space="preserve">    </v>
          </cell>
          <cell r="D109">
            <v>36796.255555555559</v>
          </cell>
          <cell r="F109">
            <v>16273</v>
          </cell>
          <cell r="G109">
            <v>0</v>
          </cell>
          <cell r="I109">
            <v>16273</v>
          </cell>
          <cell r="J109">
            <v>0</v>
          </cell>
          <cell r="L109">
            <v>16273</v>
          </cell>
          <cell r="M109">
            <v>1025</v>
          </cell>
        </row>
        <row r="110">
          <cell r="A110">
            <v>16275</v>
          </cell>
          <cell r="B110">
            <v>0</v>
          </cell>
          <cell r="C110" t="str">
            <v>UNAV</v>
          </cell>
          <cell r="D110">
            <v>36796.261805555558</v>
          </cell>
          <cell r="F110">
            <v>16275</v>
          </cell>
          <cell r="G110">
            <v>0</v>
          </cell>
          <cell r="I110">
            <v>16275</v>
          </cell>
          <cell r="J110">
            <v>0</v>
          </cell>
          <cell r="L110">
            <v>16275</v>
          </cell>
          <cell r="M110">
            <v>1025</v>
          </cell>
        </row>
        <row r="111">
          <cell r="A111">
            <v>16276</v>
          </cell>
          <cell r="B111">
            <v>0</v>
          </cell>
          <cell r="C111" t="str">
            <v>UNAV</v>
          </cell>
          <cell r="D111">
            <v>36796.261805555558</v>
          </cell>
          <cell r="F111">
            <v>16276</v>
          </cell>
          <cell r="G111">
            <v>0</v>
          </cell>
          <cell r="I111">
            <v>16276</v>
          </cell>
          <cell r="J111">
            <v>0</v>
          </cell>
          <cell r="L111">
            <v>16276</v>
          </cell>
          <cell r="M111">
            <v>1025</v>
          </cell>
        </row>
        <row r="112">
          <cell r="A112">
            <v>16277</v>
          </cell>
          <cell r="B112">
            <v>0</v>
          </cell>
          <cell r="C112" t="str">
            <v>UNAV</v>
          </cell>
          <cell r="D112">
            <v>36796.261805555558</v>
          </cell>
          <cell r="F112">
            <v>16277</v>
          </cell>
          <cell r="G112">
            <v>0</v>
          </cell>
          <cell r="I112">
            <v>16277</v>
          </cell>
          <cell r="J112">
            <v>0</v>
          </cell>
          <cell r="L112">
            <v>16277</v>
          </cell>
          <cell r="M112">
            <v>1025</v>
          </cell>
        </row>
        <row r="113">
          <cell r="A113">
            <v>16279</v>
          </cell>
          <cell r="B113">
            <v>0</v>
          </cell>
          <cell r="C113" t="str">
            <v>UNAV</v>
          </cell>
          <cell r="D113">
            <v>36796.261805555558</v>
          </cell>
          <cell r="F113">
            <v>16279</v>
          </cell>
          <cell r="G113">
            <v>0</v>
          </cell>
          <cell r="I113">
            <v>16279</v>
          </cell>
          <cell r="J113">
            <v>0</v>
          </cell>
          <cell r="L113">
            <v>16279</v>
          </cell>
          <cell r="M113">
            <v>1025</v>
          </cell>
        </row>
        <row r="114">
          <cell r="A114">
            <v>16281</v>
          </cell>
          <cell r="B114">
            <v>0</v>
          </cell>
          <cell r="C114" t="str">
            <v>COMM</v>
          </cell>
          <cell r="D114">
            <v>36795.487500000003</v>
          </cell>
          <cell r="F114">
            <v>16281</v>
          </cell>
          <cell r="G114">
            <v>0</v>
          </cell>
          <cell r="I114">
            <v>16281</v>
          </cell>
          <cell r="J114">
            <v>0</v>
          </cell>
          <cell r="L114">
            <v>16281</v>
          </cell>
          <cell r="M114">
            <v>1025</v>
          </cell>
        </row>
        <row r="115">
          <cell r="A115">
            <v>16282</v>
          </cell>
          <cell r="B115">
            <v>0</v>
          </cell>
          <cell r="C115" t="str">
            <v>UNAV</v>
          </cell>
          <cell r="D115">
            <v>36796.261805555558</v>
          </cell>
          <cell r="F115">
            <v>16282</v>
          </cell>
          <cell r="G115">
            <v>0</v>
          </cell>
          <cell r="I115">
            <v>16282</v>
          </cell>
          <cell r="J115">
            <v>0</v>
          </cell>
          <cell r="L115">
            <v>16282</v>
          </cell>
          <cell r="M115">
            <v>1025</v>
          </cell>
        </row>
        <row r="116">
          <cell r="A116">
            <v>16286</v>
          </cell>
          <cell r="B116">
            <v>0</v>
          </cell>
          <cell r="C116" t="str">
            <v>UNAV</v>
          </cell>
          <cell r="D116">
            <v>36796.261805555558</v>
          </cell>
          <cell r="F116">
            <v>16286</v>
          </cell>
          <cell r="G116">
            <v>0</v>
          </cell>
          <cell r="I116">
            <v>16286</v>
          </cell>
          <cell r="J116">
            <v>0</v>
          </cell>
          <cell r="L116">
            <v>16286</v>
          </cell>
          <cell r="M116">
            <v>1030</v>
          </cell>
        </row>
        <row r="117">
          <cell r="A117">
            <v>16288</v>
          </cell>
          <cell r="B117">
            <v>0</v>
          </cell>
          <cell r="C117" t="str">
            <v>UNAV</v>
          </cell>
          <cell r="D117">
            <v>36796.261805555558</v>
          </cell>
          <cell r="F117">
            <v>16288</v>
          </cell>
          <cell r="G117">
            <v>0</v>
          </cell>
          <cell r="I117">
            <v>16288</v>
          </cell>
          <cell r="J117">
            <v>0</v>
          </cell>
          <cell r="L117">
            <v>16288</v>
          </cell>
          <cell r="M117">
            <v>1025</v>
          </cell>
        </row>
        <row r="118">
          <cell r="A118">
            <v>16289</v>
          </cell>
          <cell r="B118">
            <v>0</v>
          </cell>
          <cell r="C118" t="str">
            <v>UNAV</v>
          </cell>
          <cell r="D118">
            <v>36796.261805555558</v>
          </cell>
          <cell r="F118">
            <v>16289</v>
          </cell>
          <cell r="G118">
            <v>0</v>
          </cell>
          <cell r="I118">
            <v>16289</v>
          </cell>
          <cell r="J118">
            <v>0</v>
          </cell>
          <cell r="L118">
            <v>16289</v>
          </cell>
          <cell r="M118">
            <v>1025</v>
          </cell>
        </row>
        <row r="119">
          <cell r="A119">
            <v>16290</v>
          </cell>
          <cell r="B119">
            <v>17183</v>
          </cell>
          <cell r="C119" t="str">
            <v xml:space="preserve">    </v>
          </cell>
          <cell r="D119">
            <v>36796.257638888892</v>
          </cell>
          <cell r="F119">
            <v>16290</v>
          </cell>
          <cell r="G119">
            <v>13282.473599999999</v>
          </cell>
          <cell r="I119">
            <v>16290</v>
          </cell>
          <cell r="J119">
            <v>15227.493738852771</v>
          </cell>
          <cell r="L119">
            <v>16290</v>
          </cell>
          <cell r="M119">
            <v>1054.06897</v>
          </cell>
        </row>
        <row r="120">
          <cell r="A120">
            <v>16291</v>
          </cell>
          <cell r="B120">
            <v>0</v>
          </cell>
          <cell r="C120" t="str">
            <v xml:space="preserve">    </v>
          </cell>
          <cell r="D120">
            <v>36796.261111111111</v>
          </cell>
          <cell r="F120">
            <v>16291</v>
          </cell>
          <cell r="G120">
            <v>0</v>
          </cell>
          <cell r="I120">
            <v>16291</v>
          </cell>
          <cell r="J120">
            <v>0</v>
          </cell>
          <cell r="L120">
            <v>16291</v>
          </cell>
          <cell r="M120">
            <v>1014</v>
          </cell>
        </row>
        <row r="121">
          <cell r="A121">
            <v>16292</v>
          </cell>
          <cell r="B121">
            <v>0</v>
          </cell>
          <cell r="C121" t="str">
            <v>UNAV</v>
          </cell>
          <cell r="D121">
            <v>36796.261805555558</v>
          </cell>
          <cell r="F121">
            <v>16292</v>
          </cell>
          <cell r="G121">
            <v>0</v>
          </cell>
          <cell r="I121">
            <v>16292</v>
          </cell>
          <cell r="J121">
            <v>0</v>
          </cell>
          <cell r="L121">
            <v>16292</v>
          </cell>
          <cell r="M121">
            <v>1025</v>
          </cell>
        </row>
        <row r="122">
          <cell r="A122">
            <v>16293</v>
          </cell>
          <cell r="B122">
            <v>0</v>
          </cell>
          <cell r="C122" t="str">
            <v>UNAV</v>
          </cell>
          <cell r="D122">
            <v>36796.261805555558</v>
          </cell>
          <cell r="F122">
            <v>16293</v>
          </cell>
          <cell r="G122">
            <v>0</v>
          </cell>
          <cell r="I122">
            <v>16293</v>
          </cell>
          <cell r="J122">
            <v>0</v>
          </cell>
          <cell r="L122">
            <v>16293</v>
          </cell>
          <cell r="M122">
            <v>1025</v>
          </cell>
        </row>
        <row r="123">
          <cell r="A123">
            <v>16294</v>
          </cell>
          <cell r="B123">
            <v>0</v>
          </cell>
          <cell r="C123" t="str">
            <v>UNAV</v>
          </cell>
          <cell r="D123">
            <v>36796.261805555558</v>
          </cell>
          <cell r="F123">
            <v>16294</v>
          </cell>
          <cell r="G123">
            <v>0</v>
          </cell>
          <cell r="I123">
            <v>16294</v>
          </cell>
          <cell r="J123">
            <v>0</v>
          </cell>
          <cell r="L123">
            <v>16294</v>
          </cell>
          <cell r="M123">
            <v>1025</v>
          </cell>
        </row>
        <row r="124">
          <cell r="A124">
            <v>16295</v>
          </cell>
          <cell r="B124">
            <v>0</v>
          </cell>
          <cell r="C124" t="str">
            <v>UNAV</v>
          </cell>
          <cell r="D124">
            <v>36796.261805555558</v>
          </cell>
          <cell r="F124">
            <v>16295</v>
          </cell>
          <cell r="G124">
            <v>0</v>
          </cell>
          <cell r="I124">
            <v>16295</v>
          </cell>
          <cell r="J124">
            <v>0</v>
          </cell>
          <cell r="L124">
            <v>16295</v>
          </cell>
          <cell r="M124">
            <v>1025</v>
          </cell>
        </row>
        <row r="125">
          <cell r="A125">
            <v>16296</v>
          </cell>
          <cell r="B125">
            <v>0</v>
          </cell>
          <cell r="C125" t="str">
            <v xml:space="preserve">    </v>
          </cell>
          <cell r="D125">
            <v>36796.255555555559</v>
          </cell>
          <cell r="F125">
            <v>16296</v>
          </cell>
          <cell r="G125">
            <v>0</v>
          </cell>
          <cell r="I125">
            <v>16296</v>
          </cell>
          <cell r="J125">
            <v>0</v>
          </cell>
          <cell r="L125">
            <v>16296</v>
          </cell>
          <cell r="M125">
            <v>1025</v>
          </cell>
        </row>
        <row r="126">
          <cell r="A126">
            <v>16297</v>
          </cell>
          <cell r="B126">
            <v>0</v>
          </cell>
          <cell r="C126" t="str">
            <v xml:space="preserve">    </v>
          </cell>
          <cell r="D126">
            <v>36796.257638888892</v>
          </cell>
          <cell r="F126">
            <v>16297</v>
          </cell>
          <cell r="G126">
            <v>0</v>
          </cell>
          <cell r="I126">
            <v>16297</v>
          </cell>
          <cell r="J126">
            <v>0</v>
          </cell>
          <cell r="L126">
            <v>16297</v>
          </cell>
          <cell r="M126">
            <v>1089.1505099999999</v>
          </cell>
        </row>
        <row r="127">
          <cell r="A127">
            <v>16298</v>
          </cell>
          <cell r="B127">
            <v>0</v>
          </cell>
          <cell r="C127" t="str">
            <v>UNAV</v>
          </cell>
          <cell r="D127">
            <v>36796.261805555558</v>
          </cell>
          <cell r="F127">
            <v>16298</v>
          </cell>
          <cell r="G127">
            <v>0</v>
          </cell>
          <cell r="I127">
            <v>16298</v>
          </cell>
          <cell r="J127">
            <v>0</v>
          </cell>
          <cell r="L127">
            <v>16298</v>
          </cell>
          <cell r="M127">
            <v>1036.57898</v>
          </cell>
        </row>
        <row r="128">
          <cell r="A128">
            <v>16299</v>
          </cell>
          <cell r="B128">
            <v>0</v>
          </cell>
          <cell r="C128" t="str">
            <v>COMM</v>
          </cell>
          <cell r="D128">
            <v>36795.587500000001</v>
          </cell>
          <cell r="F128">
            <v>16299</v>
          </cell>
          <cell r="G128">
            <v>0</v>
          </cell>
          <cell r="I128">
            <v>16299</v>
          </cell>
          <cell r="J128">
            <v>0</v>
          </cell>
          <cell r="L128">
            <v>16299</v>
          </cell>
          <cell r="M128">
            <v>1025</v>
          </cell>
        </row>
        <row r="129">
          <cell r="A129">
            <v>16300</v>
          </cell>
          <cell r="B129">
            <v>0</v>
          </cell>
          <cell r="C129" t="str">
            <v>UNAV</v>
          </cell>
          <cell r="D129">
            <v>36796.261805555558</v>
          </cell>
          <cell r="F129">
            <v>16300</v>
          </cell>
          <cell r="G129">
            <v>0</v>
          </cell>
          <cell r="I129">
            <v>16300</v>
          </cell>
          <cell r="J129">
            <v>0</v>
          </cell>
          <cell r="L129">
            <v>16300</v>
          </cell>
          <cell r="M129">
            <v>1025</v>
          </cell>
        </row>
        <row r="130">
          <cell r="A130">
            <v>16301</v>
          </cell>
          <cell r="B130">
            <v>0</v>
          </cell>
          <cell r="C130" t="str">
            <v>UNAV</v>
          </cell>
          <cell r="D130">
            <v>36796.261805555558</v>
          </cell>
          <cell r="F130">
            <v>16301</v>
          </cell>
          <cell r="G130">
            <v>0</v>
          </cell>
          <cell r="I130">
            <v>16301</v>
          </cell>
          <cell r="J130">
            <v>0</v>
          </cell>
          <cell r="L130">
            <v>16301</v>
          </cell>
          <cell r="M130">
            <v>1025</v>
          </cell>
        </row>
        <row r="131">
          <cell r="A131">
            <v>16304</v>
          </cell>
          <cell r="B131">
            <v>0</v>
          </cell>
          <cell r="C131" t="str">
            <v>UNAV</v>
          </cell>
          <cell r="D131">
            <v>36796.261805555558</v>
          </cell>
          <cell r="F131">
            <v>16304</v>
          </cell>
          <cell r="G131">
            <v>0</v>
          </cell>
          <cell r="I131">
            <v>16304</v>
          </cell>
          <cell r="J131">
            <v>0</v>
          </cell>
          <cell r="L131">
            <v>16304</v>
          </cell>
          <cell r="M131">
            <v>1025</v>
          </cell>
        </row>
        <row r="132">
          <cell r="A132">
            <v>16306</v>
          </cell>
          <cell r="B132">
            <v>0</v>
          </cell>
          <cell r="C132" t="str">
            <v>UNAV</v>
          </cell>
          <cell r="D132">
            <v>36796.261805555558</v>
          </cell>
          <cell r="F132">
            <v>16306</v>
          </cell>
          <cell r="G132">
            <v>0</v>
          </cell>
          <cell r="I132">
            <v>16306</v>
          </cell>
          <cell r="J132">
            <v>0</v>
          </cell>
          <cell r="L132">
            <v>16306</v>
          </cell>
          <cell r="M132">
            <v>1025.5241699999999</v>
          </cell>
        </row>
        <row r="133">
          <cell r="A133">
            <v>16307</v>
          </cell>
          <cell r="B133">
            <v>0</v>
          </cell>
          <cell r="C133" t="str">
            <v>UNAV</v>
          </cell>
          <cell r="D133">
            <v>36796.261805555558</v>
          </cell>
          <cell r="F133">
            <v>16307</v>
          </cell>
          <cell r="G133">
            <v>0</v>
          </cell>
          <cell r="I133">
            <v>16307</v>
          </cell>
          <cell r="J133">
            <v>0</v>
          </cell>
          <cell r="L133">
            <v>16307</v>
          </cell>
          <cell r="M133">
            <v>1025</v>
          </cell>
        </row>
        <row r="134">
          <cell r="A134">
            <v>16308</v>
          </cell>
          <cell r="B134">
            <v>0</v>
          </cell>
          <cell r="C134" t="str">
            <v>UNAV</v>
          </cell>
          <cell r="D134">
            <v>36796.261805555558</v>
          </cell>
          <cell r="F134">
            <v>16308</v>
          </cell>
          <cell r="G134">
            <v>0</v>
          </cell>
          <cell r="I134">
            <v>16308</v>
          </cell>
          <cell r="J134">
            <v>0</v>
          </cell>
          <cell r="L134">
            <v>16308</v>
          </cell>
          <cell r="M134">
            <v>1025</v>
          </cell>
        </row>
        <row r="135">
          <cell r="A135">
            <v>16309</v>
          </cell>
          <cell r="B135">
            <v>0</v>
          </cell>
          <cell r="C135" t="str">
            <v>UNAV</v>
          </cell>
          <cell r="D135">
            <v>36796.261805555558</v>
          </cell>
          <cell r="F135">
            <v>16309</v>
          </cell>
          <cell r="G135">
            <v>0</v>
          </cell>
          <cell r="I135">
            <v>16309</v>
          </cell>
          <cell r="J135">
            <v>0</v>
          </cell>
          <cell r="L135">
            <v>16309</v>
          </cell>
          <cell r="M135">
            <v>1025</v>
          </cell>
        </row>
        <row r="136">
          <cell r="A136">
            <v>16310</v>
          </cell>
          <cell r="B136">
            <v>0</v>
          </cell>
          <cell r="C136" t="str">
            <v>UNAV</v>
          </cell>
          <cell r="D136">
            <v>36796.261805555558</v>
          </cell>
          <cell r="F136">
            <v>16310</v>
          </cell>
          <cell r="G136">
            <v>0</v>
          </cell>
          <cell r="I136">
            <v>16310</v>
          </cell>
          <cell r="J136">
            <v>0</v>
          </cell>
          <cell r="L136">
            <v>16310</v>
          </cell>
          <cell r="M136">
            <v>1025</v>
          </cell>
        </row>
        <row r="137">
          <cell r="A137">
            <v>16311</v>
          </cell>
          <cell r="B137">
            <v>0</v>
          </cell>
          <cell r="C137" t="str">
            <v>UNAV</v>
          </cell>
          <cell r="D137">
            <v>36796.261805555558</v>
          </cell>
          <cell r="F137">
            <v>16311</v>
          </cell>
          <cell r="G137">
            <v>0</v>
          </cell>
          <cell r="I137">
            <v>16311</v>
          </cell>
          <cell r="J137">
            <v>0</v>
          </cell>
          <cell r="L137">
            <v>16311</v>
          </cell>
          <cell r="M137">
            <v>1097</v>
          </cell>
        </row>
        <row r="138">
          <cell r="A138">
            <v>16312</v>
          </cell>
          <cell r="B138">
            <v>0</v>
          </cell>
          <cell r="C138" t="str">
            <v>UNAV</v>
          </cell>
          <cell r="D138">
            <v>36796.261805555558</v>
          </cell>
          <cell r="F138">
            <v>16312</v>
          </cell>
          <cell r="G138">
            <v>0</v>
          </cell>
          <cell r="I138">
            <v>16312</v>
          </cell>
          <cell r="J138">
            <v>0</v>
          </cell>
          <cell r="L138">
            <v>16312</v>
          </cell>
          <cell r="M138">
            <v>1025</v>
          </cell>
        </row>
        <row r="139">
          <cell r="A139">
            <v>16314</v>
          </cell>
          <cell r="B139">
            <v>0</v>
          </cell>
          <cell r="C139" t="str">
            <v>UNAV</v>
          </cell>
          <cell r="D139">
            <v>36796.261805555558</v>
          </cell>
          <cell r="F139">
            <v>16314</v>
          </cell>
          <cell r="G139">
            <v>0</v>
          </cell>
          <cell r="I139">
            <v>16314</v>
          </cell>
          <cell r="J139">
            <v>0</v>
          </cell>
          <cell r="L139">
            <v>16314</v>
          </cell>
          <cell r="M139">
            <v>1025</v>
          </cell>
        </row>
        <row r="140">
          <cell r="A140">
            <v>16315</v>
          </cell>
          <cell r="B140">
            <v>0</v>
          </cell>
          <cell r="C140" t="str">
            <v>UNAV</v>
          </cell>
          <cell r="D140">
            <v>36796.261805555558</v>
          </cell>
          <cell r="F140">
            <v>16315</v>
          </cell>
          <cell r="G140">
            <v>0</v>
          </cell>
          <cell r="I140">
            <v>16315</v>
          </cell>
          <cell r="J140">
            <v>0</v>
          </cell>
          <cell r="L140">
            <v>16315</v>
          </cell>
          <cell r="M140">
            <v>1025</v>
          </cell>
        </row>
        <row r="141">
          <cell r="A141">
            <v>16316</v>
          </cell>
          <cell r="B141">
            <v>0</v>
          </cell>
          <cell r="C141" t="str">
            <v>UNAV</v>
          </cell>
          <cell r="D141">
            <v>36796.261805555558</v>
          </cell>
          <cell r="F141">
            <v>16316</v>
          </cell>
          <cell r="G141">
            <v>0</v>
          </cell>
          <cell r="I141">
            <v>16316</v>
          </cell>
          <cell r="J141">
            <v>0</v>
          </cell>
          <cell r="L141">
            <v>16316</v>
          </cell>
          <cell r="M141">
            <v>1025</v>
          </cell>
        </row>
        <row r="142">
          <cell r="A142">
            <v>16317</v>
          </cell>
          <cell r="B142">
            <v>0</v>
          </cell>
          <cell r="C142" t="str">
            <v>UNAV</v>
          </cell>
          <cell r="D142">
            <v>36796.261805555558</v>
          </cell>
          <cell r="F142">
            <v>16317</v>
          </cell>
          <cell r="G142">
            <v>0</v>
          </cell>
          <cell r="I142">
            <v>16317</v>
          </cell>
          <cell r="J142">
            <v>0</v>
          </cell>
          <cell r="L142">
            <v>16317</v>
          </cell>
          <cell r="M142">
            <v>1025</v>
          </cell>
        </row>
        <row r="143">
          <cell r="A143">
            <v>16318</v>
          </cell>
          <cell r="B143">
            <v>0</v>
          </cell>
          <cell r="C143" t="str">
            <v>UNAV</v>
          </cell>
          <cell r="D143">
            <v>36796.261805555558</v>
          </cell>
          <cell r="F143">
            <v>16318</v>
          </cell>
          <cell r="G143">
            <v>0</v>
          </cell>
          <cell r="I143">
            <v>16318</v>
          </cell>
          <cell r="J143">
            <v>0</v>
          </cell>
          <cell r="L143">
            <v>16318</v>
          </cell>
          <cell r="M143">
            <v>1025</v>
          </cell>
        </row>
        <row r="144">
          <cell r="A144">
            <v>16319</v>
          </cell>
          <cell r="B144">
            <v>0</v>
          </cell>
          <cell r="C144" t="str">
            <v>UNAV</v>
          </cell>
          <cell r="D144">
            <v>36796.261805555558</v>
          </cell>
          <cell r="F144">
            <v>16319</v>
          </cell>
          <cell r="G144">
            <v>0</v>
          </cell>
          <cell r="I144">
            <v>16319</v>
          </cell>
          <cell r="J144">
            <v>0</v>
          </cell>
          <cell r="L144">
            <v>16319</v>
          </cell>
          <cell r="M144">
            <v>1025</v>
          </cell>
        </row>
        <row r="145">
          <cell r="A145">
            <v>16320</v>
          </cell>
          <cell r="B145">
            <v>0</v>
          </cell>
          <cell r="C145" t="str">
            <v>UNAV</v>
          </cell>
          <cell r="D145">
            <v>36796.261805555558</v>
          </cell>
          <cell r="F145">
            <v>16320</v>
          </cell>
          <cell r="G145">
            <v>0</v>
          </cell>
          <cell r="I145">
            <v>16320</v>
          </cell>
          <cell r="J145">
            <v>0</v>
          </cell>
          <cell r="L145">
            <v>16320</v>
          </cell>
          <cell r="M145">
            <v>1025</v>
          </cell>
        </row>
        <row r="146">
          <cell r="A146">
            <v>16321</v>
          </cell>
          <cell r="B146">
            <v>0</v>
          </cell>
          <cell r="C146" t="str">
            <v>UNAV</v>
          </cell>
          <cell r="D146">
            <v>36796.261805555558</v>
          </cell>
          <cell r="F146">
            <v>16321</v>
          </cell>
          <cell r="G146">
            <v>0</v>
          </cell>
          <cell r="I146">
            <v>16321</v>
          </cell>
          <cell r="J146">
            <v>0</v>
          </cell>
          <cell r="L146">
            <v>16321</v>
          </cell>
          <cell r="M146">
            <v>1025</v>
          </cell>
        </row>
        <row r="147">
          <cell r="A147">
            <v>16322</v>
          </cell>
          <cell r="B147">
            <v>0</v>
          </cell>
          <cell r="C147" t="str">
            <v>UNAV</v>
          </cell>
          <cell r="D147">
            <v>36796.261805555558</v>
          </cell>
          <cell r="F147">
            <v>16322</v>
          </cell>
          <cell r="G147">
            <v>0</v>
          </cell>
          <cell r="I147">
            <v>16322</v>
          </cell>
          <cell r="J147">
            <v>0</v>
          </cell>
          <cell r="L147">
            <v>16322</v>
          </cell>
          <cell r="M147">
            <v>1025</v>
          </cell>
        </row>
        <row r="148">
          <cell r="A148">
            <v>16323</v>
          </cell>
          <cell r="B148">
            <v>0</v>
          </cell>
          <cell r="C148" t="str">
            <v>UNAV</v>
          </cell>
          <cell r="D148">
            <v>36796.261805555558</v>
          </cell>
          <cell r="F148">
            <v>16323</v>
          </cell>
          <cell r="G148">
            <v>0</v>
          </cell>
          <cell r="I148">
            <v>16323</v>
          </cell>
          <cell r="J148">
            <v>0</v>
          </cell>
          <cell r="L148">
            <v>16323</v>
          </cell>
          <cell r="M148">
            <v>1030</v>
          </cell>
        </row>
        <row r="149">
          <cell r="A149">
            <v>16324</v>
          </cell>
          <cell r="B149">
            <v>0</v>
          </cell>
          <cell r="C149" t="str">
            <v>UNAV</v>
          </cell>
          <cell r="D149">
            <v>36796.261805555558</v>
          </cell>
          <cell r="F149">
            <v>16324</v>
          </cell>
          <cell r="G149">
            <v>0</v>
          </cell>
          <cell r="I149">
            <v>16324</v>
          </cell>
          <cell r="J149">
            <v>0</v>
          </cell>
          <cell r="L149">
            <v>16324</v>
          </cell>
          <cell r="M149">
            <v>1025</v>
          </cell>
        </row>
        <row r="150">
          <cell r="A150">
            <v>16326</v>
          </cell>
          <cell r="B150">
            <v>0</v>
          </cell>
          <cell r="C150" t="str">
            <v>UNAV</v>
          </cell>
          <cell r="D150">
            <v>36796.261805555558</v>
          </cell>
          <cell r="F150">
            <v>16326</v>
          </cell>
          <cell r="G150">
            <v>0</v>
          </cell>
          <cell r="I150">
            <v>16326</v>
          </cell>
          <cell r="J150">
            <v>0</v>
          </cell>
          <cell r="L150">
            <v>16326</v>
          </cell>
          <cell r="M150">
            <v>1025</v>
          </cell>
        </row>
        <row r="151">
          <cell r="A151">
            <v>16328</v>
          </cell>
          <cell r="B151">
            <v>0</v>
          </cell>
          <cell r="C151" t="str">
            <v>UNAV</v>
          </cell>
          <cell r="D151">
            <v>36796.261805555558</v>
          </cell>
          <cell r="F151">
            <v>16328</v>
          </cell>
          <cell r="G151">
            <v>0</v>
          </cell>
          <cell r="I151">
            <v>16328</v>
          </cell>
          <cell r="J151">
            <v>0</v>
          </cell>
          <cell r="L151">
            <v>16328</v>
          </cell>
          <cell r="M151">
            <v>1025</v>
          </cell>
        </row>
        <row r="152">
          <cell r="A152">
            <v>16330</v>
          </cell>
          <cell r="B152">
            <v>0</v>
          </cell>
          <cell r="C152" t="str">
            <v>UNAV</v>
          </cell>
          <cell r="D152">
            <v>36796.261805555558</v>
          </cell>
          <cell r="F152">
            <v>16330</v>
          </cell>
          <cell r="G152">
            <v>0</v>
          </cell>
          <cell r="I152">
            <v>16330</v>
          </cell>
          <cell r="J152">
            <v>0</v>
          </cell>
          <cell r="L152">
            <v>16330</v>
          </cell>
          <cell r="M152">
            <v>1025</v>
          </cell>
        </row>
        <row r="153">
          <cell r="A153">
            <v>16331</v>
          </cell>
          <cell r="B153">
            <v>3887</v>
          </cell>
          <cell r="C153" t="str">
            <v xml:space="preserve">    </v>
          </cell>
          <cell r="D153">
            <v>36796.228472222225</v>
          </cell>
          <cell r="F153">
            <v>16331</v>
          </cell>
          <cell r="G153">
            <v>3369.18237</v>
          </cell>
          <cell r="I153">
            <v>16331</v>
          </cell>
          <cell r="J153">
            <v>3809.1691755473853</v>
          </cell>
          <cell r="L153">
            <v>16331</v>
          </cell>
          <cell r="M153">
            <v>1105</v>
          </cell>
        </row>
        <row r="154">
          <cell r="A154">
            <v>16332</v>
          </cell>
          <cell r="B154">
            <v>0</v>
          </cell>
          <cell r="C154" t="str">
            <v>UNAV</v>
          </cell>
          <cell r="D154">
            <v>36796.261805555558</v>
          </cell>
          <cell r="F154">
            <v>16332</v>
          </cell>
          <cell r="G154">
            <v>0</v>
          </cell>
          <cell r="I154">
            <v>16332</v>
          </cell>
          <cell r="J154">
            <v>0</v>
          </cell>
          <cell r="L154">
            <v>16332</v>
          </cell>
          <cell r="M154">
            <v>1025</v>
          </cell>
        </row>
        <row r="155">
          <cell r="A155">
            <v>16333</v>
          </cell>
          <cell r="B155">
            <v>0</v>
          </cell>
          <cell r="C155" t="str">
            <v>UNAV</v>
          </cell>
          <cell r="D155">
            <v>36796.261805555558</v>
          </cell>
          <cell r="F155">
            <v>16333</v>
          </cell>
          <cell r="G155">
            <v>0</v>
          </cell>
          <cell r="I155">
            <v>16333</v>
          </cell>
          <cell r="J155">
            <v>0</v>
          </cell>
          <cell r="L155">
            <v>16333</v>
          </cell>
          <cell r="M155">
            <v>1025</v>
          </cell>
        </row>
        <row r="156">
          <cell r="A156">
            <v>16334</v>
          </cell>
          <cell r="B156">
            <v>0</v>
          </cell>
          <cell r="C156" t="str">
            <v>UNAV</v>
          </cell>
          <cell r="D156">
            <v>36796.261805555558</v>
          </cell>
          <cell r="F156">
            <v>16334</v>
          </cell>
          <cell r="G156">
            <v>0</v>
          </cell>
          <cell r="I156">
            <v>16334</v>
          </cell>
          <cell r="J156">
            <v>0</v>
          </cell>
          <cell r="L156">
            <v>16334</v>
          </cell>
          <cell r="M156">
            <v>1025</v>
          </cell>
        </row>
        <row r="157">
          <cell r="A157">
            <v>16335</v>
          </cell>
          <cell r="B157">
            <v>66164</v>
          </cell>
          <cell r="C157" t="str">
            <v xml:space="preserve">    </v>
          </cell>
          <cell r="D157">
            <v>36796.256249999999</v>
          </cell>
          <cell r="F157">
            <v>16335</v>
          </cell>
          <cell r="G157">
            <v>61868.148399999998</v>
          </cell>
          <cell r="I157">
            <v>16335</v>
          </cell>
          <cell r="J157">
            <v>69357.545622083155</v>
          </cell>
          <cell r="L157">
            <v>16335</v>
          </cell>
          <cell r="M157">
            <v>1025</v>
          </cell>
        </row>
        <row r="158">
          <cell r="A158">
            <v>16336</v>
          </cell>
          <cell r="B158">
            <v>0</v>
          </cell>
          <cell r="C158" t="str">
            <v>UNAV</v>
          </cell>
          <cell r="D158">
            <v>36796.261805555558</v>
          </cell>
          <cell r="F158">
            <v>16336</v>
          </cell>
          <cell r="G158">
            <v>0</v>
          </cell>
          <cell r="I158">
            <v>16336</v>
          </cell>
          <cell r="J158">
            <v>0</v>
          </cell>
          <cell r="L158">
            <v>16336</v>
          </cell>
          <cell r="M158">
            <v>1025</v>
          </cell>
        </row>
        <row r="159">
          <cell r="A159">
            <v>16337</v>
          </cell>
          <cell r="B159">
            <v>0</v>
          </cell>
          <cell r="C159" t="str">
            <v>UNAV</v>
          </cell>
          <cell r="D159">
            <v>36796.261805555558</v>
          </cell>
          <cell r="F159">
            <v>16337</v>
          </cell>
          <cell r="G159">
            <v>0</v>
          </cell>
          <cell r="I159">
            <v>16337</v>
          </cell>
          <cell r="J159">
            <v>0</v>
          </cell>
          <cell r="L159">
            <v>16337</v>
          </cell>
          <cell r="M159">
            <v>1025</v>
          </cell>
        </row>
        <row r="160">
          <cell r="A160">
            <v>16338</v>
          </cell>
          <cell r="B160">
            <v>15855</v>
          </cell>
          <cell r="C160" t="str">
            <v xml:space="preserve">    </v>
          </cell>
          <cell r="D160">
            <v>36796.260416666664</v>
          </cell>
          <cell r="F160">
            <v>16338</v>
          </cell>
          <cell r="G160">
            <v>14408.1484</v>
          </cell>
          <cell r="I160">
            <v>16338</v>
          </cell>
          <cell r="J160">
            <v>16202.84631663334</v>
          </cell>
          <cell r="L160">
            <v>16338</v>
          </cell>
          <cell r="M160">
            <v>991</v>
          </cell>
        </row>
        <row r="161">
          <cell r="A161">
            <v>16339</v>
          </cell>
          <cell r="B161">
            <v>0</v>
          </cell>
          <cell r="C161" t="str">
            <v>UNAV</v>
          </cell>
          <cell r="D161">
            <v>36796.261805555558</v>
          </cell>
          <cell r="F161">
            <v>16339</v>
          </cell>
          <cell r="G161">
            <v>0</v>
          </cell>
          <cell r="I161">
            <v>16339</v>
          </cell>
          <cell r="J161">
            <v>0</v>
          </cell>
          <cell r="L161">
            <v>16339</v>
          </cell>
          <cell r="M161">
            <v>1025</v>
          </cell>
        </row>
        <row r="162">
          <cell r="A162">
            <v>16340</v>
          </cell>
          <cell r="B162">
            <v>0</v>
          </cell>
          <cell r="C162" t="str">
            <v>UNAV</v>
          </cell>
          <cell r="D162">
            <v>36796.261805555558</v>
          </cell>
          <cell r="F162">
            <v>16340</v>
          </cell>
          <cell r="G162">
            <v>0</v>
          </cell>
          <cell r="I162">
            <v>16340</v>
          </cell>
          <cell r="J162">
            <v>0</v>
          </cell>
          <cell r="L162">
            <v>16340</v>
          </cell>
          <cell r="M162">
            <v>1160</v>
          </cell>
        </row>
        <row r="163">
          <cell r="A163">
            <v>16341</v>
          </cell>
          <cell r="B163">
            <v>0</v>
          </cell>
          <cell r="C163" t="str">
            <v>UNAV</v>
          </cell>
          <cell r="D163">
            <v>36796.261805555558</v>
          </cell>
          <cell r="F163">
            <v>16341</v>
          </cell>
          <cell r="G163">
            <v>0</v>
          </cell>
          <cell r="I163">
            <v>16341</v>
          </cell>
          <cell r="J163">
            <v>0</v>
          </cell>
          <cell r="L163">
            <v>16341</v>
          </cell>
          <cell r="M163">
            <v>1025</v>
          </cell>
        </row>
        <row r="164">
          <cell r="A164">
            <v>16342</v>
          </cell>
          <cell r="B164">
            <v>0</v>
          </cell>
          <cell r="C164" t="str">
            <v>UNAV</v>
          </cell>
          <cell r="D164">
            <v>36796.261805555558</v>
          </cell>
          <cell r="F164">
            <v>16342</v>
          </cell>
          <cell r="G164">
            <v>0</v>
          </cell>
          <cell r="I164">
            <v>16342</v>
          </cell>
          <cell r="J164">
            <v>0</v>
          </cell>
          <cell r="L164">
            <v>16342</v>
          </cell>
          <cell r="M164">
            <v>1025</v>
          </cell>
        </row>
        <row r="165">
          <cell r="A165">
            <v>16343</v>
          </cell>
          <cell r="B165">
            <v>0</v>
          </cell>
          <cell r="C165" t="str">
            <v>UNAV</v>
          </cell>
          <cell r="D165">
            <v>36796.261805555558</v>
          </cell>
          <cell r="F165">
            <v>16343</v>
          </cell>
          <cell r="G165">
            <v>0</v>
          </cell>
          <cell r="I165">
            <v>16343</v>
          </cell>
          <cell r="J165">
            <v>0</v>
          </cell>
          <cell r="L165">
            <v>16343</v>
          </cell>
          <cell r="M165">
            <v>1025</v>
          </cell>
        </row>
        <row r="166">
          <cell r="A166">
            <v>16344</v>
          </cell>
          <cell r="B166">
            <v>0</v>
          </cell>
          <cell r="C166" t="str">
            <v>UNAV</v>
          </cell>
          <cell r="D166">
            <v>36796.261805555558</v>
          </cell>
          <cell r="F166">
            <v>16344</v>
          </cell>
          <cell r="G166">
            <v>0</v>
          </cell>
          <cell r="I166">
            <v>16344</v>
          </cell>
          <cell r="J166">
            <v>0</v>
          </cell>
          <cell r="L166">
            <v>16344</v>
          </cell>
          <cell r="M166">
            <v>1025</v>
          </cell>
        </row>
        <row r="167">
          <cell r="A167">
            <v>16345</v>
          </cell>
          <cell r="B167">
            <v>0</v>
          </cell>
          <cell r="C167" t="str">
            <v>UNAV</v>
          </cell>
          <cell r="D167">
            <v>36796.261805555558</v>
          </cell>
          <cell r="F167">
            <v>16345</v>
          </cell>
          <cell r="G167">
            <v>0</v>
          </cell>
          <cell r="I167">
            <v>16345</v>
          </cell>
          <cell r="J167">
            <v>0</v>
          </cell>
          <cell r="L167">
            <v>16345</v>
          </cell>
          <cell r="M167">
            <v>1025</v>
          </cell>
        </row>
        <row r="168">
          <cell r="A168">
            <v>16346</v>
          </cell>
          <cell r="B168">
            <v>0</v>
          </cell>
          <cell r="C168" t="str">
            <v>UNAV</v>
          </cell>
          <cell r="D168">
            <v>36796.261805555558</v>
          </cell>
          <cell r="F168">
            <v>16346</v>
          </cell>
          <cell r="G168">
            <v>0</v>
          </cell>
          <cell r="I168">
            <v>16346</v>
          </cell>
          <cell r="J168">
            <v>0</v>
          </cell>
          <cell r="L168">
            <v>16346</v>
          </cell>
          <cell r="M168">
            <v>1025</v>
          </cell>
        </row>
        <row r="169">
          <cell r="A169">
            <v>16347</v>
          </cell>
          <cell r="B169">
            <v>0</v>
          </cell>
          <cell r="C169" t="str">
            <v xml:space="preserve">    </v>
          </cell>
          <cell r="D169">
            <v>36796.257638888892</v>
          </cell>
          <cell r="F169">
            <v>16347</v>
          </cell>
          <cell r="G169">
            <v>0</v>
          </cell>
          <cell r="I169">
            <v>16347</v>
          </cell>
          <cell r="J169">
            <v>0</v>
          </cell>
          <cell r="L169">
            <v>16347</v>
          </cell>
          <cell r="M169">
            <v>1025</v>
          </cell>
        </row>
        <row r="170">
          <cell r="A170">
            <v>16348</v>
          </cell>
          <cell r="B170">
            <v>0</v>
          </cell>
          <cell r="C170" t="str">
            <v>UNAV</v>
          </cell>
          <cell r="D170">
            <v>36796.261805555558</v>
          </cell>
          <cell r="F170">
            <v>16348</v>
          </cell>
          <cell r="G170">
            <v>0</v>
          </cell>
          <cell r="I170">
            <v>16348</v>
          </cell>
          <cell r="J170">
            <v>0</v>
          </cell>
          <cell r="L170">
            <v>16348</v>
          </cell>
          <cell r="M170">
            <v>1011</v>
          </cell>
        </row>
        <row r="171">
          <cell r="A171">
            <v>16350</v>
          </cell>
          <cell r="B171">
            <v>9532</v>
          </cell>
          <cell r="C171" t="str">
            <v xml:space="preserve">    </v>
          </cell>
          <cell r="D171">
            <v>36796.259722222225</v>
          </cell>
          <cell r="F171">
            <v>16350</v>
          </cell>
          <cell r="G171">
            <v>8797.8798800000004</v>
          </cell>
          <cell r="I171">
            <v>16350</v>
          </cell>
          <cell r="J171">
            <v>9876.8493244244091</v>
          </cell>
          <cell r="L171">
            <v>16350</v>
          </cell>
          <cell r="M171">
            <v>1020</v>
          </cell>
        </row>
        <row r="172">
          <cell r="A172">
            <v>16351</v>
          </cell>
          <cell r="B172">
            <v>0</v>
          </cell>
          <cell r="C172" t="str">
            <v xml:space="preserve">    </v>
          </cell>
          <cell r="D172">
            <v>36796.255555555559</v>
          </cell>
          <cell r="F172">
            <v>16351</v>
          </cell>
          <cell r="G172">
            <v>0</v>
          </cell>
          <cell r="I172">
            <v>16351</v>
          </cell>
          <cell r="J172">
            <v>0</v>
          </cell>
          <cell r="L172">
            <v>16351</v>
          </cell>
          <cell r="M172">
            <v>1025</v>
          </cell>
        </row>
        <row r="173">
          <cell r="A173">
            <v>16352</v>
          </cell>
          <cell r="B173">
            <v>0</v>
          </cell>
          <cell r="C173" t="str">
            <v xml:space="preserve">    </v>
          </cell>
          <cell r="D173">
            <v>36796.246527777781</v>
          </cell>
          <cell r="F173">
            <v>16352</v>
          </cell>
          <cell r="G173">
            <v>0</v>
          </cell>
          <cell r="I173">
            <v>16352</v>
          </cell>
          <cell r="J173">
            <v>0</v>
          </cell>
          <cell r="L173">
            <v>16352</v>
          </cell>
          <cell r="M173">
            <v>1136</v>
          </cell>
        </row>
        <row r="174">
          <cell r="A174">
            <v>16353</v>
          </cell>
          <cell r="B174">
            <v>0</v>
          </cell>
          <cell r="C174" t="str">
            <v>UNAV</v>
          </cell>
          <cell r="D174">
            <v>36796.261805555558</v>
          </cell>
          <cell r="F174">
            <v>16353</v>
          </cell>
          <cell r="G174">
            <v>0</v>
          </cell>
          <cell r="I174">
            <v>16353</v>
          </cell>
          <cell r="J174">
            <v>0</v>
          </cell>
          <cell r="L174">
            <v>16353</v>
          </cell>
          <cell r="M174">
            <v>1025</v>
          </cell>
        </row>
        <row r="175">
          <cell r="A175">
            <v>16354</v>
          </cell>
          <cell r="B175">
            <v>27791</v>
          </cell>
          <cell r="C175" t="str">
            <v xml:space="preserve">    </v>
          </cell>
          <cell r="D175">
            <v>36796.258333333331</v>
          </cell>
          <cell r="F175">
            <v>16354</v>
          </cell>
          <cell r="G175">
            <v>27776.416000000001</v>
          </cell>
          <cell r="I175">
            <v>16354</v>
          </cell>
          <cell r="J175">
            <v>30922.202805497142</v>
          </cell>
          <cell r="L175">
            <v>16354</v>
          </cell>
          <cell r="M175">
            <v>1028.07178</v>
          </cell>
        </row>
        <row r="176">
          <cell r="A176">
            <v>16355</v>
          </cell>
          <cell r="B176">
            <v>9225</v>
          </cell>
          <cell r="C176" t="str">
            <v xml:space="preserve">    </v>
          </cell>
          <cell r="D176">
            <v>36796.256249999999</v>
          </cell>
          <cell r="F176">
            <v>16355</v>
          </cell>
          <cell r="G176">
            <v>7521.3217800000002</v>
          </cell>
          <cell r="I176">
            <v>16355</v>
          </cell>
          <cell r="J176">
            <v>8565.5405299806098</v>
          </cell>
          <cell r="L176">
            <v>16355</v>
          </cell>
          <cell r="M176">
            <v>1045</v>
          </cell>
        </row>
        <row r="177">
          <cell r="A177">
            <v>16357</v>
          </cell>
          <cell r="B177">
            <v>0</v>
          </cell>
          <cell r="C177" t="str">
            <v>UNAV</v>
          </cell>
          <cell r="D177">
            <v>36796.261805555558</v>
          </cell>
          <cell r="F177">
            <v>16357</v>
          </cell>
          <cell r="G177">
            <v>0</v>
          </cell>
          <cell r="I177">
            <v>16357</v>
          </cell>
          <cell r="J177">
            <v>0</v>
          </cell>
          <cell r="L177">
            <v>16357</v>
          </cell>
          <cell r="M177">
            <v>1025</v>
          </cell>
        </row>
        <row r="178">
          <cell r="A178">
            <v>16359</v>
          </cell>
          <cell r="B178">
            <v>0</v>
          </cell>
          <cell r="C178" t="str">
            <v>UNAV</v>
          </cell>
          <cell r="D178">
            <v>36796.261805555558</v>
          </cell>
          <cell r="F178">
            <v>16359</v>
          </cell>
          <cell r="G178">
            <v>0</v>
          </cell>
          <cell r="I178">
            <v>16359</v>
          </cell>
          <cell r="J178">
            <v>0</v>
          </cell>
          <cell r="L178">
            <v>16359</v>
          </cell>
          <cell r="M178">
            <v>1025</v>
          </cell>
        </row>
        <row r="179">
          <cell r="A179">
            <v>16360</v>
          </cell>
          <cell r="B179">
            <v>0</v>
          </cell>
          <cell r="C179" t="str">
            <v>UNAV</v>
          </cell>
          <cell r="D179">
            <v>36796.261805555558</v>
          </cell>
          <cell r="F179">
            <v>16360</v>
          </cell>
          <cell r="G179">
            <v>0</v>
          </cell>
          <cell r="I179">
            <v>16360</v>
          </cell>
          <cell r="J179">
            <v>0</v>
          </cell>
          <cell r="L179">
            <v>16360</v>
          </cell>
          <cell r="M179">
            <v>1025</v>
          </cell>
        </row>
        <row r="180">
          <cell r="A180">
            <v>16361</v>
          </cell>
          <cell r="B180">
            <v>0</v>
          </cell>
          <cell r="C180" t="str">
            <v>UNAV</v>
          </cell>
          <cell r="D180">
            <v>36796.261805555558</v>
          </cell>
          <cell r="F180">
            <v>16361</v>
          </cell>
          <cell r="G180">
            <v>0</v>
          </cell>
          <cell r="I180">
            <v>16361</v>
          </cell>
          <cell r="J180">
            <v>0</v>
          </cell>
          <cell r="L180">
            <v>16361</v>
          </cell>
          <cell r="M180">
            <v>1025</v>
          </cell>
        </row>
        <row r="181">
          <cell r="A181">
            <v>16362</v>
          </cell>
          <cell r="B181">
            <v>0</v>
          </cell>
          <cell r="C181" t="str">
            <v xml:space="preserve">    </v>
          </cell>
          <cell r="D181">
            <v>36796.261805555558</v>
          </cell>
          <cell r="F181">
            <v>16362</v>
          </cell>
          <cell r="G181">
            <v>0</v>
          </cell>
          <cell r="I181">
            <v>16362</v>
          </cell>
          <cell r="J181">
            <v>0</v>
          </cell>
          <cell r="L181">
            <v>16362</v>
          </cell>
          <cell r="M181">
            <v>1031</v>
          </cell>
        </row>
        <row r="182">
          <cell r="A182">
            <v>16363</v>
          </cell>
          <cell r="B182">
            <v>0</v>
          </cell>
          <cell r="C182" t="str">
            <v>UNAV</v>
          </cell>
          <cell r="D182">
            <v>36796.261805555558</v>
          </cell>
          <cell r="F182">
            <v>16363</v>
          </cell>
          <cell r="G182">
            <v>0</v>
          </cell>
          <cell r="I182">
            <v>16363</v>
          </cell>
          <cell r="J182">
            <v>0</v>
          </cell>
          <cell r="L182">
            <v>16363</v>
          </cell>
          <cell r="M182">
            <v>1025</v>
          </cell>
        </row>
        <row r="183">
          <cell r="A183">
            <v>16365</v>
          </cell>
          <cell r="B183">
            <v>0</v>
          </cell>
          <cell r="C183" t="str">
            <v>UNAV</v>
          </cell>
          <cell r="D183">
            <v>36796.261805555558</v>
          </cell>
          <cell r="F183">
            <v>16365</v>
          </cell>
          <cell r="G183">
            <v>0</v>
          </cell>
          <cell r="I183">
            <v>16365</v>
          </cell>
          <cell r="J183">
            <v>0</v>
          </cell>
          <cell r="L183">
            <v>16365</v>
          </cell>
          <cell r="M183">
            <v>1025</v>
          </cell>
        </row>
        <row r="184">
          <cell r="A184">
            <v>16366</v>
          </cell>
          <cell r="B184">
            <v>1326</v>
          </cell>
          <cell r="C184" t="str">
            <v xml:space="preserve">    </v>
          </cell>
          <cell r="D184">
            <v>36796.255555555559</v>
          </cell>
          <cell r="F184">
            <v>16366</v>
          </cell>
          <cell r="G184">
            <v>1140.5591999999999</v>
          </cell>
          <cell r="I184">
            <v>16366</v>
          </cell>
          <cell r="J184">
            <v>1290.6550333305461</v>
          </cell>
          <cell r="L184">
            <v>16366</v>
          </cell>
          <cell r="M184">
            <v>1030</v>
          </cell>
        </row>
        <row r="185">
          <cell r="A185">
            <v>16369</v>
          </cell>
          <cell r="B185">
            <v>0</v>
          </cell>
          <cell r="C185" t="str">
            <v>UNAV</v>
          </cell>
          <cell r="D185">
            <v>36796.261805555558</v>
          </cell>
          <cell r="F185">
            <v>16369</v>
          </cell>
          <cell r="G185">
            <v>0</v>
          </cell>
          <cell r="I185">
            <v>16369</v>
          </cell>
          <cell r="J185">
            <v>0</v>
          </cell>
          <cell r="L185">
            <v>16369</v>
          </cell>
          <cell r="M185">
            <v>1025</v>
          </cell>
        </row>
        <row r="186">
          <cell r="A186">
            <v>20679</v>
          </cell>
          <cell r="B186">
            <v>0</v>
          </cell>
          <cell r="C186" t="str">
            <v xml:space="preserve">    </v>
          </cell>
          <cell r="D186">
            <v>36796.255555555559</v>
          </cell>
          <cell r="F186">
            <v>20679</v>
          </cell>
          <cell r="G186">
            <v>0</v>
          </cell>
          <cell r="I186">
            <v>20679</v>
          </cell>
          <cell r="J186">
            <v>0</v>
          </cell>
          <cell r="L186">
            <v>20679</v>
          </cell>
          <cell r="M186">
            <v>1050</v>
          </cell>
        </row>
        <row r="187">
          <cell r="A187">
            <v>26001</v>
          </cell>
          <cell r="B187">
            <v>3061</v>
          </cell>
          <cell r="C187" t="str">
            <v xml:space="preserve">    </v>
          </cell>
          <cell r="D187">
            <v>36796.251388888886</v>
          </cell>
          <cell r="F187">
            <v>26001</v>
          </cell>
          <cell r="G187">
            <v>3108.71216</v>
          </cell>
          <cell r="I187">
            <v>26001</v>
          </cell>
          <cell r="J187">
            <v>3455.2003544380104</v>
          </cell>
          <cell r="L187">
            <v>26001</v>
          </cell>
          <cell r="M187">
            <v>1023.7869899999999</v>
          </cell>
        </row>
        <row r="188">
          <cell r="A188">
            <v>26002</v>
          </cell>
          <cell r="B188">
            <v>4660</v>
          </cell>
          <cell r="C188" t="str">
            <v xml:space="preserve">    </v>
          </cell>
          <cell r="D188">
            <v>36796.256249999999</v>
          </cell>
          <cell r="F188">
            <v>26002</v>
          </cell>
          <cell r="G188">
            <v>4201.2968799999999</v>
          </cell>
          <cell r="I188">
            <v>26002</v>
          </cell>
          <cell r="J188">
            <v>4728.7829911013159</v>
          </cell>
          <cell r="L188">
            <v>26002</v>
          </cell>
          <cell r="M188">
            <v>1020</v>
          </cell>
        </row>
        <row r="189">
          <cell r="A189">
            <v>26005</v>
          </cell>
          <cell r="B189">
            <v>0</v>
          </cell>
          <cell r="C189" t="str">
            <v xml:space="preserve">    </v>
          </cell>
          <cell r="D189">
            <v>36796.258333333331</v>
          </cell>
          <cell r="F189">
            <v>26005</v>
          </cell>
          <cell r="G189">
            <v>0</v>
          </cell>
          <cell r="I189">
            <v>26005</v>
          </cell>
          <cell r="J189">
            <v>0</v>
          </cell>
          <cell r="L189">
            <v>26005</v>
          </cell>
          <cell r="M189">
            <v>1023</v>
          </cell>
        </row>
        <row r="190">
          <cell r="A190">
            <v>26006</v>
          </cell>
          <cell r="B190">
            <v>9433</v>
          </cell>
          <cell r="C190" t="str">
            <v xml:space="preserve">    </v>
          </cell>
          <cell r="D190">
            <v>36796.255555555559</v>
          </cell>
          <cell r="F190">
            <v>26006</v>
          </cell>
          <cell r="G190">
            <v>8739.9726599999995</v>
          </cell>
          <cell r="I190">
            <v>26006</v>
          </cell>
          <cell r="J190">
            <v>9807.7358544246163</v>
          </cell>
          <cell r="L190">
            <v>26006</v>
          </cell>
          <cell r="M190">
            <v>1025</v>
          </cell>
        </row>
        <row r="191">
          <cell r="A191">
            <v>26007</v>
          </cell>
          <cell r="B191">
            <v>0</v>
          </cell>
          <cell r="C191" t="str">
            <v>UNAV</v>
          </cell>
          <cell r="D191">
            <v>36796.261805555558</v>
          </cell>
          <cell r="F191">
            <v>26007</v>
          </cell>
          <cell r="G191">
            <v>0</v>
          </cell>
          <cell r="I191">
            <v>26007</v>
          </cell>
          <cell r="J191">
            <v>0</v>
          </cell>
          <cell r="L191">
            <v>26007</v>
          </cell>
          <cell r="M191">
            <v>1025</v>
          </cell>
        </row>
        <row r="192">
          <cell r="A192">
            <v>26008</v>
          </cell>
          <cell r="B192">
            <v>4975</v>
          </cell>
          <cell r="C192" t="str">
            <v xml:space="preserve">    </v>
          </cell>
          <cell r="D192">
            <v>36796.254861111112</v>
          </cell>
          <cell r="F192">
            <v>26008</v>
          </cell>
          <cell r="G192">
            <v>4340.8544899999997</v>
          </cell>
          <cell r="I192">
            <v>26008</v>
          </cell>
          <cell r="J192">
            <v>4903.9968511006537</v>
          </cell>
          <cell r="L192">
            <v>26008</v>
          </cell>
          <cell r="M192">
            <v>1024</v>
          </cell>
        </row>
        <row r="193">
          <cell r="A193">
            <v>26009</v>
          </cell>
          <cell r="B193">
            <v>0</v>
          </cell>
          <cell r="C193" t="str">
            <v xml:space="preserve">    </v>
          </cell>
          <cell r="D193">
            <v>36796.25277777778</v>
          </cell>
          <cell r="F193">
            <v>26009</v>
          </cell>
          <cell r="G193">
            <v>0</v>
          </cell>
          <cell r="I193">
            <v>26009</v>
          </cell>
          <cell r="J193">
            <v>0</v>
          </cell>
          <cell r="L193">
            <v>26009</v>
          </cell>
          <cell r="M193">
            <v>1023</v>
          </cell>
        </row>
        <row r="194">
          <cell r="A194">
            <v>26011</v>
          </cell>
          <cell r="B194">
            <v>0</v>
          </cell>
          <cell r="C194" t="str">
            <v>UNAV</v>
          </cell>
          <cell r="D194">
            <v>36796.261805555558</v>
          </cell>
          <cell r="F194">
            <v>26011</v>
          </cell>
          <cell r="G194">
            <v>0</v>
          </cell>
          <cell r="I194">
            <v>26011</v>
          </cell>
          <cell r="J194">
            <v>0</v>
          </cell>
          <cell r="L194">
            <v>26011</v>
          </cell>
          <cell r="M194">
            <v>1025</v>
          </cell>
        </row>
        <row r="195">
          <cell r="A195">
            <v>26013</v>
          </cell>
          <cell r="B195">
            <v>0</v>
          </cell>
          <cell r="C195" t="str">
            <v>UNAV</v>
          </cell>
          <cell r="D195">
            <v>36796.261805555558</v>
          </cell>
          <cell r="F195">
            <v>26013</v>
          </cell>
          <cell r="G195">
            <v>0</v>
          </cell>
          <cell r="I195">
            <v>26013</v>
          </cell>
          <cell r="J195">
            <v>0</v>
          </cell>
          <cell r="L195">
            <v>26013</v>
          </cell>
          <cell r="M195">
            <v>1025</v>
          </cell>
        </row>
        <row r="196">
          <cell r="A196">
            <v>26014</v>
          </cell>
          <cell r="B196">
            <v>0</v>
          </cell>
          <cell r="C196" t="str">
            <v xml:space="preserve">    </v>
          </cell>
          <cell r="D196">
            <v>36796.255555555559</v>
          </cell>
          <cell r="F196">
            <v>26014</v>
          </cell>
          <cell r="G196">
            <v>0</v>
          </cell>
          <cell r="I196">
            <v>26014</v>
          </cell>
          <cell r="J196">
            <v>0</v>
          </cell>
          <cell r="L196">
            <v>26014</v>
          </cell>
          <cell r="M196">
            <v>1025</v>
          </cell>
        </row>
        <row r="197">
          <cell r="A197">
            <v>26015</v>
          </cell>
          <cell r="B197">
            <v>0</v>
          </cell>
          <cell r="C197" t="str">
            <v>UNAV</v>
          </cell>
          <cell r="D197">
            <v>36796.261805555558</v>
          </cell>
          <cell r="F197">
            <v>26015</v>
          </cell>
          <cell r="G197">
            <v>0</v>
          </cell>
          <cell r="I197">
            <v>26015</v>
          </cell>
          <cell r="J197">
            <v>0</v>
          </cell>
          <cell r="L197">
            <v>26015</v>
          </cell>
          <cell r="M197">
            <v>1025</v>
          </cell>
        </row>
        <row r="198">
          <cell r="A198">
            <v>26016</v>
          </cell>
          <cell r="B198">
            <v>0</v>
          </cell>
          <cell r="C198" t="str">
            <v>UNAV</v>
          </cell>
          <cell r="D198">
            <v>36796.261805555558</v>
          </cell>
          <cell r="F198">
            <v>26016</v>
          </cell>
          <cell r="G198">
            <v>0</v>
          </cell>
          <cell r="I198">
            <v>26016</v>
          </cell>
          <cell r="J198">
            <v>0</v>
          </cell>
          <cell r="L198">
            <v>26016</v>
          </cell>
          <cell r="M198">
            <v>1025</v>
          </cell>
        </row>
        <row r="199">
          <cell r="A199">
            <v>26018</v>
          </cell>
          <cell r="B199">
            <v>0</v>
          </cell>
          <cell r="C199" t="str">
            <v xml:space="preserve">    </v>
          </cell>
          <cell r="D199">
            <v>36796.255555555559</v>
          </cell>
          <cell r="F199">
            <v>26018</v>
          </cell>
          <cell r="G199">
            <v>169.77467300000001</v>
          </cell>
          <cell r="I199">
            <v>26018</v>
          </cell>
          <cell r="J199">
            <v>169.77467300000001</v>
          </cell>
          <cell r="L199">
            <v>26018</v>
          </cell>
          <cell r="M199">
            <v>1025</v>
          </cell>
        </row>
        <row r="200">
          <cell r="A200">
            <v>26021</v>
          </cell>
          <cell r="B200">
            <v>12769</v>
          </cell>
          <cell r="C200" t="str">
            <v xml:space="preserve">    </v>
          </cell>
          <cell r="D200">
            <v>36796.255555555559</v>
          </cell>
          <cell r="F200">
            <v>26021</v>
          </cell>
          <cell r="G200">
            <v>11103.444299999999</v>
          </cell>
          <cell r="I200">
            <v>26021</v>
          </cell>
          <cell r="J200">
            <v>12548.824161084271</v>
          </cell>
          <cell r="L200">
            <v>26021</v>
          </cell>
          <cell r="M200">
            <v>1025</v>
          </cell>
        </row>
        <row r="201">
          <cell r="A201">
            <v>26022</v>
          </cell>
          <cell r="B201">
            <v>0</v>
          </cell>
          <cell r="C201" t="str">
            <v>UNAV</v>
          </cell>
          <cell r="D201">
            <v>36796.261805555558</v>
          </cell>
          <cell r="F201">
            <v>26022</v>
          </cell>
          <cell r="G201">
            <v>0</v>
          </cell>
          <cell r="I201">
            <v>26022</v>
          </cell>
          <cell r="J201">
            <v>0</v>
          </cell>
          <cell r="L201">
            <v>26022</v>
          </cell>
          <cell r="M201">
            <v>1025</v>
          </cell>
        </row>
        <row r="202">
          <cell r="A202">
            <v>26023</v>
          </cell>
          <cell r="B202">
            <v>7531</v>
          </cell>
          <cell r="C202" t="str">
            <v xml:space="preserve">    </v>
          </cell>
          <cell r="D202">
            <v>36796.261805555558</v>
          </cell>
          <cell r="F202">
            <v>26023</v>
          </cell>
          <cell r="G202">
            <v>7038.4375</v>
          </cell>
          <cell r="I202">
            <v>26023</v>
          </cell>
          <cell r="J202">
            <v>7890.9048610952814</v>
          </cell>
          <cell r="L202">
            <v>26023</v>
          </cell>
          <cell r="M202">
            <v>1023</v>
          </cell>
        </row>
        <row r="203">
          <cell r="A203">
            <v>26025</v>
          </cell>
          <cell r="B203">
            <v>0</v>
          </cell>
          <cell r="C203" t="str">
            <v xml:space="preserve">    </v>
          </cell>
          <cell r="D203">
            <v>36796.229166666664</v>
          </cell>
          <cell r="F203">
            <v>26025</v>
          </cell>
          <cell r="G203">
            <v>0</v>
          </cell>
          <cell r="I203">
            <v>26025</v>
          </cell>
          <cell r="J203">
            <v>0</v>
          </cell>
          <cell r="L203">
            <v>26025</v>
          </cell>
          <cell r="M203">
            <v>1023.7869899999999</v>
          </cell>
        </row>
        <row r="204">
          <cell r="A204">
            <v>26026</v>
          </cell>
          <cell r="B204">
            <v>20357</v>
          </cell>
          <cell r="C204" t="str">
            <v xml:space="preserve">    </v>
          </cell>
          <cell r="D204">
            <v>36796.256249999999</v>
          </cell>
          <cell r="F204">
            <v>26026</v>
          </cell>
          <cell r="G204">
            <v>17719.75</v>
          </cell>
          <cell r="I204">
            <v>26026</v>
          </cell>
          <cell r="J204">
            <v>20024.049305512766</v>
          </cell>
          <cell r="L204">
            <v>26026</v>
          </cell>
          <cell r="M204">
            <v>1025</v>
          </cell>
        </row>
        <row r="205">
          <cell r="A205">
            <v>26030</v>
          </cell>
          <cell r="B205">
            <v>0</v>
          </cell>
          <cell r="C205" t="str">
            <v>UNAV</v>
          </cell>
          <cell r="D205">
            <v>36796.261805555558</v>
          </cell>
          <cell r="F205">
            <v>26030</v>
          </cell>
          <cell r="G205">
            <v>0</v>
          </cell>
          <cell r="I205">
            <v>26030</v>
          </cell>
          <cell r="J205">
            <v>0</v>
          </cell>
          <cell r="L205">
            <v>26030</v>
          </cell>
          <cell r="M205">
            <v>1025</v>
          </cell>
        </row>
        <row r="206">
          <cell r="A206">
            <v>26032</v>
          </cell>
          <cell r="B206">
            <v>0</v>
          </cell>
          <cell r="C206" t="str">
            <v>UNAV</v>
          </cell>
          <cell r="D206">
            <v>36796.261805555558</v>
          </cell>
          <cell r="F206">
            <v>26032</v>
          </cell>
          <cell r="G206">
            <v>0</v>
          </cell>
          <cell r="I206">
            <v>26032</v>
          </cell>
          <cell r="J206">
            <v>0</v>
          </cell>
          <cell r="L206">
            <v>26032</v>
          </cell>
          <cell r="M206">
            <v>1025</v>
          </cell>
        </row>
        <row r="207">
          <cell r="A207">
            <v>26033</v>
          </cell>
          <cell r="B207">
            <v>12937</v>
          </cell>
          <cell r="C207" t="str">
            <v xml:space="preserve">    </v>
          </cell>
          <cell r="D207">
            <v>36796.261805555558</v>
          </cell>
          <cell r="F207">
            <v>26033</v>
          </cell>
          <cell r="G207">
            <v>10959.126</v>
          </cell>
          <cell r="I207">
            <v>26033</v>
          </cell>
          <cell r="J207">
            <v>12423.522527750585</v>
          </cell>
          <cell r="L207">
            <v>26033</v>
          </cell>
          <cell r="M207">
            <v>1056</v>
          </cell>
        </row>
        <row r="208">
          <cell r="A208">
            <v>26034</v>
          </cell>
          <cell r="B208">
            <v>0</v>
          </cell>
          <cell r="C208" t="str">
            <v>UNAV</v>
          </cell>
          <cell r="D208">
            <v>36796.261805555558</v>
          </cell>
          <cell r="F208">
            <v>26034</v>
          </cell>
          <cell r="G208">
            <v>0</v>
          </cell>
          <cell r="I208">
            <v>26034</v>
          </cell>
          <cell r="J208">
            <v>0</v>
          </cell>
          <cell r="L208">
            <v>26034</v>
          </cell>
          <cell r="M208">
            <v>1025</v>
          </cell>
        </row>
        <row r="209">
          <cell r="A209">
            <v>26035</v>
          </cell>
          <cell r="B209">
            <v>41100</v>
          </cell>
          <cell r="C209" t="str">
            <v xml:space="preserve">    </v>
          </cell>
          <cell r="D209">
            <v>36796.259722222225</v>
          </cell>
          <cell r="F209">
            <v>26035</v>
          </cell>
          <cell r="G209">
            <v>36079.007799999999</v>
          </cell>
          <cell r="I209">
            <v>26035</v>
          </cell>
          <cell r="J209">
            <v>40731.299466580276</v>
          </cell>
          <cell r="L209">
            <v>26035</v>
          </cell>
          <cell r="M209">
            <v>1026.66272</v>
          </cell>
        </row>
        <row r="210">
          <cell r="A210">
            <v>26037</v>
          </cell>
          <cell r="B210">
            <v>0</v>
          </cell>
          <cell r="C210" t="str">
            <v>UNAV</v>
          </cell>
          <cell r="D210">
            <v>36796.261805555558</v>
          </cell>
          <cell r="F210">
            <v>26037</v>
          </cell>
          <cell r="G210">
            <v>0</v>
          </cell>
          <cell r="I210">
            <v>26037</v>
          </cell>
          <cell r="J210">
            <v>0</v>
          </cell>
          <cell r="L210">
            <v>26037</v>
          </cell>
          <cell r="M210">
            <v>1025</v>
          </cell>
        </row>
        <row r="211">
          <cell r="A211">
            <v>26038</v>
          </cell>
          <cell r="B211">
            <v>0</v>
          </cell>
          <cell r="C211" t="str">
            <v>UNAV</v>
          </cell>
          <cell r="D211">
            <v>36796.261805555558</v>
          </cell>
          <cell r="F211">
            <v>26038</v>
          </cell>
          <cell r="G211">
            <v>0</v>
          </cell>
          <cell r="I211">
            <v>26038</v>
          </cell>
          <cell r="J211">
            <v>0</v>
          </cell>
          <cell r="L211">
            <v>26038</v>
          </cell>
          <cell r="M211">
            <v>1025</v>
          </cell>
        </row>
        <row r="212">
          <cell r="A212">
            <v>26039</v>
          </cell>
          <cell r="B212">
            <v>0</v>
          </cell>
          <cell r="C212" t="str">
            <v>UNAV</v>
          </cell>
          <cell r="D212">
            <v>36796.261805555558</v>
          </cell>
          <cell r="F212">
            <v>26039</v>
          </cell>
          <cell r="G212">
            <v>0</v>
          </cell>
          <cell r="I212">
            <v>26039</v>
          </cell>
          <cell r="J212">
            <v>0</v>
          </cell>
          <cell r="L212">
            <v>26039</v>
          </cell>
          <cell r="M212">
            <v>1025</v>
          </cell>
        </row>
        <row r="213">
          <cell r="A213">
            <v>26040</v>
          </cell>
          <cell r="B213">
            <v>0</v>
          </cell>
          <cell r="C213" t="str">
            <v>UNAV</v>
          </cell>
          <cell r="D213">
            <v>36796.261805555558</v>
          </cell>
          <cell r="F213">
            <v>26040</v>
          </cell>
          <cell r="G213">
            <v>0</v>
          </cell>
          <cell r="I213">
            <v>26040</v>
          </cell>
          <cell r="J213">
            <v>0</v>
          </cell>
          <cell r="L213">
            <v>26040</v>
          </cell>
          <cell r="M213">
            <v>1025</v>
          </cell>
        </row>
        <row r="214">
          <cell r="A214">
            <v>26042</v>
          </cell>
          <cell r="B214">
            <v>0</v>
          </cell>
          <cell r="C214" t="str">
            <v>UNAV</v>
          </cell>
          <cell r="D214">
            <v>36796.261805555558</v>
          </cell>
          <cell r="F214">
            <v>26042</v>
          </cell>
          <cell r="G214">
            <v>0</v>
          </cell>
          <cell r="I214">
            <v>26042</v>
          </cell>
          <cell r="J214">
            <v>0</v>
          </cell>
          <cell r="L214">
            <v>26042</v>
          </cell>
          <cell r="M214">
            <v>1025</v>
          </cell>
        </row>
        <row r="215">
          <cell r="A215">
            <v>26043</v>
          </cell>
          <cell r="B215">
            <v>0</v>
          </cell>
          <cell r="C215" t="str">
            <v>UNAV</v>
          </cell>
          <cell r="D215">
            <v>36796.261805555558</v>
          </cell>
          <cell r="F215">
            <v>26043</v>
          </cell>
          <cell r="G215">
            <v>0</v>
          </cell>
          <cell r="I215">
            <v>26043</v>
          </cell>
          <cell r="J215">
            <v>0</v>
          </cell>
          <cell r="L215">
            <v>26043</v>
          </cell>
          <cell r="M215">
            <v>1025</v>
          </cell>
        </row>
        <row r="216">
          <cell r="A216">
            <v>26044</v>
          </cell>
          <cell r="B216">
            <v>0</v>
          </cell>
          <cell r="C216" t="str">
            <v xml:space="preserve">    </v>
          </cell>
          <cell r="D216">
            <v>36796.255555555559</v>
          </cell>
          <cell r="F216">
            <v>26044</v>
          </cell>
          <cell r="G216">
            <v>0</v>
          </cell>
          <cell r="I216">
            <v>26044</v>
          </cell>
          <cell r="J216">
            <v>0</v>
          </cell>
          <cell r="L216">
            <v>26044</v>
          </cell>
          <cell r="M216">
            <v>1025</v>
          </cell>
        </row>
        <row r="217">
          <cell r="A217">
            <v>26045</v>
          </cell>
          <cell r="B217">
            <v>5524</v>
          </cell>
          <cell r="C217" t="str">
            <v xml:space="preserve">    </v>
          </cell>
          <cell r="D217">
            <v>36796.256944444445</v>
          </cell>
          <cell r="F217">
            <v>26045</v>
          </cell>
          <cell r="G217">
            <v>3960.7983399999998</v>
          </cell>
          <cell r="I217">
            <v>26045</v>
          </cell>
          <cell r="J217">
            <v>4586.0844510994993</v>
          </cell>
          <cell r="L217">
            <v>26045</v>
          </cell>
          <cell r="M217">
            <v>1063</v>
          </cell>
        </row>
        <row r="218">
          <cell r="A218">
            <v>26046</v>
          </cell>
          <cell r="B218">
            <v>0</v>
          </cell>
          <cell r="C218" t="str">
            <v xml:space="preserve">    </v>
          </cell>
          <cell r="D218">
            <v>36796.261805555558</v>
          </cell>
          <cell r="F218">
            <v>26046</v>
          </cell>
          <cell r="G218">
            <v>0</v>
          </cell>
          <cell r="I218">
            <v>26046</v>
          </cell>
          <cell r="J218">
            <v>0</v>
          </cell>
          <cell r="L218">
            <v>26046</v>
          </cell>
          <cell r="M218">
            <v>1017</v>
          </cell>
        </row>
        <row r="219">
          <cell r="A219">
            <v>26049</v>
          </cell>
          <cell r="B219">
            <v>0</v>
          </cell>
          <cell r="C219" t="str">
            <v xml:space="preserve">    </v>
          </cell>
          <cell r="D219">
            <v>36796.255555555559</v>
          </cell>
          <cell r="F219">
            <v>26049</v>
          </cell>
          <cell r="G219">
            <v>0</v>
          </cell>
          <cell r="I219">
            <v>26049</v>
          </cell>
          <cell r="J219">
            <v>0</v>
          </cell>
          <cell r="L219">
            <v>26049</v>
          </cell>
          <cell r="M219">
            <v>1025</v>
          </cell>
        </row>
        <row r="220">
          <cell r="A220">
            <v>26050</v>
          </cell>
          <cell r="B220">
            <v>0</v>
          </cell>
          <cell r="C220" t="str">
            <v>UNAV</v>
          </cell>
          <cell r="D220">
            <v>36796.261805555558</v>
          </cell>
          <cell r="F220">
            <v>26050</v>
          </cell>
          <cell r="G220">
            <v>0</v>
          </cell>
          <cell r="I220">
            <v>26050</v>
          </cell>
          <cell r="J220">
            <v>0</v>
          </cell>
          <cell r="L220">
            <v>26050</v>
          </cell>
          <cell r="M220">
            <v>1038</v>
          </cell>
        </row>
        <row r="221">
          <cell r="A221">
            <v>26051</v>
          </cell>
          <cell r="B221">
            <v>0</v>
          </cell>
          <cell r="C221" t="str">
            <v>UNAV</v>
          </cell>
          <cell r="D221">
            <v>36796.261805555558</v>
          </cell>
          <cell r="F221">
            <v>26051</v>
          </cell>
          <cell r="G221">
            <v>0</v>
          </cell>
          <cell r="I221">
            <v>26051</v>
          </cell>
          <cell r="J221">
            <v>0</v>
          </cell>
          <cell r="L221">
            <v>26051</v>
          </cell>
          <cell r="M221">
            <v>1025</v>
          </cell>
        </row>
        <row r="222">
          <cell r="A222">
            <v>26055</v>
          </cell>
          <cell r="B222">
            <v>0</v>
          </cell>
          <cell r="C222" t="str">
            <v>COMM</v>
          </cell>
          <cell r="D222">
            <v>36795.476388888892</v>
          </cell>
          <cell r="F222">
            <v>26055</v>
          </cell>
          <cell r="G222">
            <v>0</v>
          </cell>
          <cell r="I222">
            <v>26055</v>
          </cell>
          <cell r="J222">
            <v>0</v>
          </cell>
          <cell r="L222">
            <v>26055</v>
          </cell>
          <cell r="M222">
            <v>1025</v>
          </cell>
        </row>
        <row r="223">
          <cell r="A223">
            <v>26056</v>
          </cell>
          <cell r="B223">
            <v>0</v>
          </cell>
          <cell r="C223" t="str">
            <v>UNAV</v>
          </cell>
          <cell r="D223">
            <v>36796.261805555558</v>
          </cell>
          <cell r="F223">
            <v>26056</v>
          </cell>
          <cell r="G223">
            <v>0</v>
          </cell>
          <cell r="I223">
            <v>26056</v>
          </cell>
          <cell r="J223">
            <v>0</v>
          </cell>
          <cell r="L223">
            <v>26056</v>
          </cell>
          <cell r="M223">
            <v>1025</v>
          </cell>
        </row>
        <row r="224">
          <cell r="A224">
            <v>26058</v>
          </cell>
          <cell r="B224">
            <v>7502</v>
          </cell>
          <cell r="C224" t="str">
            <v xml:space="preserve">    </v>
          </cell>
          <cell r="D224">
            <v>36796.255555555559</v>
          </cell>
          <cell r="F224">
            <v>26058</v>
          </cell>
          <cell r="G224">
            <v>6386.2343799999999</v>
          </cell>
          <cell r="I224">
            <v>26058</v>
          </cell>
          <cell r="J224">
            <v>7235.4191022064533</v>
          </cell>
          <cell r="L224">
            <v>26058</v>
          </cell>
          <cell r="M224">
            <v>1025</v>
          </cell>
        </row>
        <row r="225">
          <cell r="A225">
            <v>26059</v>
          </cell>
          <cell r="B225">
            <v>17440</v>
          </cell>
          <cell r="C225" t="str">
            <v xml:space="preserve">    </v>
          </cell>
          <cell r="D225">
            <v>36796.255555555559</v>
          </cell>
          <cell r="F225">
            <v>26059</v>
          </cell>
          <cell r="G225">
            <v>15370.0234</v>
          </cell>
          <cell r="I225">
            <v>26059</v>
          </cell>
          <cell r="J225">
            <v>17344.134511074451</v>
          </cell>
          <cell r="L225">
            <v>26059</v>
          </cell>
          <cell r="M225">
            <v>1025</v>
          </cell>
        </row>
        <row r="226">
          <cell r="A226">
            <v>26061</v>
          </cell>
          <cell r="B226">
            <v>0</v>
          </cell>
          <cell r="C226" t="str">
            <v>UNAV</v>
          </cell>
          <cell r="D226">
            <v>36796.261805555558</v>
          </cell>
          <cell r="F226">
            <v>26061</v>
          </cell>
          <cell r="G226">
            <v>0</v>
          </cell>
          <cell r="I226">
            <v>26061</v>
          </cell>
          <cell r="J226">
            <v>0</v>
          </cell>
          <cell r="L226">
            <v>26061</v>
          </cell>
          <cell r="M226">
            <v>1025</v>
          </cell>
        </row>
        <row r="227">
          <cell r="A227">
            <v>26063</v>
          </cell>
          <cell r="B227">
            <v>0</v>
          </cell>
          <cell r="C227" t="str">
            <v>UNAV</v>
          </cell>
          <cell r="D227">
            <v>36796.261805555558</v>
          </cell>
          <cell r="F227">
            <v>26063</v>
          </cell>
          <cell r="G227">
            <v>0</v>
          </cell>
          <cell r="I227">
            <v>26063</v>
          </cell>
          <cell r="J227">
            <v>0</v>
          </cell>
          <cell r="L227">
            <v>26063</v>
          </cell>
          <cell r="M227">
            <v>1040</v>
          </cell>
        </row>
        <row r="228">
          <cell r="A228">
            <v>26065</v>
          </cell>
          <cell r="B228">
            <v>0</v>
          </cell>
          <cell r="C228" t="str">
            <v>UNAV</v>
          </cell>
          <cell r="D228">
            <v>36796.261805555558</v>
          </cell>
          <cell r="F228">
            <v>26065</v>
          </cell>
          <cell r="G228">
            <v>0</v>
          </cell>
          <cell r="I228">
            <v>26065</v>
          </cell>
          <cell r="J228">
            <v>0</v>
          </cell>
          <cell r="L228">
            <v>26065</v>
          </cell>
          <cell r="M228">
            <v>1025</v>
          </cell>
        </row>
        <row r="229">
          <cell r="A229">
            <v>26068</v>
          </cell>
          <cell r="B229">
            <v>0</v>
          </cell>
          <cell r="C229" t="str">
            <v>UNAV</v>
          </cell>
          <cell r="D229">
            <v>36796.261805555558</v>
          </cell>
          <cell r="F229">
            <v>26068</v>
          </cell>
          <cell r="G229">
            <v>0</v>
          </cell>
          <cell r="I229">
            <v>26068</v>
          </cell>
          <cell r="J229">
            <v>0</v>
          </cell>
          <cell r="L229">
            <v>26068</v>
          </cell>
          <cell r="M229">
            <v>1025</v>
          </cell>
        </row>
        <row r="230">
          <cell r="A230">
            <v>26069</v>
          </cell>
          <cell r="B230">
            <v>0</v>
          </cell>
          <cell r="C230" t="str">
            <v>COMM</v>
          </cell>
          <cell r="D230">
            <v>36795.410416666666</v>
          </cell>
          <cell r="F230">
            <v>26069</v>
          </cell>
          <cell r="G230">
            <v>0</v>
          </cell>
          <cell r="I230">
            <v>26069</v>
          </cell>
          <cell r="J230">
            <v>0</v>
          </cell>
          <cell r="L230">
            <v>26069</v>
          </cell>
          <cell r="M230">
            <v>1025</v>
          </cell>
        </row>
        <row r="231">
          <cell r="A231">
            <v>26070</v>
          </cell>
          <cell r="B231">
            <v>0</v>
          </cell>
          <cell r="C231" t="str">
            <v>UNAV</v>
          </cell>
          <cell r="D231">
            <v>36796.261805555558</v>
          </cell>
          <cell r="F231">
            <v>26070</v>
          </cell>
          <cell r="G231">
            <v>0</v>
          </cell>
          <cell r="I231">
            <v>26070</v>
          </cell>
          <cell r="J231">
            <v>0</v>
          </cell>
          <cell r="L231">
            <v>26070</v>
          </cell>
          <cell r="M231">
            <v>1025</v>
          </cell>
        </row>
        <row r="232">
          <cell r="A232">
            <v>26071</v>
          </cell>
          <cell r="B232">
            <v>0</v>
          </cell>
          <cell r="C232" t="str">
            <v xml:space="preserve">    </v>
          </cell>
          <cell r="D232">
            <v>36796.256944444445</v>
          </cell>
          <cell r="F232">
            <v>26071</v>
          </cell>
          <cell r="G232">
            <v>0</v>
          </cell>
          <cell r="I232">
            <v>26071</v>
          </cell>
          <cell r="J232">
            <v>0</v>
          </cell>
          <cell r="L232">
            <v>26071</v>
          </cell>
          <cell r="M232">
            <v>1057</v>
          </cell>
        </row>
        <row r="233">
          <cell r="A233">
            <v>26073</v>
          </cell>
          <cell r="B233">
            <v>30115</v>
          </cell>
          <cell r="C233" t="str">
            <v xml:space="preserve">    </v>
          </cell>
          <cell r="D233">
            <v>36796.256249999999</v>
          </cell>
          <cell r="F233">
            <v>26073</v>
          </cell>
          <cell r="G233">
            <v>16367.834000000001</v>
          </cell>
          <cell r="I233">
            <v>26073</v>
          </cell>
          <cell r="J233">
            <v>19776.684694381147</v>
          </cell>
          <cell r="L233">
            <v>26073</v>
          </cell>
          <cell r="M233">
            <v>1025</v>
          </cell>
        </row>
        <row r="234">
          <cell r="A234">
            <v>26075</v>
          </cell>
          <cell r="B234">
            <v>0</v>
          </cell>
          <cell r="C234" t="str">
            <v>UNAV</v>
          </cell>
          <cell r="D234">
            <v>36796.261805555558</v>
          </cell>
          <cell r="F234">
            <v>26075</v>
          </cell>
          <cell r="G234">
            <v>0</v>
          </cell>
          <cell r="I234">
            <v>26075</v>
          </cell>
          <cell r="J234">
            <v>0</v>
          </cell>
          <cell r="L234">
            <v>26075</v>
          </cell>
          <cell r="M234">
            <v>1025</v>
          </cell>
        </row>
        <row r="235">
          <cell r="A235">
            <v>26076</v>
          </cell>
          <cell r="B235">
            <v>0</v>
          </cell>
          <cell r="C235" t="str">
            <v>UNAV</v>
          </cell>
          <cell r="D235">
            <v>36796.261805555558</v>
          </cell>
          <cell r="F235">
            <v>26076</v>
          </cell>
          <cell r="G235">
            <v>0</v>
          </cell>
          <cell r="I235">
            <v>26076</v>
          </cell>
          <cell r="J235">
            <v>0</v>
          </cell>
          <cell r="L235">
            <v>26076</v>
          </cell>
          <cell r="M235">
            <v>1025</v>
          </cell>
        </row>
        <row r="236">
          <cell r="A236">
            <v>26077</v>
          </cell>
          <cell r="B236">
            <v>0</v>
          </cell>
          <cell r="C236" t="str">
            <v>COMM</v>
          </cell>
          <cell r="D236">
            <v>36795.369444444441</v>
          </cell>
          <cell r="F236">
            <v>26077</v>
          </cell>
          <cell r="G236">
            <v>0</v>
          </cell>
          <cell r="I236">
            <v>26077</v>
          </cell>
          <cell r="J236">
            <v>0</v>
          </cell>
          <cell r="L236">
            <v>26077</v>
          </cell>
          <cell r="M236">
            <v>1025</v>
          </cell>
        </row>
        <row r="237">
          <cell r="A237">
            <v>26077</v>
          </cell>
          <cell r="B237">
            <v>0</v>
          </cell>
          <cell r="C237" t="str">
            <v>COMM</v>
          </cell>
          <cell r="D237">
            <v>36795.369444444441</v>
          </cell>
          <cell r="F237">
            <v>26077</v>
          </cell>
          <cell r="G237">
            <v>0</v>
          </cell>
          <cell r="I237">
            <v>26077</v>
          </cell>
          <cell r="J237">
            <v>0</v>
          </cell>
          <cell r="L237">
            <v>26077</v>
          </cell>
          <cell r="M237">
            <v>1025</v>
          </cell>
        </row>
        <row r="238">
          <cell r="A238">
            <v>26079</v>
          </cell>
          <cell r="B238">
            <v>20998</v>
          </cell>
          <cell r="C238" t="str">
            <v xml:space="preserve">    </v>
          </cell>
          <cell r="D238">
            <v>36796.256249999999</v>
          </cell>
          <cell r="F238">
            <v>26079</v>
          </cell>
          <cell r="G238">
            <v>19168.228500000001</v>
          </cell>
          <cell r="I238">
            <v>26079</v>
          </cell>
          <cell r="J238">
            <v>21545.085444400309</v>
          </cell>
          <cell r="L238">
            <v>26079</v>
          </cell>
          <cell r="M238">
            <v>1025</v>
          </cell>
        </row>
        <row r="239">
          <cell r="A239">
            <v>26080</v>
          </cell>
          <cell r="B239">
            <v>13734</v>
          </cell>
          <cell r="C239" t="str">
            <v xml:space="preserve">    </v>
          </cell>
          <cell r="D239">
            <v>36796.256249999999</v>
          </cell>
          <cell r="F239">
            <v>26080</v>
          </cell>
          <cell r="G239">
            <v>11551.8604</v>
          </cell>
          <cell r="I239">
            <v>26080</v>
          </cell>
          <cell r="J239">
            <v>13106.472899971131</v>
          </cell>
          <cell r="L239">
            <v>26080</v>
          </cell>
          <cell r="M239">
            <v>1025</v>
          </cell>
        </row>
        <row r="240">
          <cell r="A240">
            <v>26081</v>
          </cell>
          <cell r="B240">
            <v>15042</v>
          </cell>
          <cell r="C240" t="str">
            <v xml:space="preserve">    </v>
          </cell>
          <cell r="D240">
            <v>36796.256249999999</v>
          </cell>
          <cell r="F240">
            <v>26081</v>
          </cell>
          <cell r="G240">
            <v>7907.9209000000001</v>
          </cell>
          <cell r="I240">
            <v>26081</v>
          </cell>
          <cell r="J240">
            <v>9610.5917333017169</v>
          </cell>
          <cell r="L240">
            <v>26081</v>
          </cell>
          <cell r="M240">
            <v>1018</v>
          </cell>
        </row>
        <row r="241">
          <cell r="A241">
            <v>26082</v>
          </cell>
          <cell r="B241">
            <v>0</v>
          </cell>
          <cell r="C241" t="str">
            <v xml:space="preserve">    </v>
          </cell>
          <cell r="D241">
            <v>36796.255555555559</v>
          </cell>
          <cell r="F241">
            <v>26082</v>
          </cell>
          <cell r="G241">
            <v>0</v>
          </cell>
          <cell r="I241">
            <v>26082</v>
          </cell>
          <cell r="J241">
            <v>0</v>
          </cell>
          <cell r="L241">
            <v>26082</v>
          </cell>
          <cell r="M241">
            <v>1025</v>
          </cell>
        </row>
        <row r="242">
          <cell r="A242">
            <v>26083</v>
          </cell>
          <cell r="B242">
            <v>4889</v>
          </cell>
          <cell r="C242" t="str">
            <v xml:space="preserve">    </v>
          </cell>
          <cell r="D242">
            <v>36796.260416666664</v>
          </cell>
          <cell r="F242">
            <v>26083</v>
          </cell>
          <cell r="G242">
            <v>4342.0625</v>
          </cell>
          <cell r="I242">
            <v>26083</v>
          </cell>
          <cell r="J242">
            <v>4895.4701388786125</v>
          </cell>
          <cell r="L242">
            <v>26083</v>
          </cell>
          <cell r="M242">
            <v>1018</v>
          </cell>
        </row>
        <row r="243">
          <cell r="A243">
            <v>26084</v>
          </cell>
          <cell r="B243">
            <v>12760</v>
          </cell>
          <cell r="C243" t="str">
            <v xml:space="preserve">    </v>
          </cell>
          <cell r="D243">
            <v>36796.255555555559</v>
          </cell>
          <cell r="F243">
            <v>26084</v>
          </cell>
          <cell r="G243">
            <v>9901.2626999999993</v>
          </cell>
          <cell r="I243">
            <v>26084</v>
          </cell>
          <cell r="J243">
            <v>11345.62381108429</v>
          </cell>
          <cell r="L243">
            <v>26084</v>
          </cell>
          <cell r="M243">
            <v>1025</v>
          </cell>
        </row>
        <row r="244">
          <cell r="A244">
            <v>26085</v>
          </cell>
          <cell r="B244">
            <v>0</v>
          </cell>
          <cell r="C244" t="str">
            <v>UNAV</v>
          </cell>
          <cell r="D244">
            <v>36796.261805555558</v>
          </cell>
          <cell r="F244">
            <v>26085</v>
          </cell>
          <cell r="G244">
            <v>0</v>
          </cell>
          <cell r="I244">
            <v>26085</v>
          </cell>
          <cell r="J244">
            <v>0</v>
          </cell>
          <cell r="L244">
            <v>26085</v>
          </cell>
          <cell r="M244">
            <v>1025</v>
          </cell>
        </row>
        <row r="245">
          <cell r="A245">
            <v>26088</v>
          </cell>
          <cell r="B245">
            <v>29274</v>
          </cell>
          <cell r="C245" t="str">
            <v xml:space="preserve">    </v>
          </cell>
          <cell r="D245">
            <v>36796.256249999999</v>
          </cell>
          <cell r="F245">
            <v>26088</v>
          </cell>
          <cell r="G245">
            <v>25492.7988</v>
          </cell>
          <cell r="I245">
            <v>26088</v>
          </cell>
          <cell r="J245">
            <v>28806.452966605135</v>
          </cell>
          <cell r="L245">
            <v>26088</v>
          </cell>
          <cell r="M245">
            <v>1025</v>
          </cell>
        </row>
        <row r="246">
          <cell r="A246">
            <v>26090</v>
          </cell>
          <cell r="B246">
            <v>0</v>
          </cell>
          <cell r="C246" t="str">
            <v>UNAV</v>
          </cell>
          <cell r="D246">
            <v>36796.261805555558</v>
          </cell>
          <cell r="F246">
            <v>26090</v>
          </cell>
          <cell r="G246">
            <v>0</v>
          </cell>
          <cell r="I246">
            <v>26090</v>
          </cell>
          <cell r="J246">
            <v>0</v>
          </cell>
          <cell r="L246">
            <v>26090</v>
          </cell>
          <cell r="M246">
            <v>1025</v>
          </cell>
        </row>
        <row r="247">
          <cell r="A247">
            <v>26091</v>
          </cell>
          <cell r="B247">
            <v>19218</v>
          </cell>
          <cell r="C247" t="str">
            <v xml:space="preserve">    </v>
          </cell>
          <cell r="D247">
            <v>36796.256944444445</v>
          </cell>
          <cell r="F247">
            <v>26091</v>
          </cell>
          <cell r="G247">
            <v>17060.835899999998</v>
          </cell>
          <cell r="I247">
            <v>26091</v>
          </cell>
          <cell r="J247">
            <v>19236.206733292936</v>
          </cell>
          <cell r="L247">
            <v>26091</v>
          </cell>
          <cell r="M247">
            <v>1031</v>
          </cell>
        </row>
        <row r="248">
          <cell r="A248">
            <v>26092</v>
          </cell>
          <cell r="B248">
            <v>0</v>
          </cell>
          <cell r="C248" t="str">
            <v>COMM</v>
          </cell>
          <cell r="D248">
            <v>36795.369444444441</v>
          </cell>
          <cell r="F248">
            <v>26092</v>
          </cell>
          <cell r="G248">
            <v>0</v>
          </cell>
          <cell r="I248">
            <v>26092</v>
          </cell>
          <cell r="J248">
            <v>0</v>
          </cell>
          <cell r="L248">
            <v>26092</v>
          </cell>
          <cell r="M248">
            <v>1025</v>
          </cell>
        </row>
        <row r="249">
          <cell r="A249">
            <v>26093</v>
          </cell>
          <cell r="B249">
            <v>0</v>
          </cell>
          <cell r="C249" t="str">
            <v xml:space="preserve">    </v>
          </cell>
          <cell r="D249">
            <v>36796.256249999999</v>
          </cell>
          <cell r="F249">
            <v>26093</v>
          </cell>
          <cell r="G249">
            <v>0</v>
          </cell>
          <cell r="I249">
            <v>26093</v>
          </cell>
          <cell r="J249">
            <v>0</v>
          </cell>
          <cell r="L249">
            <v>26093</v>
          </cell>
          <cell r="M249">
            <v>1025</v>
          </cell>
        </row>
        <row r="250">
          <cell r="A250">
            <v>26095</v>
          </cell>
          <cell r="B250">
            <v>0</v>
          </cell>
          <cell r="C250" t="str">
            <v>UNAV</v>
          </cell>
          <cell r="D250">
            <v>36796.261805555558</v>
          </cell>
          <cell r="F250">
            <v>26095</v>
          </cell>
          <cell r="G250">
            <v>0</v>
          </cell>
          <cell r="I250">
            <v>26095</v>
          </cell>
          <cell r="J250">
            <v>0</v>
          </cell>
          <cell r="L250">
            <v>26095</v>
          </cell>
          <cell r="M250">
            <v>1025</v>
          </cell>
        </row>
        <row r="251">
          <cell r="A251">
            <v>26098</v>
          </cell>
          <cell r="B251">
            <v>0</v>
          </cell>
          <cell r="C251" t="str">
            <v>UNAV</v>
          </cell>
          <cell r="D251">
            <v>36796.261805555558</v>
          </cell>
          <cell r="F251">
            <v>26098</v>
          </cell>
          <cell r="G251">
            <v>0</v>
          </cell>
          <cell r="I251">
            <v>26098</v>
          </cell>
          <cell r="J251">
            <v>0</v>
          </cell>
          <cell r="L251">
            <v>26098</v>
          </cell>
          <cell r="M251">
            <v>1025</v>
          </cell>
        </row>
        <row r="252">
          <cell r="A252">
            <v>26099</v>
          </cell>
          <cell r="B252">
            <v>0</v>
          </cell>
          <cell r="C252" t="str">
            <v>UNAV</v>
          </cell>
          <cell r="D252">
            <v>36796.261805555558</v>
          </cell>
          <cell r="F252">
            <v>26099</v>
          </cell>
          <cell r="G252">
            <v>0</v>
          </cell>
          <cell r="I252">
            <v>26099</v>
          </cell>
          <cell r="J252">
            <v>0</v>
          </cell>
          <cell r="L252">
            <v>26099</v>
          </cell>
          <cell r="M252">
            <v>1025</v>
          </cell>
        </row>
        <row r="253">
          <cell r="A253">
            <v>26101</v>
          </cell>
          <cell r="B253">
            <v>0</v>
          </cell>
          <cell r="C253" t="str">
            <v xml:space="preserve">    </v>
          </cell>
          <cell r="D253">
            <v>36796.260416666664</v>
          </cell>
          <cell r="F253">
            <v>26101</v>
          </cell>
          <cell r="G253">
            <v>0</v>
          </cell>
          <cell r="I253">
            <v>26101</v>
          </cell>
          <cell r="J253">
            <v>0</v>
          </cell>
          <cell r="L253">
            <v>26101</v>
          </cell>
          <cell r="M253">
            <v>1016</v>
          </cell>
        </row>
        <row r="254">
          <cell r="A254">
            <v>26102</v>
          </cell>
          <cell r="B254">
            <v>0</v>
          </cell>
          <cell r="C254" t="str">
            <v>UNAV</v>
          </cell>
          <cell r="D254">
            <v>36796.261805555558</v>
          </cell>
          <cell r="F254">
            <v>26102</v>
          </cell>
          <cell r="G254">
            <v>0</v>
          </cell>
          <cell r="I254">
            <v>26102</v>
          </cell>
          <cell r="J254">
            <v>0</v>
          </cell>
          <cell r="L254">
            <v>26102</v>
          </cell>
          <cell r="M254">
            <v>1016</v>
          </cell>
        </row>
        <row r="255">
          <cell r="A255">
            <v>26106</v>
          </cell>
          <cell r="B255">
            <v>58518</v>
          </cell>
          <cell r="C255" t="str">
            <v xml:space="preserve">    </v>
          </cell>
          <cell r="D255">
            <v>36796.259722222225</v>
          </cell>
          <cell r="F255">
            <v>26106</v>
          </cell>
          <cell r="G255">
            <v>48662.582000000002</v>
          </cell>
          <cell r="I255">
            <v>26106</v>
          </cell>
          <cell r="J255">
            <v>55286.494499877001</v>
          </cell>
          <cell r="L255">
            <v>26106</v>
          </cell>
          <cell r="M255">
            <v>1026.5018299999999</v>
          </cell>
        </row>
        <row r="256">
          <cell r="A256">
            <v>26107</v>
          </cell>
          <cell r="B256">
            <v>0</v>
          </cell>
          <cell r="C256" t="str">
            <v xml:space="preserve">    </v>
          </cell>
          <cell r="D256">
            <v>36796.255555555559</v>
          </cell>
          <cell r="F256">
            <v>26107</v>
          </cell>
          <cell r="G256">
            <v>0</v>
          </cell>
          <cell r="I256">
            <v>26107</v>
          </cell>
          <cell r="J256">
            <v>0</v>
          </cell>
          <cell r="L256">
            <v>26107</v>
          </cell>
          <cell r="M256">
            <v>1025</v>
          </cell>
        </row>
        <row r="257">
          <cell r="A257">
            <v>26108</v>
          </cell>
          <cell r="B257">
            <v>0</v>
          </cell>
          <cell r="C257" t="str">
            <v>UNAV</v>
          </cell>
          <cell r="D257">
            <v>36796.261805555558</v>
          </cell>
          <cell r="F257">
            <v>26108</v>
          </cell>
          <cell r="G257">
            <v>0</v>
          </cell>
          <cell r="I257">
            <v>26108</v>
          </cell>
          <cell r="J257">
            <v>0</v>
          </cell>
          <cell r="L257">
            <v>26108</v>
          </cell>
          <cell r="M257">
            <v>1025</v>
          </cell>
        </row>
        <row r="258">
          <cell r="A258">
            <v>26109</v>
          </cell>
          <cell r="B258">
            <v>0</v>
          </cell>
          <cell r="C258" t="str">
            <v>UNAV</v>
          </cell>
          <cell r="D258">
            <v>36796.261805555558</v>
          </cell>
          <cell r="F258">
            <v>26109</v>
          </cell>
          <cell r="G258">
            <v>0</v>
          </cell>
          <cell r="I258">
            <v>26109</v>
          </cell>
          <cell r="J258">
            <v>0</v>
          </cell>
          <cell r="L258">
            <v>26109</v>
          </cell>
          <cell r="M258">
            <v>1025</v>
          </cell>
        </row>
        <row r="259">
          <cell r="A259">
            <v>26113</v>
          </cell>
          <cell r="B259">
            <v>0</v>
          </cell>
          <cell r="C259" t="str">
            <v>UNAV</v>
          </cell>
          <cell r="D259">
            <v>36796.261805555558</v>
          </cell>
          <cell r="F259">
            <v>26113</v>
          </cell>
          <cell r="G259">
            <v>0</v>
          </cell>
          <cell r="I259">
            <v>26113</v>
          </cell>
          <cell r="J259">
            <v>0</v>
          </cell>
          <cell r="L259">
            <v>26113</v>
          </cell>
          <cell r="M259">
            <v>1025</v>
          </cell>
        </row>
        <row r="260">
          <cell r="A260">
            <v>26114</v>
          </cell>
          <cell r="B260">
            <v>7771</v>
          </cell>
          <cell r="C260" t="str">
            <v xml:space="preserve">    </v>
          </cell>
          <cell r="D260">
            <v>36796.252083333333</v>
          </cell>
          <cell r="F260">
            <v>26114</v>
          </cell>
          <cell r="G260">
            <v>6775.8671899999999</v>
          </cell>
          <cell r="I260">
            <v>26114</v>
          </cell>
          <cell r="J260">
            <v>7655.5012177614435</v>
          </cell>
          <cell r="L260">
            <v>26114</v>
          </cell>
          <cell r="M260">
            <v>1023.7869899999999</v>
          </cell>
        </row>
        <row r="261">
          <cell r="A261">
            <v>26116</v>
          </cell>
          <cell r="B261">
            <v>0</v>
          </cell>
          <cell r="C261" t="str">
            <v>UNAV</v>
          </cell>
          <cell r="D261">
            <v>36796.261805555558</v>
          </cell>
          <cell r="F261">
            <v>26116</v>
          </cell>
          <cell r="G261">
            <v>0</v>
          </cell>
          <cell r="I261">
            <v>26116</v>
          </cell>
          <cell r="J261">
            <v>0</v>
          </cell>
          <cell r="L261">
            <v>26116</v>
          </cell>
          <cell r="M261">
            <v>1025</v>
          </cell>
        </row>
        <row r="262">
          <cell r="A262">
            <v>26118</v>
          </cell>
          <cell r="B262">
            <v>0</v>
          </cell>
          <cell r="C262" t="str">
            <v>UNAV</v>
          </cell>
          <cell r="D262">
            <v>36796.261805555558</v>
          </cell>
          <cell r="F262">
            <v>26118</v>
          </cell>
          <cell r="G262">
            <v>0</v>
          </cell>
          <cell r="I262">
            <v>26118</v>
          </cell>
          <cell r="J262">
            <v>0</v>
          </cell>
          <cell r="L262">
            <v>26118</v>
          </cell>
          <cell r="M262">
            <v>1025</v>
          </cell>
        </row>
        <row r="263">
          <cell r="A263">
            <v>26120</v>
          </cell>
          <cell r="B263">
            <v>0</v>
          </cell>
          <cell r="C263" t="str">
            <v>UNAV</v>
          </cell>
          <cell r="D263">
            <v>36796.261805555558</v>
          </cell>
          <cell r="F263">
            <v>26120</v>
          </cell>
          <cell r="G263">
            <v>0</v>
          </cell>
          <cell r="I263">
            <v>26120</v>
          </cell>
          <cell r="J263">
            <v>0</v>
          </cell>
          <cell r="L263">
            <v>26120</v>
          </cell>
          <cell r="M263">
            <v>1025</v>
          </cell>
        </row>
        <row r="264">
          <cell r="A264">
            <v>26123</v>
          </cell>
          <cell r="B264">
            <v>0</v>
          </cell>
          <cell r="C264" t="str">
            <v xml:space="preserve">    </v>
          </cell>
          <cell r="D264">
            <v>36796.261111111111</v>
          </cell>
          <cell r="F264">
            <v>26123</v>
          </cell>
          <cell r="G264">
            <v>0</v>
          </cell>
          <cell r="I264">
            <v>26123</v>
          </cell>
          <cell r="J264">
            <v>0</v>
          </cell>
          <cell r="L264">
            <v>26123</v>
          </cell>
          <cell r="M264">
            <v>1017</v>
          </cell>
        </row>
        <row r="265">
          <cell r="A265">
            <v>26124</v>
          </cell>
          <cell r="B265">
            <v>8871</v>
          </cell>
          <cell r="C265" t="str">
            <v xml:space="preserve">    </v>
          </cell>
          <cell r="D265">
            <v>36796.260416666664</v>
          </cell>
          <cell r="F265">
            <v>26124</v>
          </cell>
          <cell r="G265">
            <v>6690.89941</v>
          </cell>
          <cell r="I265">
            <v>26124</v>
          </cell>
          <cell r="J265">
            <v>7695.0473266480203</v>
          </cell>
          <cell r="L265">
            <v>26124</v>
          </cell>
          <cell r="M265">
            <v>1015</v>
          </cell>
        </row>
        <row r="266">
          <cell r="A266">
            <v>26126</v>
          </cell>
          <cell r="B266">
            <v>43073</v>
          </cell>
          <cell r="C266" t="str">
            <v xml:space="preserve">    </v>
          </cell>
          <cell r="D266">
            <v>36796.255555555559</v>
          </cell>
          <cell r="F266">
            <v>26126</v>
          </cell>
          <cell r="G266">
            <v>36488.894500000002</v>
          </cell>
          <cell r="I266">
            <v>26126</v>
          </cell>
          <cell r="J266">
            <v>41364.518805465021</v>
          </cell>
          <cell r="L266">
            <v>26126</v>
          </cell>
          <cell r="M266">
            <v>1040</v>
          </cell>
        </row>
        <row r="267">
          <cell r="A267">
            <v>26127</v>
          </cell>
          <cell r="B267">
            <v>64495</v>
          </cell>
          <cell r="C267" t="str">
            <v xml:space="preserve">    </v>
          </cell>
          <cell r="D267">
            <v>36796.255555555559</v>
          </cell>
          <cell r="F267">
            <v>26127</v>
          </cell>
          <cell r="G267">
            <v>67769.929699999993</v>
          </cell>
          <cell r="I267">
            <v>26127</v>
          </cell>
          <cell r="J267">
            <v>75070.40539430888</v>
          </cell>
          <cell r="L267">
            <v>26127</v>
          </cell>
          <cell r="M267">
            <v>1025</v>
          </cell>
        </row>
        <row r="268">
          <cell r="A268">
            <v>26129</v>
          </cell>
          <cell r="B268">
            <v>59362</v>
          </cell>
          <cell r="C268" t="str">
            <v xml:space="preserve">    </v>
          </cell>
          <cell r="D268">
            <v>36796.255555555559</v>
          </cell>
          <cell r="F268">
            <v>26129</v>
          </cell>
          <cell r="G268">
            <v>50460.550799999997</v>
          </cell>
          <cell r="I268">
            <v>26129</v>
          </cell>
          <cell r="J268">
            <v>57179.999410986333</v>
          </cell>
          <cell r="L268">
            <v>26129</v>
          </cell>
          <cell r="M268">
            <v>1025</v>
          </cell>
        </row>
        <row r="269">
          <cell r="A269">
            <v>26130</v>
          </cell>
          <cell r="B269">
            <v>0</v>
          </cell>
          <cell r="C269" t="str">
            <v xml:space="preserve">    </v>
          </cell>
          <cell r="D269">
            <v>36796.255555555559</v>
          </cell>
          <cell r="F269">
            <v>26130</v>
          </cell>
          <cell r="G269">
            <v>0</v>
          </cell>
          <cell r="I269">
            <v>26130</v>
          </cell>
          <cell r="J269">
            <v>0</v>
          </cell>
          <cell r="L269">
            <v>26130</v>
          </cell>
          <cell r="M269">
            <v>1025</v>
          </cell>
        </row>
        <row r="270">
          <cell r="A270">
            <v>26131</v>
          </cell>
          <cell r="B270">
            <v>0</v>
          </cell>
          <cell r="C270" t="str">
            <v>UNAV</v>
          </cell>
          <cell r="D270">
            <v>36796.261805555558</v>
          </cell>
          <cell r="F270">
            <v>26131</v>
          </cell>
          <cell r="G270">
            <v>0</v>
          </cell>
          <cell r="I270">
            <v>26131</v>
          </cell>
          <cell r="J270">
            <v>0</v>
          </cell>
          <cell r="L270">
            <v>26131</v>
          </cell>
          <cell r="M270">
            <v>1025</v>
          </cell>
        </row>
        <row r="271">
          <cell r="A271">
            <v>26133</v>
          </cell>
          <cell r="B271">
            <v>0</v>
          </cell>
          <cell r="C271" t="str">
            <v>UNAV</v>
          </cell>
          <cell r="D271">
            <v>36796.261805555558</v>
          </cell>
          <cell r="F271">
            <v>26133</v>
          </cell>
          <cell r="G271">
            <v>0</v>
          </cell>
          <cell r="I271">
            <v>26133</v>
          </cell>
          <cell r="J271">
            <v>0</v>
          </cell>
          <cell r="L271">
            <v>26133</v>
          </cell>
          <cell r="M271">
            <v>1025</v>
          </cell>
        </row>
        <row r="272">
          <cell r="A272">
            <v>26135</v>
          </cell>
          <cell r="B272">
            <v>582</v>
          </cell>
          <cell r="C272" t="str">
            <v xml:space="preserve">    </v>
          </cell>
          <cell r="D272">
            <v>36796.256249999999</v>
          </cell>
          <cell r="F272">
            <v>26135</v>
          </cell>
          <cell r="G272">
            <v>246.023392</v>
          </cell>
          <cell r="I272">
            <v>26135</v>
          </cell>
          <cell r="J272">
            <v>311.90255866544334</v>
          </cell>
          <cell r="L272">
            <v>26135</v>
          </cell>
          <cell r="M272">
            <v>1025</v>
          </cell>
        </row>
        <row r="273">
          <cell r="A273">
            <v>26136</v>
          </cell>
          <cell r="B273">
            <v>0</v>
          </cell>
          <cell r="C273" t="str">
            <v xml:space="preserve">    </v>
          </cell>
          <cell r="D273">
            <v>36796.258333333331</v>
          </cell>
          <cell r="F273">
            <v>26136</v>
          </cell>
          <cell r="G273">
            <v>0</v>
          </cell>
          <cell r="I273">
            <v>26136</v>
          </cell>
          <cell r="J273">
            <v>0</v>
          </cell>
          <cell r="L273">
            <v>26136</v>
          </cell>
          <cell r="M273">
            <v>1020.8941</v>
          </cell>
        </row>
        <row r="274">
          <cell r="A274">
            <v>26137</v>
          </cell>
          <cell r="B274">
            <v>0</v>
          </cell>
          <cell r="C274" t="str">
            <v>UNAV</v>
          </cell>
          <cell r="D274">
            <v>36796.261805555558</v>
          </cell>
          <cell r="F274">
            <v>26137</v>
          </cell>
          <cell r="G274">
            <v>0</v>
          </cell>
          <cell r="I274">
            <v>26137</v>
          </cell>
          <cell r="J274">
            <v>0</v>
          </cell>
          <cell r="L274">
            <v>26137</v>
          </cell>
          <cell r="M274">
            <v>1025</v>
          </cell>
        </row>
        <row r="275">
          <cell r="A275">
            <v>26138</v>
          </cell>
          <cell r="B275">
            <v>0</v>
          </cell>
          <cell r="C275" t="str">
            <v>UNAV</v>
          </cell>
          <cell r="D275">
            <v>36796.261805555558</v>
          </cell>
          <cell r="F275">
            <v>26138</v>
          </cell>
          <cell r="G275">
            <v>0</v>
          </cell>
          <cell r="I275">
            <v>26138</v>
          </cell>
          <cell r="J275">
            <v>0</v>
          </cell>
          <cell r="L275">
            <v>26138</v>
          </cell>
          <cell r="M275">
            <v>1037</v>
          </cell>
        </row>
        <row r="276">
          <cell r="A276">
            <v>26139</v>
          </cell>
          <cell r="B276">
            <v>0</v>
          </cell>
          <cell r="C276" t="str">
            <v>UNAV</v>
          </cell>
          <cell r="D276">
            <v>36796.261805555558</v>
          </cell>
          <cell r="F276">
            <v>26139</v>
          </cell>
          <cell r="G276">
            <v>0</v>
          </cell>
          <cell r="I276">
            <v>26139</v>
          </cell>
          <cell r="J276">
            <v>0</v>
          </cell>
          <cell r="L276">
            <v>26139</v>
          </cell>
          <cell r="M276">
            <v>1028</v>
          </cell>
        </row>
        <row r="277">
          <cell r="A277">
            <v>26140</v>
          </cell>
          <cell r="B277">
            <v>0</v>
          </cell>
          <cell r="C277" t="str">
            <v>UNAV</v>
          </cell>
          <cell r="D277">
            <v>36796.261805555558</v>
          </cell>
          <cell r="F277">
            <v>26140</v>
          </cell>
          <cell r="G277">
            <v>0</v>
          </cell>
          <cell r="I277">
            <v>26140</v>
          </cell>
          <cell r="J277">
            <v>0</v>
          </cell>
          <cell r="L277">
            <v>26140</v>
          </cell>
          <cell r="M277">
            <v>1044</v>
          </cell>
        </row>
        <row r="278">
          <cell r="A278">
            <v>26143</v>
          </cell>
          <cell r="B278">
            <v>0</v>
          </cell>
          <cell r="C278" t="str">
            <v>UNAV</v>
          </cell>
          <cell r="D278">
            <v>36796.261805555558</v>
          </cell>
          <cell r="F278">
            <v>26143</v>
          </cell>
          <cell r="G278">
            <v>0</v>
          </cell>
          <cell r="I278">
            <v>26143</v>
          </cell>
          <cell r="J278">
            <v>0</v>
          </cell>
          <cell r="L278">
            <v>26143</v>
          </cell>
          <cell r="M278">
            <v>1025</v>
          </cell>
        </row>
        <row r="279">
          <cell r="A279">
            <v>26144</v>
          </cell>
          <cell r="B279">
            <v>0</v>
          </cell>
          <cell r="C279" t="str">
            <v>UNAV</v>
          </cell>
          <cell r="D279">
            <v>36796.261805555558</v>
          </cell>
          <cell r="F279">
            <v>26144</v>
          </cell>
          <cell r="G279">
            <v>0</v>
          </cell>
          <cell r="I279">
            <v>26144</v>
          </cell>
          <cell r="J279">
            <v>0</v>
          </cell>
          <cell r="L279">
            <v>26144</v>
          </cell>
          <cell r="M279">
            <v>1025</v>
          </cell>
        </row>
        <row r="280">
          <cell r="A280">
            <v>26146</v>
          </cell>
          <cell r="B280">
            <v>0</v>
          </cell>
          <cell r="C280" t="str">
            <v xml:space="preserve">    </v>
          </cell>
          <cell r="D280">
            <v>36796.259027777778</v>
          </cell>
          <cell r="F280">
            <v>26146</v>
          </cell>
          <cell r="G280">
            <v>0</v>
          </cell>
          <cell r="I280">
            <v>26146</v>
          </cell>
          <cell r="J280">
            <v>0</v>
          </cell>
          <cell r="L280">
            <v>26146</v>
          </cell>
          <cell r="M280">
            <v>1020.8941</v>
          </cell>
        </row>
        <row r="281">
          <cell r="A281">
            <v>26147</v>
          </cell>
          <cell r="B281">
            <v>0</v>
          </cell>
          <cell r="C281" t="str">
            <v xml:space="preserve">    </v>
          </cell>
          <cell r="D281">
            <v>36796.261111111111</v>
          </cell>
          <cell r="F281">
            <v>26147</v>
          </cell>
          <cell r="G281">
            <v>0</v>
          </cell>
          <cell r="I281">
            <v>26147</v>
          </cell>
          <cell r="J281">
            <v>0</v>
          </cell>
          <cell r="L281">
            <v>26147</v>
          </cell>
          <cell r="M281">
            <v>1023.7869899999999</v>
          </cell>
        </row>
        <row r="282">
          <cell r="A282">
            <v>26148</v>
          </cell>
          <cell r="B282">
            <v>0</v>
          </cell>
          <cell r="C282" t="str">
            <v>UNAV</v>
          </cell>
          <cell r="D282">
            <v>36796.261805555558</v>
          </cell>
          <cell r="F282">
            <v>26148</v>
          </cell>
          <cell r="G282">
            <v>0</v>
          </cell>
          <cell r="I282">
            <v>26148</v>
          </cell>
          <cell r="J282">
            <v>0</v>
          </cell>
          <cell r="L282">
            <v>26148</v>
          </cell>
          <cell r="M282">
            <v>1025</v>
          </cell>
        </row>
        <row r="283">
          <cell r="A283">
            <v>26149</v>
          </cell>
          <cell r="B283">
            <v>0</v>
          </cell>
          <cell r="C283" t="str">
            <v>UNAV</v>
          </cell>
          <cell r="D283">
            <v>36796.261805555558</v>
          </cell>
          <cell r="F283">
            <v>26149</v>
          </cell>
          <cell r="G283">
            <v>0</v>
          </cell>
          <cell r="I283">
            <v>26149</v>
          </cell>
          <cell r="J283">
            <v>0</v>
          </cell>
          <cell r="L283">
            <v>26149</v>
          </cell>
          <cell r="M283">
            <v>1025</v>
          </cell>
        </row>
        <row r="284">
          <cell r="A284">
            <v>26150</v>
          </cell>
          <cell r="B284">
            <v>0</v>
          </cell>
          <cell r="C284" t="str">
            <v xml:space="preserve">    </v>
          </cell>
          <cell r="D284">
            <v>36796.257638888892</v>
          </cell>
          <cell r="F284">
            <v>26150</v>
          </cell>
          <cell r="G284">
            <v>0</v>
          </cell>
          <cell r="I284">
            <v>26150</v>
          </cell>
          <cell r="J284">
            <v>0</v>
          </cell>
          <cell r="L284">
            <v>26150</v>
          </cell>
          <cell r="M284">
            <v>1024</v>
          </cell>
        </row>
        <row r="285">
          <cell r="A285">
            <v>26151</v>
          </cell>
          <cell r="B285">
            <v>0</v>
          </cell>
          <cell r="C285" t="str">
            <v>UNAV</v>
          </cell>
          <cell r="D285">
            <v>36796.261805555558</v>
          </cell>
          <cell r="F285">
            <v>26151</v>
          </cell>
          <cell r="G285">
            <v>0</v>
          </cell>
          <cell r="I285">
            <v>26151</v>
          </cell>
          <cell r="J285">
            <v>0</v>
          </cell>
          <cell r="L285">
            <v>26151</v>
          </cell>
          <cell r="M285">
            <v>1025</v>
          </cell>
        </row>
        <row r="286">
          <cell r="A286">
            <v>26152</v>
          </cell>
          <cell r="B286">
            <v>0</v>
          </cell>
          <cell r="C286" t="str">
            <v>UNAV</v>
          </cell>
          <cell r="D286">
            <v>36796.261805555558</v>
          </cell>
          <cell r="F286">
            <v>26152</v>
          </cell>
          <cell r="G286">
            <v>0</v>
          </cell>
          <cell r="I286">
            <v>26152</v>
          </cell>
          <cell r="J286">
            <v>0</v>
          </cell>
          <cell r="L286">
            <v>26152</v>
          </cell>
          <cell r="M286">
            <v>1025</v>
          </cell>
        </row>
        <row r="287">
          <cell r="A287">
            <v>26153</v>
          </cell>
          <cell r="B287">
            <v>40903</v>
          </cell>
          <cell r="C287" t="str">
            <v xml:space="preserve">    </v>
          </cell>
          <cell r="D287">
            <v>36796.261805555558</v>
          </cell>
          <cell r="F287">
            <v>26153</v>
          </cell>
          <cell r="G287">
            <v>36273.332000000002</v>
          </cell>
          <cell r="I287">
            <v>26153</v>
          </cell>
          <cell r="J287">
            <v>40903.324361025137</v>
          </cell>
          <cell r="L287">
            <v>26153</v>
          </cell>
          <cell r="M287">
            <v>1023.7869899999999</v>
          </cell>
        </row>
        <row r="288">
          <cell r="A288">
            <v>26154</v>
          </cell>
          <cell r="B288">
            <v>0</v>
          </cell>
          <cell r="C288" t="str">
            <v xml:space="preserve">    </v>
          </cell>
          <cell r="D288">
            <v>36796.256249999999</v>
          </cell>
          <cell r="F288">
            <v>26154</v>
          </cell>
          <cell r="G288">
            <v>0</v>
          </cell>
          <cell r="I288">
            <v>26154</v>
          </cell>
          <cell r="J288">
            <v>0</v>
          </cell>
          <cell r="L288">
            <v>26154</v>
          </cell>
          <cell r="M288">
            <v>1020.8941</v>
          </cell>
        </row>
        <row r="289">
          <cell r="A289">
            <v>26155</v>
          </cell>
          <cell r="B289">
            <v>0</v>
          </cell>
          <cell r="C289" t="str">
            <v>UNAV</v>
          </cell>
          <cell r="D289">
            <v>36796.261805555558</v>
          </cell>
          <cell r="F289">
            <v>26155</v>
          </cell>
          <cell r="G289">
            <v>0</v>
          </cell>
          <cell r="I289">
            <v>26155</v>
          </cell>
          <cell r="J289">
            <v>0</v>
          </cell>
          <cell r="L289">
            <v>26155</v>
          </cell>
          <cell r="M289">
            <v>1025</v>
          </cell>
        </row>
        <row r="290">
          <cell r="A290">
            <v>26156</v>
          </cell>
          <cell r="B290">
            <v>0</v>
          </cell>
          <cell r="C290" t="str">
            <v xml:space="preserve">    </v>
          </cell>
          <cell r="D290">
            <v>36796.259722222225</v>
          </cell>
          <cell r="F290">
            <v>26156</v>
          </cell>
          <cell r="G290">
            <v>0</v>
          </cell>
          <cell r="I290">
            <v>26156</v>
          </cell>
          <cell r="J290">
            <v>0</v>
          </cell>
          <cell r="L290">
            <v>26156</v>
          </cell>
          <cell r="M290">
            <v>1035.1430700000001</v>
          </cell>
        </row>
        <row r="291">
          <cell r="A291">
            <v>26157</v>
          </cell>
          <cell r="B291">
            <v>4832</v>
          </cell>
          <cell r="C291" t="str">
            <v xml:space="preserve">    </v>
          </cell>
          <cell r="D291">
            <v>36796.260416666664</v>
          </cell>
          <cell r="F291">
            <v>26157</v>
          </cell>
          <cell r="G291">
            <v>4291.4243200000001</v>
          </cell>
          <cell r="I291">
            <v>26157</v>
          </cell>
          <cell r="J291">
            <v>4838.379875545399</v>
          </cell>
          <cell r="L291">
            <v>26157</v>
          </cell>
          <cell r="M291">
            <v>1036.57898</v>
          </cell>
        </row>
        <row r="292">
          <cell r="A292">
            <v>26158</v>
          </cell>
          <cell r="B292">
            <v>11222</v>
          </cell>
          <cell r="C292" t="str">
            <v xml:space="preserve">    </v>
          </cell>
          <cell r="D292">
            <v>36796.259027777778</v>
          </cell>
          <cell r="F292">
            <v>26158</v>
          </cell>
          <cell r="G292">
            <v>9961.1171900000008</v>
          </cell>
          <cell r="I292">
            <v>26158</v>
          </cell>
          <cell r="J292">
            <v>11231.385245531968</v>
          </cell>
          <cell r="L292">
            <v>26158</v>
          </cell>
          <cell r="M292">
            <v>1023.7869899999999</v>
          </cell>
        </row>
        <row r="293">
          <cell r="A293">
            <v>26159</v>
          </cell>
          <cell r="B293">
            <v>0</v>
          </cell>
          <cell r="C293" t="str">
            <v>UNAV</v>
          </cell>
          <cell r="D293">
            <v>36796.261805555558</v>
          </cell>
          <cell r="F293">
            <v>26159</v>
          </cell>
          <cell r="G293">
            <v>0</v>
          </cell>
          <cell r="I293">
            <v>26159</v>
          </cell>
          <cell r="J293">
            <v>0</v>
          </cell>
          <cell r="L293">
            <v>26159</v>
          </cell>
          <cell r="M293">
            <v>1025</v>
          </cell>
        </row>
        <row r="294">
          <cell r="A294">
            <v>26160</v>
          </cell>
          <cell r="B294">
            <v>1325</v>
          </cell>
          <cell r="C294" t="str">
            <v xml:space="preserve">    </v>
          </cell>
          <cell r="D294">
            <v>36796.255555555559</v>
          </cell>
          <cell r="F294">
            <v>26160</v>
          </cell>
          <cell r="G294">
            <v>829.19860800000004</v>
          </cell>
          <cell r="I294">
            <v>26160</v>
          </cell>
          <cell r="J294">
            <v>979.18124688610385</v>
          </cell>
          <cell r="L294">
            <v>26160</v>
          </cell>
          <cell r="M294">
            <v>1025</v>
          </cell>
        </row>
        <row r="295">
          <cell r="A295">
            <v>26161</v>
          </cell>
          <cell r="B295">
            <v>0</v>
          </cell>
          <cell r="C295" t="str">
            <v>UNAV</v>
          </cell>
          <cell r="D295">
            <v>36796.261805555558</v>
          </cell>
          <cell r="F295">
            <v>26161</v>
          </cell>
          <cell r="G295">
            <v>0</v>
          </cell>
          <cell r="I295">
            <v>26161</v>
          </cell>
          <cell r="J295">
            <v>0</v>
          </cell>
          <cell r="L295">
            <v>26161</v>
          </cell>
          <cell r="M295">
            <v>1025</v>
          </cell>
        </row>
        <row r="296">
          <cell r="A296">
            <v>26163</v>
          </cell>
          <cell r="B296">
            <v>0</v>
          </cell>
          <cell r="C296" t="str">
            <v>UNAV</v>
          </cell>
          <cell r="D296">
            <v>36796.261805555558</v>
          </cell>
          <cell r="F296">
            <v>26163</v>
          </cell>
          <cell r="G296">
            <v>0</v>
          </cell>
          <cell r="I296">
            <v>26163</v>
          </cell>
          <cell r="J296">
            <v>0</v>
          </cell>
          <cell r="L296">
            <v>26163</v>
          </cell>
          <cell r="M296">
            <v>1025</v>
          </cell>
        </row>
        <row r="297">
          <cell r="A297">
            <v>26164</v>
          </cell>
          <cell r="B297">
            <v>0</v>
          </cell>
          <cell r="C297" t="str">
            <v xml:space="preserve">    </v>
          </cell>
          <cell r="D297">
            <v>36796.258333333331</v>
          </cell>
          <cell r="F297">
            <v>26164</v>
          </cell>
          <cell r="G297">
            <v>11380.0098</v>
          </cell>
          <cell r="I297">
            <v>26164</v>
          </cell>
          <cell r="J297">
            <v>11380.0098</v>
          </cell>
          <cell r="L297">
            <v>26164</v>
          </cell>
          <cell r="M297">
            <v>1089.1505099999999</v>
          </cell>
        </row>
        <row r="298">
          <cell r="A298">
            <v>26165</v>
          </cell>
          <cell r="B298">
            <v>25854</v>
          </cell>
          <cell r="C298" t="str">
            <v xml:space="preserve">    </v>
          </cell>
          <cell r="D298">
            <v>36796.258333333331</v>
          </cell>
          <cell r="F298">
            <v>26165</v>
          </cell>
          <cell r="G298">
            <v>22491.0059</v>
          </cell>
          <cell r="I298">
            <v>26165</v>
          </cell>
          <cell r="J298">
            <v>25417.535066612323</v>
          </cell>
          <cell r="L298">
            <v>26165</v>
          </cell>
          <cell r="M298">
            <v>1023.7869899999999</v>
          </cell>
        </row>
        <row r="299">
          <cell r="A299">
            <v>26166</v>
          </cell>
          <cell r="B299">
            <v>4666</v>
          </cell>
          <cell r="C299" t="str">
            <v xml:space="preserve">    </v>
          </cell>
          <cell r="D299">
            <v>36796.256249999999</v>
          </cell>
          <cell r="F299">
            <v>26166</v>
          </cell>
          <cell r="G299">
            <v>4317.2143599999999</v>
          </cell>
          <cell r="I299">
            <v>26166</v>
          </cell>
          <cell r="J299">
            <v>4845.3796377679701</v>
          </cell>
          <cell r="L299">
            <v>26166</v>
          </cell>
          <cell r="M299">
            <v>1023.7869899999999</v>
          </cell>
        </row>
        <row r="300">
          <cell r="A300">
            <v>26167</v>
          </cell>
          <cell r="B300">
            <v>0</v>
          </cell>
          <cell r="C300" t="str">
            <v xml:space="preserve">    </v>
          </cell>
          <cell r="D300">
            <v>36796.256249999999</v>
          </cell>
          <cell r="F300">
            <v>26167</v>
          </cell>
          <cell r="G300">
            <v>0</v>
          </cell>
          <cell r="I300">
            <v>26167</v>
          </cell>
          <cell r="J300">
            <v>0</v>
          </cell>
          <cell r="L300">
            <v>26167</v>
          </cell>
          <cell r="M300">
            <v>1036.57898</v>
          </cell>
        </row>
        <row r="301">
          <cell r="A301">
            <v>26168</v>
          </cell>
          <cell r="B301">
            <v>19673</v>
          </cell>
          <cell r="C301" t="str">
            <v xml:space="preserve">    </v>
          </cell>
          <cell r="D301">
            <v>36796.256249999999</v>
          </cell>
          <cell r="F301">
            <v>26168</v>
          </cell>
          <cell r="G301">
            <v>17270.533200000002</v>
          </cell>
          <cell r="I301">
            <v>26168</v>
          </cell>
          <cell r="J301">
            <v>19497.407505514206</v>
          </cell>
          <cell r="L301">
            <v>26168</v>
          </cell>
          <cell r="M301">
            <v>1020.70123</v>
          </cell>
        </row>
        <row r="302">
          <cell r="A302">
            <v>26169</v>
          </cell>
          <cell r="B302">
            <v>0</v>
          </cell>
          <cell r="C302" t="str">
            <v xml:space="preserve">    </v>
          </cell>
          <cell r="D302">
            <v>36796.253472222219</v>
          </cell>
          <cell r="F302">
            <v>26169</v>
          </cell>
          <cell r="G302">
            <v>0</v>
          </cell>
          <cell r="I302">
            <v>26169</v>
          </cell>
          <cell r="J302">
            <v>0</v>
          </cell>
          <cell r="L302">
            <v>26169</v>
          </cell>
          <cell r="M302">
            <v>1036.57898</v>
          </cell>
        </row>
        <row r="303">
          <cell r="A303">
            <v>26170</v>
          </cell>
          <cell r="B303">
            <v>0</v>
          </cell>
          <cell r="C303" t="str">
            <v>UNAV</v>
          </cell>
          <cell r="D303">
            <v>36796.261805555558</v>
          </cell>
          <cell r="F303">
            <v>26170</v>
          </cell>
          <cell r="G303">
            <v>0</v>
          </cell>
          <cell r="I303">
            <v>26170</v>
          </cell>
          <cell r="J303">
            <v>0</v>
          </cell>
          <cell r="L303">
            <v>26170</v>
          </cell>
          <cell r="M303">
            <v>1025</v>
          </cell>
        </row>
        <row r="304">
          <cell r="A304">
            <v>26171</v>
          </cell>
          <cell r="B304">
            <v>0</v>
          </cell>
          <cell r="C304" t="str">
            <v>UNAV</v>
          </cell>
          <cell r="D304">
            <v>36796.261805555558</v>
          </cell>
          <cell r="F304">
            <v>26171</v>
          </cell>
          <cell r="G304">
            <v>0</v>
          </cell>
          <cell r="I304">
            <v>26171</v>
          </cell>
          <cell r="J304">
            <v>0</v>
          </cell>
          <cell r="L304">
            <v>26171</v>
          </cell>
          <cell r="M304">
            <v>1025</v>
          </cell>
        </row>
        <row r="305">
          <cell r="A305">
            <v>26172</v>
          </cell>
          <cell r="B305">
            <v>0</v>
          </cell>
          <cell r="C305" t="str">
            <v>UNAV</v>
          </cell>
          <cell r="D305">
            <v>36796.261805555558</v>
          </cell>
          <cell r="F305">
            <v>26172</v>
          </cell>
          <cell r="G305">
            <v>0</v>
          </cell>
          <cell r="I305">
            <v>26172</v>
          </cell>
          <cell r="J305">
            <v>0</v>
          </cell>
          <cell r="L305">
            <v>26172</v>
          </cell>
          <cell r="M305">
            <v>1025</v>
          </cell>
        </row>
        <row r="306">
          <cell r="A306">
            <v>26173</v>
          </cell>
          <cell r="B306">
            <v>0</v>
          </cell>
          <cell r="C306" t="str">
            <v>UNAV</v>
          </cell>
          <cell r="D306">
            <v>36796.261805555558</v>
          </cell>
          <cell r="F306">
            <v>26173</v>
          </cell>
          <cell r="G306">
            <v>0</v>
          </cell>
          <cell r="I306">
            <v>26173</v>
          </cell>
          <cell r="J306">
            <v>0</v>
          </cell>
          <cell r="L306">
            <v>26173</v>
          </cell>
          <cell r="M306">
            <v>1025</v>
          </cell>
        </row>
        <row r="307">
          <cell r="A307">
            <v>26174</v>
          </cell>
          <cell r="B307">
            <v>0</v>
          </cell>
          <cell r="C307" t="str">
            <v>UNAV</v>
          </cell>
          <cell r="D307">
            <v>36796.261805555558</v>
          </cell>
          <cell r="F307">
            <v>26174</v>
          </cell>
          <cell r="G307">
            <v>0</v>
          </cell>
          <cell r="I307">
            <v>26174</v>
          </cell>
          <cell r="J307">
            <v>0</v>
          </cell>
          <cell r="L307">
            <v>26174</v>
          </cell>
          <cell r="M307">
            <v>1025</v>
          </cell>
        </row>
        <row r="308">
          <cell r="A308">
            <v>26175</v>
          </cell>
          <cell r="B308">
            <v>0</v>
          </cell>
          <cell r="C308" t="str">
            <v>UNAV</v>
          </cell>
          <cell r="D308">
            <v>36796.261805555558</v>
          </cell>
          <cell r="F308">
            <v>26175</v>
          </cell>
          <cell r="G308">
            <v>0</v>
          </cell>
          <cell r="I308">
            <v>26175</v>
          </cell>
          <cell r="J308">
            <v>0</v>
          </cell>
          <cell r="L308">
            <v>26175</v>
          </cell>
          <cell r="M308">
            <v>1025</v>
          </cell>
        </row>
        <row r="309">
          <cell r="A309">
            <v>26176</v>
          </cell>
          <cell r="B309">
            <v>0</v>
          </cell>
          <cell r="C309" t="str">
            <v xml:space="preserve">    </v>
          </cell>
          <cell r="D309">
            <v>36796.260416666664</v>
          </cell>
          <cell r="F309">
            <v>26176</v>
          </cell>
          <cell r="G309">
            <v>0</v>
          </cell>
          <cell r="I309">
            <v>26176</v>
          </cell>
          <cell r="J309">
            <v>0</v>
          </cell>
          <cell r="L309">
            <v>26176</v>
          </cell>
          <cell r="M309">
            <v>1014</v>
          </cell>
        </row>
        <row r="310">
          <cell r="A310">
            <v>26177</v>
          </cell>
          <cell r="B310">
            <v>0</v>
          </cell>
          <cell r="C310" t="str">
            <v>UNAV</v>
          </cell>
          <cell r="D310">
            <v>36796.261805555558</v>
          </cell>
          <cell r="F310">
            <v>26177</v>
          </cell>
          <cell r="G310">
            <v>0</v>
          </cell>
          <cell r="I310">
            <v>26177</v>
          </cell>
          <cell r="J310">
            <v>0</v>
          </cell>
          <cell r="L310">
            <v>26177</v>
          </cell>
          <cell r="M310">
            <v>1025</v>
          </cell>
        </row>
        <row r="311">
          <cell r="A311">
            <v>26178</v>
          </cell>
          <cell r="B311">
            <v>0</v>
          </cell>
          <cell r="C311" t="str">
            <v>UNAV</v>
          </cell>
          <cell r="D311">
            <v>36796.261805555558</v>
          </cell>
          <cell r="F311">
            <v>26178</v>
          </cell>
          <cell r="G311">
            <v>0</v>
          </cell>
          <cell r="I311">
            <v>26178</v>
          </cell>
          <cell r="J311">
            <v>0</v>
          </cell>
          <cell r="L311">
            <v>26178</v>
          </cell>
          <cell r="M311">
            <v>1044.0561499999999</v>
          </cell>
        </row>
        <row r="312">
          <cell r="A312">
            <v>26179</v>
          </cell>
          <cell r="B312">
            <v>0</v>
          </cell>
          <cell r="C312" t="str">
            <v xml:space="preserve">    </v>
          </cell>
          <cell r="D312">
            <v>36796.256249999999</v>
          </cell>
          <cell r="F312">
            <v>26179</v>
          </cell>
          <cell r="G312">
            <v>0</v>
          </cell>
          <cell r="I312">
            <v>26179</v>
          </cell>
          <cell r="J312">
            <v>0</v>
          </cell>
          <cell r="L312">
            <v>26179</v>
          </cell>
          <cell r="M312">
            <v>1025</v>
          </cell>
        </row>
        <row r="313">
          <cell r="A313">
            <v>26180</v>
          </cell>
          <cell r="B313">
            <v>0</v>
          </cell>
          <cell r="C313" t="str">
            <v xml:space="preserve">    </v>
          </cell>
          <cell r="D313">
            <v>36796.251388888886</v>
          </cell>
          <cell r="F313">
            <v>26180</v>
          </cell>
          <cell r="G313">
            <v>0</v>
          </cell>
          <cell r="I313">
            <v>26180</v>
          </cell>
          <cell r="J313">
            <v>0</v>
          </cell>
          <cell r="L313">
            <v>26180</v>
          </cell>
          <cell r="M313">
            <v>1023.7869899999999</v>
          </cell>
        </row>
        <row r="314">
          <cell r="A314">
            <v>26181</v>
          </cell>
          <cell r="B314">
            <v>0</v>
          </cell>
          <cell r="C314" t="str">
            <v>UNAV</v>
          </cell>
          <cell r="D314">
            <v>36796.261805555558</v>
          </cell>
          <cell r="F314">
            <v>26181</v>
          </cell>
          <cell r="G314">
            <v>0</v>
          </cell>
          <cell r="I314">
            <v>26181</v>
          </cell>
          <cell r="J314">
            <v>0</v>
          </cell>
          <cell r="L314">
            <v>26181</v>
          </cell>
          <cell r="M314">
            <v>1025</v>
          </cell>
        </row>
        <row r="315">
          <cell r="A315">
            <v>26184</v>
          </cell>
          <cell r="B315">
            <v>23457</v>
          </cell>
          <cell r="C315" t="str">
            <v xml:space="preserve">    </v>
          </cell>
          <cell r="D315">
            <v>36796.256944444445</v>
          </cell>
          <cell r="F315">
            <v>26184</v>
          </cell>
          <cell r="G315">
            <v>17320.091799999998</v>
          </cell>
          <cell r="I315">
            <v>26184</v>
          </cell>
          <cell r="J315">
            <v>19975.293883284026</v>
          </cell>
          <cell r="L315">
            <v>26184</v>
          </cell>
          <cell r="M315">
            <v>1020.8941</v>
          </cell>
        </row>
        <row r="316">
          <cell r="A316">
            <v>26185</v>
          </cell>
          <cell r="B316">
            <v>4012</v>
          </cell>
          <cell r="C316" t="str">
            <v xml:space="preserve">    </v>
          </cell>
          <cell r="D316">
            <v>36796.255555555559</v>
          </cell>
          <cell r="F316">
            <v>26185</v>
          </cell>
          <cell r="G316">
            <v>3727.8266600000002</v>
          </cell>
          <cell r="I316">
            <v>26185</v>
          </cell>
          <cell r="J316">
            <v>4181.9627711026787</v>
          </cell>
          <cell r="L316">
            <v>26185</v>
          </cell>
          <cell r="M316">
            <v>1025</v>
          </cell>
        </row>
        <row r="317">
          <cell r="A317">
            <v>26186</v>
          </cell>
          <cell r="B317">
            <v>1283</v>
          </cell>
          <cell r="C317" t="str">
            <v xml:space="preserve">    </v>
          </cell>
          <cell r="D317">
            <v>36796.257638888892</v>
          </cell>
          <cell r="F317">
            <v>26186</v>
          </cell>
          <cell r="G317">
            <v>1627.8648700000001</v>
          </cell>
          <cell r="I317">
            <v>26186</v>
          </cell>
          <cell r="J317">
            <v>1773.0933422195255</v>
          </cell>
          <cell r="L317">
            <v>26186</v>
          </cell>
          <cell r="M317">
            <v>1023.7869899999999</v>
          </cell>
        </row>
        <row r="318">
          <cell r="A318">
            <v>26187</v>
          </cell>
          <cell r="B318">
            <v>0</v>
          </cell>
          <cell r="C318" t="str">
            <v xml:space="preserve">    </v>
          </cell>
          <cell r="D318">
            <v>36796.260416666664</v>
          </cell>
          <cell r="F318">
            <v>26187</v>
          </cell>
          <cell r="G318">
            <v>0</v>
          </cell>
          <cell r="I318">
            <v>26187</v>
          </cell>
          <cell r="J318">
            <v>0</v>
          </cell>
          <cell r="L318">
            <v>26187</v>
          </cell>
          <cell r="M318">
            <v>1023.7869899999999</v>
          </cell>
        </row>
        <row r="319">
          <cell r="A319">
            <v>26188</v>
          </cell>
          <cell r="B319">
            <v>8628</v>
          </cell>
          <cell r="C319" t="str">
            <v xml:space="preserve">    </v>
          </cell>
          <cell r="D319">
            <v>36796.260416666664</v>
          </cell>
          <cell r="F319">
            <v>26188</v>
          </cell>
          <cell r="G319">
            <v>6768.7402300000003</v>
          </cell>
          <cell r="I319">
            <v>26188</v>
          </cell>
          <cell r="J319">
            <v>7745.3818966485314</v>
          </cell>
          <cell r="L319">
            <v>26188</v>
          </cell>
          <cell r="M319">
            <v>1023.7869899999999</v>
          </cell>
        </row>
        <row r="320">
          <cell r="A320">
            <v>26189</v>
          </cell>
          <cell r="B320">
            <v>0</v>
          </cell>
          <cell r="C320" t="str">
            <v>COMM</v>
          </cell>
          <cell r="D320">
            <v>36796.229166666664</v>
          </cell>
          <cell r="F320">
            <v>26189</v>
          </cell>
          <cell r="G320">
            <v>0</v>
          </cell>
          <cell r="I320">
            <v>26189</v>
          </cell>
          <cell r="J320">
            <v>0</v>
          </cell>
          <cell r="L320">
            <v>26189</v>
          </cell>
          <cell r="M320">
            <v>1023.7869899999999</v>
          </cell>
        </row>
        <row r="321">
          <cell r="A321">
            <v>26190</v>
          </cell>
          <cell r="B321">
            <v>9820</v>
          </cell>
          <cell r="C321" t="str">
            <v xml:space="preserve">    </v>
          </cell>
          <cell r="D321">
            <v>36796.260416666664</v>
          </cell>
          <cell r="F321">
            <v>26190</v>
          </cell>
          <cell r="G321">
            <v>8655.3261700000003</v>
          </cell>
          <cell r="I321">
            <v>26190</v>
          </cell>
          <cell r="J321">
            <v>9766.8956144238036</v>
          </cell>
          <cell r="L321">
            <v>26190</v>
          </cell>
          <cell r="M321">
            <v>1023.7869899999999</v>
          </cell>
        </row>
        <row r="322">
          <cell r="A322">
            <v>26191</v>
          </cell>
          <cell r="B322">
            <v>19701</v>
          </cell>
          <cell r="C322" t="str">
            <v xml:space="preserve">    </v>
          </cell>
          <cell r="D322">
            <v>36796.255555555559</v>
          </cell>
          <cell r="F322">
            <v>26191</v>
          </cell>
          <cell r="G322">
            <v>9898.2968799999999</v>
          </cell>
          <cell r="I322">
            <v>26191</v>
          </cell>
          <cell r="J322">
            <v>12128.340629958589</v>
          </cell>
          <cell r="L322">
            <v>26191</v>
          </cell>
          <cell r="M322">
            <v>1025</v>
          </cell>
        </row>
        <row r="323">
          <cell r="A323">
            <v>26192</v>
          </cell>
          <cell r="B323">
            <v>0</v>
          </cell>
          <cell r="C323" t="str">
            <v>UNAV</v>
          </cell>
          <cell r="D323">
            <v>36796.261805555558</v>
          </cell>
          <cell r="F323">
            <v>26192</v>
          </cell>
          <cell r="G323">
            <v>0</v>
          </cell>
          <cell r="I323">
            <v>26192</v>
          </cell>
          <cell r="J323">
            <v>0</v>
          </cell>
          <cell r="L323">
            <v>26192</v>
          </cell>
          <cell r="M323">
            <v>1025</v>
          </cell>
        </row>
        <row r="324">
          <cell r="A324">
            <v>26194</v>
          </cell>
          <cell r="B324">
            <v>0</v>
          </cell>
          <cell r="C324" t="str">
            <v>COMM</v>
          </cell>
          <cell r="D324">
            <v>36795.635416666664</v>
          </cell>
          <cell r="F324">
            <v>26194</v>
          </cell>
          <cell r="G324">
            <v>0</v>
          </cell>
          <cell r="I324">
            <v>26194</v>
          </cell>
          <cell r="J324">
            <v>0</v>
          </cell>
          <cell r="L324">
            <v>26194</v>
          </cell>
          <cell r="M324">
            <v>1025</v>
          </cell>
        </row>
        <row r="325">
          <cell r="A325">
            <v>26196</v>
          </cell>
          <cell r="B325">
            <v>0</v>
          </cell>
          <cell r="C325" t="str">
            <v>UNAV</v>
          </cell>
          <cell r="D325">
            <v>36796.261805555558</v>
          </cell>
          <cell r="F325">
            <v>26196</v>
          </cell>
          <cell r="G325">
            <v>0</v>
          </cell>
          <cell r="I325">
            <v>26196</v>
          </cell>
          <cell r="J325">
            <v>0</v>
          </cell>
          <cell r="L325">
            <v>26196</v>
          </cell>
          <cell r="M325">
            <v>1025</v>
          </cell>
        </row>
        <row r="326">
          <cell r="A326">
            <v>26197</v>
          </cell>
          <cell r="B326">
            <v>0</v>
          </cell>
          <cell r="C326" t="str">
            <v>UNAV</v>
          </cell>
          <cell r="D326">
            <v>36796.261805555558</v>
          </cell>
          <cell r="F326">
            <v>26197</v>
          </cell>
          <cell r="G326">
            <v>0</v>
          </cell>
          <cell r="I326">
            <v>26197</v>
          </cell>
          <cell r="J326">
            <v>0</v>
          </cell>
          <cell r="L326">
            <v>26197</v>
          </cell>
          <cell r="M326">
            <v>1025</v>
          </cell>
        </row>
        <row r="327">
          <cell r="A327">
            <v>26198</v>
          </cell>
          <cell r="B327">
            <v>8994</v>
          </cell>
          <cell r="C327" t="str">
            <v xml:space="preserve">    </v>
          </cell>
          <cell r="D327">
            <v>36796.258333333331</v>
          </cell>
          <cell r="F327">
            <v>26198</v>
          </cell>
          <cell r="G327">
            <v>8032.6816399999998</v>
          </cell>
          <cell r="I327">
            <v>26198</v>
          </cell>
          <cell r="J327">
            <v>9050.7524733144273</v>
          </cell>
          <cell r="L327">
            <v>26198</v>
          </cell>
          <cell r="M327">
            <v>1023.7869899999999</v>
          </cell>
        </row>
        <row r="328">
          <cell r="A328">
            <v>26199</v>
          </cell>
          <cell r="B328">
            <v>0</v>
          </cell>
          <cell r="C328" t="str">
            <v xml:space="preserve">    </v>
          </cell>
          <cell r="D328">
            <v>36796.261111111111</v>
          </cell>
          <cell r="F328">
            <v>26199</v>
          </cell>
          <cell r="G328">
            <v>0</v>
          </cell>
          <cell r="I328">
            <v>26199</v>
          </cell>
          <cell r="J328">
            <v>0</v>
          </cell>
          <cell r="L328">
            <v>26199</v>
          </cell>
          <cell r="M328">
            <v>1031</v>
          </cell>
        </row>
        <row r="329">
          <cell r="A329">
            <v>26200</v>
          </cell>
          <cell r="B329">
            <v>0</v>
          </cell>
          <cell r="C329" t="str">
            <v>UNAV</v>
          </cell>
          <cell r="D329">
            <v>36796.261805555558</v>
          </cell>
          <cell r="F329">
            <v>26200</v>
          </cell>
          <cell r="G329">
            <v>0</v>
          </cell>
          <cell r="I329">
            <v>26200</v>
          </cell>
          <cell r="J329">
            <v>0</v>
          </cell>
          <cell r="L329">
            <v>26200</v>
          </cell>
          <cell r="M329">
            <v>1025</v>
          </cell>
        </row>
        <row r="330">
          <cell r="A330">
            <v>26201</v>
          </cell>
          <cell r="B330">
            <v>0</v>
          </cell>
          <cell r="C330" t="str">
            <v>UNAV</v>
          </cell>
          <cell r="D330">
            <v>36796.261805555558</v>
          </cell>
          <cell r="F330">
            <v>26201</v>
          </cell>
          <cell r="G330">
            <v>0</v>
          </cell>
          <cell r="I330">
            <v>26201</v>
          </cell>
          <cell r="J330">
            <v>0</v>
          </cell>
          <cell r="L330">
            <v>26201</v>
          </cell>
          <cell r="M330">
            <v>1025</v>
          </cell>
        </row>
        <row r="331">
          <cell r="A331">
            <v>26202</v>
          </cell>
          <cell r="B331">
            <v>0</v>
          </cell>
          <cell r="C331" t="str">
            <v xml:space="preserve">    </v>
          </cell>
          <cell r="D331">
            <v>36796.245833333334</v>
          </cell>
          <cell r="F331">
            <v>26202</v>
          </cell>
          <cell r="G331">
            <v>0</v>
          </cell>
          <cell r="I331">
            <v>26202</v>
          </cell>
          <cell r="J331">
            <v>0</v>
          </cell>
          <cell r="L331">
            <v>26202</v>
          </cell>
          <cell r="M331">
            <v>1023.7869899999999</v>
          </cell>
        </row>
        <row r="332">
          <cell r="A332">
            <v>26203</v>
          </cell>
          <cell r="B332">
            <v>34522</v>
          </cell>
          <cell r="C332" t="str">
            <v xml:space="preserve">    </v>
          </cell>
          <cell r="D332">
            <v>36796.259722222225</v>
          </cell>
          <cell r="F332">
            <v>26203</v>
          </cell>
          <cell r="G332">
            <v>30275.5098</v>
          </cell>
          <cell r="I332">
            <v>26203</v>
          </cell>
          <cell r="J332">
            <v>34183.208411038548</v>
          </cell>
          <cell r="L332">
            <v>26203</v>
          </cell>
          <cell r="M332">
            <v>1023.7869899999999</v>
          </cell>
        </row>
        <row r="333">
          <cell r="A333">
            <v>26204</v>
          </cell>
          <cell r="B333">
            <v>9803</v>
          </cell>
          <cell r="C333" t="str">
            <v xml:space="preserve">    </v>
          </cell>
          <cell r="D333">
            <v>36796.256249999999</v>
          </cell>
          <cell r="F333">
            <v>26204</v>
          </cell>
          <cell r="G333">
            <v>8612.2685500000007</v>
          </cell>
          <cell r="I333">
            <v>26204</v>
          </cell>
          <cell r="J333">
            <v>9721.9136888682842</v>
          </cell>
          <cell r="L333">
            <v>26204</v>
          </cell>
          <cell r="M333">
            <v>1023.7869899999999</v>
          </cell>
        </row>
        <row r="334">
          <cell r="A334">
            <v>26205</v>
          </cell>
          <cell r="B334">
            <v>0</v>
          </cell>
          <cell r="C334" t="str">
            <v xml:space="preserve">    </v>
          </cell>
          <cell r="D334">
            <v>36796.255555555559</v>
          </cell>
          <cell r="F334">
            <v>26205</v>
          </cell>
          <cell r="G334">
            <v>0</v>
          </cell>
          <cell r="I334">
            <v>26205</v>
          </cell>
          <cell r="J334">
            <v>0</v>
          </cell>
          <cell r="L334">
            <v>26205</v>
          </cell>
          <cell r="M334">
            <v>1025</v>
          </cell>
        </row>
        <row r="335">
          <cell r="A335">
            <v>26206</v>
          </cell>
          <cell r="B335">
            <v>0</v>
          </cell>
          <cell r="C335" t="str">
            <v>UNAV</v>
          </cell>
          <cell r="D335">
            <v>36796.261805555558</v>
          </cell>
          <cell r="F335">
            <v>26206</v>
          </cell>
          <cell r="G335">
            <v>0</v>
          </cell>
          <cell r="I335">
            <v>26206</v>
          </cell>
          <cell r="J335">
            <v>0</v>
          </cell>
          <cell r="L335">
            <v>26206</v>
          </cell>
          <cell r="M335">
            <v>1025</v>
          </cell>
        </row>
        <row r="336">
          <cell r="A336">
            <v>26207</v>
          </cell>
          <cell r="B336">
            <v>0</v>
          </cell>
          <cell r="C336" t="str">
            <v>UNAV</v>
          </cell>
          <cell r="D336">
            <v>36796.261805555558</v>
          </cell>
          <cell r="F336">
            <v>26207</v>
          </cell>
          <cell r="G336">
            <v>0</v>
          </cell>
          <cell r="I336">
            <v>26207</v>
          </cell>
          <cell r="J336">
            <v>0</v>
          </cell>
          <cell r="L336">
            <v>26207</v>
          </cell>
          <cell r="M336">
            <v>1025</v>
          </cell>
        </row>
        <row r="337">
          <cell r="A337">
            <v>26208</v>
          </cell>
          <cell r="B337">
            <v>0</v>
          </cell>
          <cell r="C337" t="str">
            <v>UNAV</v>
          </cell>
          <cell r="D337">
            <v>36796.261805555558</v>
          </cell>
          <cell r="F337">
            <v>26208</v>
          </cell>
          <cell r="G337">
            <v>0</v>
          </cell>
          <cell r="I337">
            <v>26208</v>
          </cell>
          <cell r="J337">
            <v>0</v>
          </cell>
          <cell r="L337">
            <v>26208</v>
          </cell>
          <cell r="M337">
            <v>1025</v>
          </cell>
        </row>
        <row r="338">
          <cell r="A338">
            <v>26209</v>
          </cell>
          <cell r="B338">
            <v>0</v>
          </cell>
          <cell r="C338" t="str">
            <v>UNAV</v>
          </cell>
          <cell r="D338">
            <v>36796.261805555558</v>
          </cell>
          <cell r="F338">
            <v>26209</v>
          </cell>
          <cell r="G338">
            <v>0</v>
          </cell>
          <cell r="I338">
            <v>26209</v>
          </cell>
          <cell r="J338">
            <v>0</v>
          </cell>
          <cell r="L338">
            <v>26209</v>
          </cell>
          <cell r="M338">
            <v>1037</v>
          </cell>
        </row>
        <row r="339">
          <cell r="A339">
            <v>26210</v>
          </cell>
          <cell r="B339">
            <v>0</v>
          </cell>
          <cell r="C339" t="str">
            <v>UNAV</v>
          </cell>
          <cell r="D339">
            <v>36796.261805555558</v>
          </cell>
          <cell r="F339">
            <v>26210</v>
          </cell>
          <cell r="G339">
            <v>0</v>
          </cell>
          <cell r="I339">
            <v>26210</v>
          </cell>
          <cell r="J339">
            <v>0</v>
          </cell>
          <cell r="L339">
            <v>26210</v>
          </cell>
          <cell r="M339">
            <v>1025</v>
          </cell>
        </row>
        <row r="340">
          <cell r="A340">
            <v>26212</v>
          </cell>
          <cell r="B340">
            <v>0</v>
          </cell>
          <cell r="C340" t="str">
            <v xml:space="preserve">    </v>
          </cell>
          <cell r="D340">
            <v>36796.259027777778</v>
          </cell>
          <cell r="F340">
            <v>26212</v>
          </cell>
          <cell r="G340">
            <v>0</v>
          </cell>
          <cell r="I340">
            <v>26212</v>
          </cell>
          <cell r="J340">
            <v>0</v>
          </cell>
          <cell r="L340">
            <v>26212</v>
          </cell>
          <cell r="M340">
            <v>1023.7869899999999</v>
          </cell>
        </row>
        <row r="341">
          <cell r="A341">
            <v>26213</v>
          </cell>
          <cell r="B341">
            <v>0</v>
          </cell>
          <cell r="C341" t="str">
            <v xml:space="preserve">    </v>
          </cell>
          <cell r="D341">
            <v>36796.257638888892</v>
          </cell>
          <cell r="F341">
            <v>26213</v>
          </cell>
          <cell r="G341">
            <v>0</v>
          </cell>
          <cell r="I341">
            <v>26213</v>
          </cell>
          <cell r="J341">
            <v>0</v>
          </cell>
          <cell r="L341">
            <v>26213</v>
          </cell>
          <cell r="M341">
            <v>1119</v>
          </cell>
        </row>
        <row r="342">
          <cell r="A342">
            <v>26215</v>
          </cell>
          <cell r="B342">
            <v>36030</v>
          </cell>
          <cell r="C342" t="str">
            <v xml:space="preserve">    </v>
          </cell>
          <cell r="D342">
            <v>36796.256249999999</v>
          </cell>
          <cell r="F342">
            <v>26215</v>
          </cell>
          <cell r="G342">
            <v>31586.607400000001</v>
          </cell>
          <cell r="I342">
            <v>26215</v>
          </cell>
          <cell r="J342">
            <v>35665.003233257601</v>
          </cell>
          <cell r="L342">
            <v>26218</v>
          </cell>
          <cell r="M342">
            <v>1025</v>
          </cell>
        </row>
        <row r="343">
          <cell r="A343">
            <v>26218</v>
          </cell>
          <cell r="B343">
            <v>0</v>
          </cell>
          <cell r="C343" t="str">
            <v>UNAV</v>
          </cell>
          <cell r="D343">
            <v>36796.261805555558</v>
          </cell>
          <cell r="F343">
            <v>26218</v>
          </cell>
          <cell r="G343">
            <v>0</v>
          </cell>
          <cell r="I343">
            <v>26218</v>
          </cell>
          <cell r="J343">
            <v>0</v>
          </cell>
          <cell r="L343">
            <v>46001</v>
          </cell>
          <cell r="M343">
            <v>1025</v>
          </cell>
        </row>
        <row r="344">
          <cell r="A344">
            <v>46001</v>
          </cell>
          <cell r="B344">
            <v>0</v>
          </cell>
          <cell r="C344" t="str">
            <v>UNAV</v>
          </cell>
          <cell r="D344">
            <v>36796.261805555558</v>
          </cell>
          <cell r="F344">
            <v>46001</v>
          </cell>
          <cell r="G344">
            <v>0</v>
          </cell>
          <cell r="I344">
            <v>46001</v>
          </cell>
          <cell r="J344">
            <v>0</v>
          </cell>
          <cell r="L344">
            <v>46010</v>
          </cell>
          <cell r="M344">
            <v>1021</v>
          </cell>
        </row>
        <row r="345">
          <cell r="A345">
            <v>46010</v>
          </cell>
          <cell r="B345">
            <v>0</v>
          </cell>
          <cell r="C345" t="str">
            <v xml:space="preserve">    </v>
          </cell>
          <cell r="D345">
            <v>36796.261805555558</v>
          </cell>
          <cell r="F345">
            <v>46010</v>
          </cell>
          <cell r="G345">
            <v>0</v>
          </cell>
          <cell r="I345">
            <v>46010</v>
          </cell>
          <cell r="J345">
            <v>0</v>
          </cell>
          <cell r="L345">
            <v>46011</v>
          </cell>
          <cell r="M345">
            <v>1025</v>
          </cell>
        </row>
        <row r="346">
          <cell r="A346">
            <v>46011</v>
          </cell>
          <cell r="B346">
            <v>0</v>
          </cell>
          <cell r="C346" t="str">
            <v>UNAV</v>
          </cell>
          <cell r="D346">
            <v>36796.261805555558</v>
          </cell>
          <cell r="F346">
            <v>46011</v>
          </cell>
          <cell r="G346">
            <v>0</v>
          </cell>
          <cell r="I346">
            <v>46011</v>
          </cell>
          <cell r="J346">
            <v>0</v>
          </cell>
          <cell r="L346">
            <v>46012</v>
          </cell>
          <cell r="M346">
            <v>1026</v>
          </cell>
        </row>
        <row r="347">
          <cell r="A347">
            <v>46012</v>
          </cell>
          <cell r="B347">
            <v>812</v>
          </cell>
          <cell r="C347" t="str">
            <v xml:space="preserve">    </v>
          </cell>
          <cell r="D347">
            <v>36796.256944444445</v>
          </cell>
          <cell r="F347">
            <v>46012</v>
          </cell>
          <cell r="G347">
            <v>671.56024200000002</v>
          </cell>
          <cell r="I347">
            <v>46012</v>
          </cell>
          <cell r="J347">
            <v>763.47413088718213</v>
          </cell>
          <cell r="L347">
            <v>46013</v>
          </cell>
          <cell r="M347">
            <v>1025</v>
          </cell>
        </row>
        <row r="348">
          <cell r="A348">
            <v>46013</v>
          </cell>
          <cell r="B348">
            <v>0</v>
          </cell>
          <cell r="C348" t="str">
            <v>UNAV</v>
          </cell>
          <cell r="D348">
            <v>36796.261805555558</v>
          </cell>
          <cell r="F348">
            <v>46013</v>
          </cell>
          <cell r="G348">
            <v>0</v>
          </cell>
          <cell r="I348">
            <v>46013</v>
          </cell>
          <cell r="J348">
            <v>0</v>
          </cell>
          <cell r="L348">
            <v>46016</v>
          </cell>
          <cell r="M348">
            <v>1025</v>
          </cell>
        </row>
        <row r="349">
          <cell r="A349">
            <v>46016</v>
          </cell>
          <cell r="B349">
            <v>0</v>
          </cell>
          <cell r="C349" t="str">
            <v>UNAV</v>
          </cell>
          <cell r="D349">
            <v>36796.261805555558</v>
          </cell>
          <cell r="F349">
            <v>46016</v>
          </cell>
          <cell r="G349">
            <v>0</v>
          </cell>
          <cell r="I349">
            <v>46016</v>
          </cell>
          <cell r="J349">
            <v>0</v>
          </cell>
          <cell r="L349">
            <v>46017</v>
          </cell>
          <cell r="M349">
            <v>1025</v>
          </cell>
        </row>
        <row r="350">
          <cell r="A350">
            <v>46017</v>
          </cell>
          <cell r="B350">
            <v>0</v>
          </cell>
          <cell r="C350" t="str">
            <v>UNAV</v>
          </cell>
          <cell r="D350">
            <v>36796.261805555558</v>
          </cell>
          <cell r="F350">
            <v>46017</v>
          </cell>
          <cell r="G350">
            <v>0</v>
          </cell>
          <cell r="I350">
            <v>46017</v>
          </cell>
          <cell r="J350">
            <v>0</v>
          </cell>
          <cell r="L350">
            <v>46024</v>
          </cell>
          <cell r="M350">
            <v>1093</v>
          </cell>
        </row>
        <row r="351">
          <cell r="A351">
            <v>46024</v>
          </cell>
          <cell r="B351">
            <v>0</v>
          </cell>
          <cell r="C351" t="str">
            <v xml:space="preserve">    </v>
          </cell>
          <cell r="D351">
            <v>36796.256944444445</v>
          </cell>
          <cell r="F351">
            <v>46024</v>
          </cell>
          <cell r="G351">
            <v>0</v>
          </cell>
          <cell r="I351">
            <v>46024</v>
          </cell>
          <cell r="J351">
            <v>0</v>
          </cell>
          <cell r="L351">
            <v>46025</v>
          </cell>
          <cell r="M351">
            <v>1025</v>
          </cell>
        </row>
        <row r="352">
          <cell r="A352">
            <v>46025</v>
          </cell>
          <cell r="B352">
            <v>0</v>
          </cell>
          <cell r="C352" t="str">
            <v>UNAV</v>
          </cell>
          <cell r="D352">
            <v>36796.261805555558</v>
          </cell>
          <cell r="F352">
            <v>46025</v>
          </cell>
          <cell r="G352">
            <v>0</v>
          </cell>
          <cell r="I352">
            <v>46025</v>
          </cell>
          <cell r="J352">
            <v>0</v>
          </cell>
          <cell r="L352">
            <v>46026</v>
          </cell>
          <cell r="M352">
            <v>1025</v>
          </cell>
        </row>
        <row r="353">
          <cell r="A353">
            <v>46026</v>
          </cell>
          <cell r="B353">
            <v>0</v>
          </cell>
          <cell r="C353" t="str">
            <v>UNAV</v>
          </cell>
          <cell r="D353">
            <v>36796.261805555558</v>
          </cell>
          <cell r="F353">
            <v>46026</v>
          </cell>
          <cell r="G353">
            <v>0</v>
          </cell>
          <cell r="I353">
            <v>46026</v>
          </cell>
          <cell r="J353">
            <v>0</v>
          </cell>
          <cell r="L353">
            <v>46027</v>
          </cell>
          <cell r="M353">
            <v>1010.98407</v>
          </cell>
        </row>
        <row r="354">
          <cell r="A354">
            <v>46027</v>
          </cell>
          <cell r="B354">
            <v>0</v>
          </cell>
          <cell r="C354" t="str">
            <v xml:space="preserve">    </v>
          </cell>
          <cell r="D354">
            <v>36796.260416666664</v>
          </cell>
          <cell r="F354">
            <v>46027</v>
          </cell>
          <cell r="G354">
            <v>0</v>
          </cell>
          <cell r="I354">
            <v>46027</v>
          </cell>
          <cell r="J354">
            <v>0</v>
          </cell>
          <cell r="L354">
            <v>46028</v>
          </cell>
          <cell r="M354">
            <v>1025</v>
          </cell>
        </row>
        <row r="355">
          <cell r="A355">
            <v>46028</v>
          </cell>
          <cell r="B355">
            <v>0</v>
          </cell>
          <cell r="C355" t="str">
            <v>UNAV</v>
          </cell>
          <cell r="D355">
            <v>36796.261805555558</v>
          </cell>
          <cell r="F355">
            <v>46028</v>
          </cell>
          <cell r="G355">
            <v>0</v>
          </cell>
          <cell r="I355">
            <v>46028</v>
          </cell>
          <cell r="J355">
            <v>0</v>
          </cell>
          <cell r="L355">
            <v>46029</v>
          </cell>
          <cell r="M355">
            <v>1025</v>
          </cell>
        </row>
        <row r="356">
          <cell r="A356">
            <v>46029</v>
          </cell>
          <cell r="B356">
            <v>0</v>
          </cell>
          <cell r="C356" t="str">
            <v>UNAV</v>
          </cell>
          <cell r="D356">
            <v>36796.261805555558</v>
          </cell>
          <cell r="F356">
            <v>46029</v>
          </cell>
          <cell r="G356">
            <v>0</v>
          </cell>
          <cell r="I356">
            <v>46029</v>
          </cell>
          <cell r="J356">
            <v>0</v>
          </cell>
          <cell r="L356">
            <v>46030</v>
          </cell>
          <cell r="M356">
            <v>1025</v>
          </cell>
        </row>
        <row r="357">
          <cell r="A357">
            <v>46030</v>
          </cell>
          <cell r="B357">
            <v>0</v>
          </cell>
          <cell r="C357" t="str">
            <v>UNAV</v>
          </cell>
          <cell r="D357">
            <v>36796.261805555558</v>
          </cell>
          <cell r="F357">
            <v>46030</v>
          </cell>
          <cell r="G357">
            <v>0</v>
          </cell>
          <cell r="I357">
            <v>46030</v>
          </cell>
          <cell r="J357">
            <v>0</v>
          </cell>
          <cell r="L357">
            <v>46031</v>
          </cell>
          <cell r="M357">
            <v>1025</v>
          </cell>
        </row>
        <row r="358">
          <cell r="A358">
            <v>46031</v>
          </cell>
          <cell r="B358">
            <v>0</v>
          </cell>
          <cell r="C358" t="str">
            <v>UNAV</v>
          </cell>
          <cell r="D358">
            <v>36796.261805555558</v>
          </cell>
          <cell r="F358">
            <v>46031</v>
          </cell>
          <cell r="G358">
            <v>0</v>
          </cell>
          <cell r="I358">
            <v>46031</v>
          </cell>
          <cell r="J358">
            <v>0</v>
          </cell>
          <cell r="L358">
            <v>46032</v>
          </cell>
          <cell r="M358">
            <v>1025</v>
          </cell>
        </row>
        <row r="359">
          <cell r="A359">
            <v>46032</v>
          </cell>
          <cell r="B359">
            <v>0</v>
          </cell>
          <cell r="C359" t="str">
            <v>UNAV</v>
          </cell>
          <cell r="D359">
            <v>36796.261805555558</v>
          </cell>
          <cell r="F359">
            <v>46032</v>
          </cell>
          <cell r="G359">
            <v>0</v>
          </cell>
          <cell r="I359">
            <v>46032</v>
          </cell>
          <cell r="J359">
            <v>0</v>
          </cell>
          <cell r="L359">
            <v>46034</v>
          </cell>
          <cell r="M359">
            <v>1025</v>
          </cell>
        </row>
        <row r="360">
          <cell r="A360">
            <v>46034</v>
          </cell>
          <cell r="B360">
            <v>0</v>
          </cell>
          <cell r="C360" t="str">
            <v>UNAV</v>
          </cell>
          <cell r="D360">
            <v>36796.261805555558</v>
          </cell>
          <cell r="F360">
            <v>46034</v>
          </cell>
          <cell r="G360">
            <v>0</v>
          </cell>
          <cell r="I360">
            <v>46034</v>
          </cell>
          <cell r="J360">
            <v>0</v>
          </cell>
          <cell r="L360">
            <v>46035</v>
          </cell>
          <cell r="M360">
            <v>1025</v>
          </cell>
        </row>
        <row r="361">
          <cell r="A361">
            <v>46035</v>
          </cell>
          <cell r="B361">
            <v>0</v>
          </cell>
          <cell r="C361" t="str">
            <v xml:space="preserve">    </v>
          </cell>
          <cell r="D361">
            <v>36796.261805555558</v>
          </cell>
          <cell r="F361">
            <v>46035</v>
          </cell>
          <cell r="G361">
            <v>0</v>
          </cell>
          <cell r="I361">
            <v>46035</v>
          </cell>
          <cell r="J361">
            <v>0</v>
          </cell>
          <cell r="L361">
            <v>46037</v>
          </cell>
          <cell r="M361">
            <v>1025</v>
          </cell>
        </row>
        <row r="362">
          <cell r="A362">
            <v>46037</v>
          </cell>
          <cell r="B362">
            <v>0</v>
          </cell>
          <cell r="C362" t="str">
            <v>UNAV</v>
          </cell>
          <cell r="D362">
            <v>36796.261805555558</v>
          </cell>
          <cell r="F362">
            <v>46037</v>
          </cell>
          <cell r="G362">
            <v>0</v>
          </cell>
          <cell r="I362">
            <v>46037</v>
          </cell>
          <cell r="J362">
            <v>0</v>
          </cell>
          <cell r="L362">
            <v>46038</v>
          </cell>
          <cell r="M362">
            <v>1025</v>
          </cell>
        </row>
        <row r="363">
          <cell r="A363">
            <v>46038</v>
          </cell>
          <cell r="B363">
            <v>0</v>
          </cell>
          <cell r="C363" t="str">
            <v>UNAV</v>
          </cell>
          <cell r="D363">
            <v>36796.261805555558</v>
          </cell>
          <cell r="F363">
            <v>46038</v>
          </cell>
          <cell r="G363">
            <v>0</v>
          </cell>
          <cell r="I363">
            <v>46038</v>
          </cell>
          <cell r="J363">
            <v>0</v>
          </cell>
          <cell r="L363">
            <v>46042</v>
          </cell>
          <cell r="M363">
            <v>1025</v>
          </cell>
        </row>
        <row r="364">
          <cell r="A364">
            <v>46042</v>
          </cell>
          <cell r="B364">
            <v>0</v>
          </cell>
          <cell r="C364" t="str">
            <v>UNAV</v>
          </cell>
          <cell r="D364">
            <v>36796.261805555558</v>
          </cell>
          <cell r="F364">
            <v>46042</v>
          </cell>
          <cell r="G364">
            <v>0</v>
          </cell>
          <cell r="I364">
            <v>46042</v>
          </cell>
          <cell r="J364">
            <v>0</v>
          </cell>
          <cell r="L364">
            <v>56000</v>
          </cell>
          <cell r="M364">
            <v>1025</v>
          </cell>
        </row>
        <row r="365">
          <cell r="A365">
            <v>56000</v>
          </cell>
          <cell r="B365">
            <v>0</v>
          </cell>
          <cell r="C365" t="str">
            <v>UNAV</v>
          </cell>
          <cell r="D365">
            <v>36796.261805555558</v>
          </cell>
          <cell r="F365">
            <v>56000</v>
          </cell>
          <cell r="G365">
            <v>0</v>
          </cell>
          <cell r="I365">
            <v>56000</v>
          </cell>
          <cell r="J365">
            <v>0</v>
          </cell>
          <cell r="L365">
            <v>56006</v>
          </cell>
          <cell r="M365">
            <v>1030</v>
          </cell>
        </row>
        <row r="366">
          <cell r="A366">
            <v>56006</v>
          </cell>
          <cell r="B366">
            <v>52181</v>
          </cell>
          <cell r="C366" t="str">
            <v xml:space="preserve">    </v>
          </cell>
          <cell r="D366">
            <v>36796.256249999999</v>
          </cell>
          <cell r="F366">
            <v>56006</v>
          </cell>
          <cell r="G366">
            <v>48224.128900000003</v>
          </cell>
          <cell r="I366">
            <v>56006</v>
          </cell>
          <cell r="J366">
            <v>54130.728205445877</v>
          </cell>
          <cell r="L366">
            <v>56006</v>
          </cell>
          <cell r="M366">
            <v>1030</v>
          </cell>
        </row>
        <row r="367">
          <cell r="A367">
            <v>56006</v>
          </cell>
          <cell r="B367">
            <v>52181</v>
          </cell>
          <cell r="C367" t="str">
            <v xml:space="preserve">    </v>
          </cell>
          <cell r="D367">
            <v>36796.256249999999</v>
          </cell>
          <cell r="F367">
            <v>56006</v>
          </cell>
          <cell r="G367">
            <v>48224.128900000003</v>
          </cell>
          <cell r="I367">
            <v>56006</v>
          </cell>
          <cell r="J367">
            <v>54130.728205445877</v>
          </cell>
          <cell r="L367">
            <v>56007</v>
          </cell>
          <cell r="M367">
            <v>1025</v>
          </cell>
        </row>
        <row r="368">
          <cell r="A368">
            <v>56007</v>
          </cell>
          <cell r="B368">
            <v>0</v>
          </cell>
          <cell r="C368" t="str">
            <v>UNAV</v>
          </cell>
          <cell r="D368">
            <v>36796.261805555558</v>
          </cell>
          <cell r="F368">
            <v>56007</v>
          </cell>
          <cell r="G368">
            <v>0</v>
          </cell>
          <cell r="I368">
            <v>56007</v>
          </cell>
          <cell r="J368">
            <v>0</v>
          </cell>
          <cell r="L368">
            <v>56015</v>
          </cell>
          <cell r="M368">
            <v>1010.98407</v>
          </cell>
        </row>
        <row r="369">
          <cell r="A369">
            <v>56015</v>
          </cell>
          <cell r="B369">
            <v>0</v>
          </cell>
          <cell r="C369" t="str">
            <v xml:space="preserve">    </v>
          </cell>
          <cell r="D369">
            <v>36796.259722222225</v>
          </cell>
          <cell r="F369">
            <v>56015</v>
          </cell>
          <cell r="G369">
            <v>13626.0527</v>
          </cell>
          <cell r="I369">
            <v>56015</v>
          </cell>
          <cell r="J369">
            <v>13626.0527</v>
          </cell>
          <cell r="L369">
            <v>56020</v>
          </cell>
          <cell r="M369">
            <v>1000</v>
          </cell>
        </row>
        <row r="370">
          <cell r="A370">
            <v>56020</v>
          </cell>
          <cell r="B370">
            <v>0</v>
          </cell>
          <cell r="C370" t="str">
            <v>UNAV</v>
          </cell>
          <cell r="D370">
            <v>36796.261805555558</v>
          </cell>
          <cell r="F370">
            <v>56020</v>
          </cell>
          <cell r="G370">
            <v>0</v>
          </cell>
          <cell r="I370">
            <v>56020</v>
          </cell>
          <cell r="J370">
            <v>0</v>
          </cell>
          <cell r="L370">
            <v>56031</v>
          </cell>
          <cell r="M370">
            <v>1013</v>
          </cell>
        </row>
        <row r="371">
          <cell r="A371">
            <v>56031</v>
          </cell>
          <cell r="B371">
            <v>0</v>
          </cell>
          <cell r="C371" t="str">
            <v xml:space="preserve">    </v>
          </cell>
          <cell r="D371">
            <v>36796.256944444445</v>
          </cell>
          <cell r="F371">
            <v>56031</v>
          </cell>
          <cell r="G371">
            <v>0</v>
          </cell>
          <cell r="I371">
            <v>56031</v>
          </cell>
          <cell r="J371">
            <v>0</v>
          </cell>
          <cell r="L371">
            <v>56032</v>
          </cell>
          <cell r="M371">
            <v>1018</v>
          </cell>
        </row>
        <row r="372">
          <cell r="A372">
            <v>56032</v>
          </cell>
          <cell r="B372">
            <v>62626</v>
          </cell>
          <cell r="C372" t="str">
            <v xml:space="preserve">    </v>
          </cell>
          <cell r="D372">
            <v>36796.260416666664</v>
          </cell>
          <cell r="F372">
            <v>56032</v>
          </cell>
          <cell r="G372">
            <v>45445.792999999998</v>
          </cell>
          <cell r="I372">
            <v>56032</v>
          </cell>
          <cell r="J372">
            <v>52534.708277646139</v>
          </cell>
          <cell r="L372">
            <v>620614</v>
          </cell>
          <cell r="M372">
            <v>1025</v>
          </cell>
        </row>
        <row r="373">
          <cell r="A373">
            <v>56039</v>
          </cell>
          <cell r="B373">
            <v>388991</v>
          </cell>
          <cell r="C373" t="str">
            <v xml:space="preserve">    </v>
          </cell>
          <cell r="D373">
            <v>36796.260416666664</v>
          </cell>
          <cell r="F373">
            <v>56039</v>
          </cell>
          <cell r="G373">
            <v>348801.46899999998</v>
          </cell>
          <cell r="I373">
            <v>56039</v>
          </cell>
          <cell r="J373">
            <v>392833.08913807123</v>
          </cell>
          <cell r="L373">
            <v>621300</v>
          </cell>
          <cell r="M373">
            <v>1025</v>
          </cell>
        </row>
        <row r="374">
          <cell r="A374">
            <v>56040</v>
          </cell>
          <cell r="B374">
            <v>0</v>
          </cell>
          <cell r="C374" t="str">
            <v xml:space="preserve">    </v>
          </cell>
          <cell r="D374">
            <v>36796.261111111111</v>
          </cell>
          <cell r="F374">
            <v>56040</v>
          </cell>
          <cell r="G374">
            <v>0</v>
          </cell>
          <cell r="I374">
            <v>56040</v>
          </cell>
          <cell r="J374">
            <v>0</v>
          </cell>
          <cell r="L374">
            <v>11159</v>
          </cell>
          <cell r="M374">
            <v>1018</v>
          </cell>
        </row>
        <row r="375">
          <cell r="A375">
            <v>56041</v>
          </cell>
          <cell r="B375">
            <v>0</v>
          </cell>
          <cell r="C375" t="str">
            <v xml:space="preserve">    </v>
          </cell>
          <cell r="D375">
            <v>36796.259027777778</v>
          </cell>
          <cell r="F375">
            <v>56041</v>
          </cell>
          <cell r="G375">
            <v>16.728973400000001</v>
          </cell>
          <cell r="I375">
            <v>56041</v>
          </cell>
          <cell r="J375">
            <v>16.728973400000001</v>
          </cell>
          <cell r="L375">
            <v>26126</v>
          </cell>
          <cell r="M375">
            <v>1040</v>
          </cell>
        </row>
        <row r="376">
          <cell r="A376">
            <v>56042</v>
          </cell>
          <cell r="B376">
            <v>22876</v>
          </cell>
          <cell r="C376" t="str">
            <v xml:space="preserve">    </v>
          </cell>
          <cell r="D376">
            <v>36796.259027777778</v>
          </cell>
          <cell r="F376">
            <v>56042</v>
          </cell>
          <cell r="G376">
            <v>18815.4277</v>
          </cell>
          <cell r="I376">
            <v>56042</v>
          </cell>
          <cell r="J376">
            <v>21404.863811063027</v>
          </cell>
          <cell r="L376">
            <v>26215</v>
          </cell>
          <cell r="M376">
            <v>1025</v>
          </cell>
        </row>
        <row r="377">
          <cell r="A377">
            <v>56043</v>
          </cell>
          <cell r="B377">
            <v>290460</v>
          </cell>
          <cell r="C377" t="str">
            <v xml:space="preserve">    </v>
          </cell>
          <cell r="D377">
            <v>36796.255555555559</v>
          </cell>
          <cell r="F377">
            <v>56043</v>
          </cell>
          <cell r="G377">
            <v>265278.21899999998</v>
          </cell>
          <cell r="I377">
            <v>56043</v>
          </cell>
          <cell r="J377">
            <v>298156.67733272281</v>
          </cell>
          <cell r="L377">
            <v>16367</v>
          </cell>
          <cell r="M377">
            <v>1040</v>
          </cell>
        </row>
        <row r="378">
          <cell r="A378">
            <v>56044</v>
          </cell>
          <cell r="B378">
            <v>0</v>
          </cell>
          <cell r="C378" t="str">
            <v xml:space="preserve">    </v>
          </cell>
          <cell r="D378">
            <v>36796.256944444445</v>
          </cell>
          <cell r="F378">
            <v>56044</v>
          </cell>
          <cell r="G378">
            <v>0</v>
          </cell>
          <cell r="I378">
            <v>56044</v>
          </cell>
          <cell r="J378">
            <v>0</v>
          </cell>
          <cell r="L378">
            <v>10093</v>
          </cell>
          <cell r="M378">
            <v>1174</v>
          </cell>
        </row>
        <row r="379">
          <cell r="A379">
            <v>620614</v>
          </cell>
          <cell r="B379">
            <v>0</v>
          </cell>
          <cell r="C379" t="str">
            <v>UNAV</v>
          </cell>
          <cell r="D379">
            <v>36796.261805555558</v>
          </cell>
          <cell r="F379">
            <v>620614</v>
          </cell>
          <cell r="G379">
            <v>0</v>
          </cell>
          <cell r="I379">
            <v>620614</v>
          </cell>
          <cell r="J379">
            <v>0</v>
          </cell>
          <cell r="L379">
            <v>12207</v>
          </cell>
          <cell r="M379">
            <v>1025</v>
          </cell>
        </row>
        <row r="380">
          <cell r="A380">
            <v>621300</v>
          </cell>
          <cell r="B380">
            <v>0</v>
          </cell>
          <cell r="C380" t="str">
            <v>UNAV</v>
          </cell>
          <cell r="D380">
            <v>36796.261805555558</v>
          </cell>
          <cell r="F380">
            <v>621300</v>
          </cell>
          <cell r="G380">
            <v>0</v>
          </cell>
          <cell r="I380">
            <v>621300</v>
          </cell>
          <cell r="J380">
            <v>0</v>
          </cell>
          <cell r="L380">
            <v>12323</v>
          </cell>
          <cell r="M380">
            <v>1025</v>
          </cell>
        </row>
        <row r="381">
          <cell r="A381">
            <v>11159</v>
          </cell>
          <cell r="B381">
            <v>0</v>
          </cell>
          <cell r="C381" t="str">
            <v xml:space="preserve">    </v>
          </cell>
          <cell r="D381">
            <v>36796.259722222225</v>
          </cell>
          <cell r="F381">
            <v>11159</v>
          </cell>
          <cell r="G381">
            <v>0</v>
          </cell>
          <cell r="I381">
            <v>11159</v>
          </cell>
          <cell r="J381">
            <v>0</v>
          </cell>
          <cell r="L381">
            <v>11241</v>
          </cell>
          <cell r="M381">
            <v>1025</v>
          </cell>
        </row>
        <row r="382">
          <cell r="A382">
            <v>26126</v>
          </cell>
          <cell r="B382">
            <v>43073</v>
          </cell>
          <cell r="C382" t="str">
            <v xml:space="preserve">    </v>
          </cell>
          <cell r="D382">
            <v>36796.255555555559</v>
          </cell>
          <cell r="F382">
            <v>26126</v>
          </cell>
          <cell r="G382">
            <v>36488.894500000002</v>
          </cell>
          <cell r="I382">
            <v>26126</v>
          </cell>
          <cell r="J382">
            <v>41364.518805465021</v>
          </cell>
          <cell r="L382">
            <v>11583</v>
          </cell>
          <cell r="M382">
            <v>1025</v>
          </cell>
        </row>
        <row r="383">
          <cell r="A383">
            <v>26215</v>
          </cell>
          <cell r="B383">
            <v>36030</v>
          </cell>
          <cell r="C383" t="str">
            <v xml:space="preserve">    </v>
          </cell>
          <cell r="D383">
            <v>36796.256249999999</v>
          </cell>
          <cell r="F383">
            <v>26215</v>
          </cell>
          <cell r="G383">
            <v>31586.607400000001</v>
          </cell>
          <cell r="I383">
            <v>26215</v>
          </cell>
          <cell r="J383">
            <v>35665.003233257601</v>
          </cell>
          <cell r="L383">
            <v>10061</v>
          </cell>
          <cell r="M383">
            <v>1111</v>
          </cell>
        </row>
        <row r="384">
          <cell r="A384">
            <v>16367</v>
          </cell>
          <cell r="B384">
            <v>39857</v>
          </cell>
          <cell r="C384" t="str">
            <v xml:space="preserve">    </v>
          </cell>
          <cell r="D384">
            <v>36796.248611111114</v>
          </cell>
          <cell r="F384">
            <v>16367</v>
          </cell>
          <cell r="G384">
            <v>34698.570299999999</v>
          </cell>
          <cell r="I384">
            <v>16367</v>
          </cell>
          <cell r="J384">
            <v>39210.161272138444</v>
          </cell>
          <cell r="L384">
            <v>11916</v>
          </cell>
          <cell r="M384">
            <v>1025</v>
          </cell>
        </row>
        <row r="385">
          <cell r="A385">
            <v>10093</v>
          </cell>
          <cell r="B385">
            <v>768</v>
          </cell>
          <cell r="C385" t="str">
            <v xml:space="preserve">    </v>
          </cell>
          <cell r="D385">
            <v>36796.260416666664</v>
          </cell>
          <cell r="F385">
            <v>10093</v>
          </cell>
          <cell r="G385">
            <v>676.22644000000003</v>
          </cell>
          <cell r="I385">
            <v>10093</v>
          </cell>
          <cell r="J385">
            <v>763.15977333171907</v>
          </cell>
          <cell r="L385">
            <v>12377</v>
          </cell>
          <cell r="M385">
            <v>1099</v>
          </cell>
        </row>
        <row r="386">
          <cell r="A386">
            <v>12207</v>
          </cell>
          <cell r="B386">
            <v>0</v>
          </cell>
          <cell r="C386" t="str">
            <v>UNAV</v>
          </cell>
          <cell r="D386">
            <v>36796.261805555558</v>
          </cell>
          <cell r="F386">
            <v>12207</v>
          </cell>
          <cell r="G386">
            <v>0</v>
          </cell>
          <cell r="I386">
            <v>12207</v>
          </cell>
          <cell r="J386">
            <v>0</v>
          </cell>
          <cell r="L386">
            <v>26216</v>
          </cell>
          <cell r="M386">
            <v>1023.7869899999999</v>
          </cell>
        </row>
        <row r="387">
          <cell r="A387">
            <v>12323</v>
          </cell>
          <cell r="B387">
            <v>0</v>
          </cell>
          <cell r="C387" t="str">
            <v>UNAV</v>
          </cell>
          <cell r="D387">
            <v>36796.261805555558</v>
          </cell>
          <cell r="F387">
            <v>12323</v>
          </cell>
          <cell r="G387">
            <v>0</v>
          </cell>
          <cell r="I387">
            <v>12323</v>
          </cell>
          <cell r="J387">
            <v>0</v>
          </cell>
          <cell r="L387">
            <v>11889</v>
          </cell>
          <cell r="M387">
            <v>1025</v>
          </cell>
        </row>
        <row r="388">
          <cell r="A388">
            <v>11241</v>
          </cell>
          <cell r="B388">
            <v>0</v>
          </cell>
          <cell r="C388" t="str">
            <v>UNAV</v>
          </cell>
          <cell r="D388">
            <v>36796.261805555558</v>
          </cell>
          <cell r="F388">
            <v>11241</v>
          </cell>
          <cell r="G388">
            <v>0</v>
          </cell>
          <cell r="I388">
            <v>11241</v>
          </cell>
          <cell r="J388">
            <v>0</v>
          </cell>
          <cell r="L388">
            <v>11922</v>
          </cell>
          <cell r="M388">
            <v>1025</v>
          </cell>
        </row>
        <row r="389">
          <cell r="A389">
            <v>11583</v>
          </cell>
          <cell r="B389">
            <v>0</v>
          </cell>
          <cell r="C389" t="str">
            <v>UNAV</v>
          </cell>
          <cell r="D389">
            <v>36796.261805555558</v>
          </cell>
          <cell r="F389">
            <v>11583</v>
          </cell>
          <cell r="G389">
            <v>0</v>
          </cell>
          <cell r="I389">
            <v>11583</v>
          </cell>
          <cell r="J389">
            <v>0</v>
          </cell>
          <cell r="L389">
            <v>12408</v>
          </cell>
          <cell r="M389">
            <v>1025</v>
          </cell>
        </row>
        <row r="390">
          <cell r="A390">
            <v>10061</v>
          </cell>
          <cell r="B390">
            <v>1610</v>
          </cell>
          <cell r="C390" t="str">
            <v xml:space="preserve">    </v>
          </cell>
          <cell r="D390">
            <v>36796.254861111112</v>
          </cell>
          <cell r="F390">
            <v>10061</v>
          </cell>
          <cell r="G390">
            <v>1481.92761</v>
          </cell>
          <cell r="I390">
            <v>10061</v>
          </cell>
          <cell r="J390">
            <v>1664.1706655521714</v>
          </cell>
        </row>
        <row r="391">
          <cell r="A391">
            <v>11916</v>
          </cell>
          <cell r="B391">
            <v>0</v>
          </cell>
          <cell r="C391" t="str">
            <v>UNAV</v>
          </cell>
          <cell r="D391">
            <v>36796.261805555558</v>
          </cell>
          <cell r="F391">
            <v>11916</v>
          </cell>
          <cell r="G391">
            <v>0</v>
          </cell>
          <cell r="I391">
            <v>11916</v>
          </cell>
          <cell r="J391">
            <v>0</v>
          </cell>
        </row>
        <row r="392">
          <cell r="A392">
            <v>12377</v>
          </cell>
          <cell r="B392">
            <v>476</v>
          </cell>
          <cell r="C392" t="str">
            <v xml:space="preserve">    </v>
          </cell>
          <cell r="D392">
            <v>36796.254861111112</v>
          </cell>
          <cell r="F392">
            <v>12377</v>
          </cell>
          <cell r="G392">
            <v>279.27825899999999</v>
          </cell>
          <cell r="I392">
            <v>12377</v>
          </cell>
          <cell r="J392">
            <v>333.15881455455502</v>
          </cell>
        </row>
        <row r="393">
          <cell r="A393">
            <v>26216</v>
          </cell>
          <cell r="B393">
            <v>14763</v>
          </cell>
          <cell r="C393" t="str">
            <v xml:space="preserve">    </v>
          </cell>
          <cell r="D393">
            <v>36796.255555555559</v>
          </cell>
          <cell r="F393">
            <v>26216</v>
          </cell>
          <cell r="G393">
            <v>12903.79</v>
          </cell>
          <cell r="I393">
            <v>26216</v>
          </cell>
          <cell r="J393">
            <v>14574.879583302303</v>
          </cell>
        </row>
        <row r="394">
          <cell r="A394">
            <v>11889</v>
          </cell>
          <cell r="B394">
            <v>0</v>
          </cell>
          <cell r="C394" t="str">
            <v>UNAV</v>
          </cell>
          <cell r="D394">
            <v>36796.261805555558</v>
          </cell>
          <cell r="F394">
            <v>11889</v>
          </cell>
          <cell r="G394">
            <v>0</v>
          </cell>
          <cell r="I394">
            <v>11889</v>
          </cell>
          <cell r="J394">
            <v>0</v>
          </cell>
        </row>
        <row r="395">
          <cell r="A395">
            <v>11922</v>
          </cell>
          <cell r="B395">
            <v>0</v>
          </cell>
          <cell r="C395" t="str">
            <v>UNAV</v>
          </cell>
          <cell r="D395">
            <v>36796.261805555558</v>
          </cell>
          <cell r="F395">
            <v>11922</v>
          </cell>
          <cell r="G395">
            <v>0</v>
          </cell>
          <cell r="I395">
            <v>11922</v>
          </cell>
          <cell r="J395">
            <v>0</v>
          </cell>
        </row>
        <row r="396">
          <cell r="A396">
            <v>12408</v>
          </cell>
          <cell r="B396">
            <v>0</v>
          </cell>
          <cell r="C396" t="str">
            <v>UNAV</v>
          </cell>
          <cell r="D396">
            <v>36796.261805555558</v>
          </cell>
          <cell r="F396">
            <v>12408</v>
          </cell>
          <cell r="G396">
            <v>0</v>
          </cell>
          <cell r="I396">
            <v>12408</v>
          </cell>
          <cell r="J396">
            <v>0</v>
          </cell>
        </row>
      </sheetData>
      <sheetData sheetId="9">
        <row r="2">
          <cell r="A2" t="str">
            <v>Meter</v>
          </cell>
          <cell r="B2" t="str">
            <v>Location</v>
          </cell>
          <cell r="C2" t="str">
            <v>TTL Act</v>
          </cell>
          <cell r="D2" t="str">
            <v>TTL Sch</v>
          </cell>
        </row>
        <row r="3">
          <cell r="A3">
            <v>16361</v>
          </cell>
          <cell r="B3" t="str">
            <v>Exxon - El Paistle</v>
          </cell>
          <cell r="C3">
            <v>0</v>
          </cell>
          <cell r="D3">
            <v>0</v>
          </cell>
        </row>
        <row r="4">
          <cell r="A4">
            <v>26213</v>
          </cell>
          <cell r="B4" t="str">
            <v>Exxon - King Ranch Plant</v>
          </cell>
          <cell r="C4">
            <v>0</v>
          </cell>
          <cell r="D4">
            <v>2.2047301658278848</v>
          </cell>
        </row>
        <row r="5">
          <cell r="A5">
            <v>16105</v>
          </cell>
          <cell r="B5" t="str">
            <v>Lamar - Potrero Lorena Sales</v>
          </cell>
          <cell r="C5">
            <v>0.46034581075195646</v>
          </cell>
          <cell r="D5">
            <v>0.51910569105814097</v>
          </cell>
        </row>
        <row r="6">
          <cell r="A6">
            <v>16218</v>
          </cell>
          <cell r="B6" t="str">
            <v>Exxon - Potrero Farris</v>
          </cell>
          <cell r="C6">
            <v>1.1512596399999999</v>
          </cell>
          <cell r="D6">
            <v>0.96201786105860287</v>
          </cell>
        </row>
        <row r="7">
          <cell r="A7">
            <v>16314</v>
          </cell>
          <cell r="B7" t="str">
            <v>Danex - El Anzuelo</v>
          </cell>
          <cell r="C7">
            <v>7.6724301791992744E-2</v>
          </cell>
          <cell r="D7">
            <v>8.6517615176356852E-2</v>
          </cell>
        </row>
        <row r="8">
          <cell r="A8">
            <v>16167</v>
          </cell>
          <cell r="B8" t="str">
            <v>Marwell - Rupp #3</v>
          </cell>
          <cell r="C8">
            <v>5.8310469361914481E-2</v>
          </cell>
          <cell r="D8">
            <v>6.5753387534031191E-2</v>
          </cell>
        </row>
        <row r="9">
          <cell r="A9">
            <v>16320</v>
          </cell>
          <cell r="B9" t="str">
            <v>Vintage - La Gloria Field</v>
          </cell>
          <cell r="C9">
            <v>0.6951221742354543</v>
          </cell>
          <cell r="D9">
            <v>0.78384959349779293</v>
          </cell>
        </row>
        <row r="10">
          <cell r="A10">
            <v>16347</v>
          </cell>
          <cell r="B10" t="str">
            <v>TGP - Falfurrias</v>
          </cell>
          <cell r="C10">
            <v>0</v>
          </cell>
          <cell r="D10">
            <v>0</v>
          </cell>
        </row>
        <row r="11">
          <cell r="A11">
            <v>26200</v>
          </cell>
          <cell r="B11" t="str">
            <v>Duke - La Gloria Plant</v>
          </cell>
          <cell r="C11">
            <v>0</v>
          </cell>
          <cell r="D11">
            <v>0</v>
          </cell>
        </row>
        <row r="12">
          <cell r="A12">
            <v>26201</v>
          </cell>
          <cell r="B12" t="str">
            <v>Duke - La Gloria Bypass</v>
          </cell>
          <cell r="C12">
            <v>0</v>
          </cell>
          <cell r="D12">
            <v>0</v>
          </cell>
        </row>
        <row r="13">
          <cell r="A13">
            <v>16127</v>
          </cell>
          <cell r="B13" t="str">
            <v>Duke - La Gloria Transport</v>
          </cell>
          <cell r="C13">
            <v>39.412265599999998</v>
          </cell>
          <cell r="D13">
            <v>18.220140941477233</v>
          </cell>
        </row>
        <row r="14">
          <cell r="A14">
            <v>26071</v>
          </cell>
          <cell r="B14" t="str">
            <v>Hoechst - Premont</v>
          </cell>
          <cell r="C14">
            <v>0</v>
          </cell>
          <cell r="D14">
            <v>0</v>
          </cell>
        </row>
        <row r="15">
          <cell r="A15">
            <v>26091</v>
          </cell>
          <cell r="B15" t="str">
            <v>Hoechst - Kingsville</v>
          </cell>
          <cell r="C15">
            <v>17.060835899999997</v>
          </cell>
          <cell r="D15">
            <v>17.202823580167944</v>
          </cell>
        </row>
        <row r="16">
          <cell r="A16">
            <v>16066</v>
          </cell>
          <cell r="B16" t="str">
            <v>UPRC - Gulf Plains</v>
          </cell>
          <cell r="C16">
            <v>24.684367200000001</v>
          </cell>
          <cell r="D16">
            <v>23.666240265494288</v>
          </cell>
        </row>
        <row r="17">
          <cell r="A17">
            <v>56031</v>
          </cell>
          <cell r="B17" t="str">
            <v>Silegsen Check</v>
          </cell>
          <cell r="C17">
            <v>48.224128900000004</v>
          </cell>
          <cell r="D17">
            <v>24.128032520382394</v>
          </cell>
        </row>
        <row r="18">
          <cell r="A18">
            <v>16281</v>
          </cell>
          <cell r="B18" t="str">
            <v>TGP - Aqua Dulce Receipts</v>
          </cell>
          <cell r="C18">
            <v>0</v>
          </cell>
          <cell r="D18">
            <v>0</v>
          </cell>
        </row>
        <row r="19">
          <cell r="A19">
            <v>26081</v>
          </cell>
          <cell r="B19" t="str">
            <v>TGP - Aqua Dulce Deliveries</v>
          </cell>
          <cell r="C19">
            <v>7.9079208999999997</v>
          </cell>
          <cell r="D19">
            <v>1.1132981335979237</v>
          </cell>
        </row>
        <row r="20">
          <cell r="A20">
            <v>16032</v>
          </cell>
          <cell r="B20" t="str">
            <v>HPL - Agua Dulce Receipts</v>
          </cell>
          <cell r="C20">
            <v>96.704382799999991</v>
          </cell>
          <cell r="D20">
            <v>82.191734417538996</v>
          </cell>
        </row>
        <row r="21">
          <cell r="A21">
            <v>26205</v>
          </cell>
          <cell r="B21" t="str">
            <v>HPL - Agua Dulce Deliveries</v>
          </cell>
          <cell r="C21">
            <v>0</v>
          </cell>
          <cell r="D21">
            <v>0</v>
          </cell>
        </row>
        <row r="22">
          <cell r="A22">
            <v>16244</v>
          </cell>
          <cell r="B22" t="str">
            <v>Lobo - Channel Agua Dulce</v>
          </cell>
          <cell r="C22">
            <v>77.297015600000009</v>
          </cell>
          <cell r="D22">
            <v>73.711904372653194</v>
          </cell>
        </row>
        <row r="23">
          <cell r="A23">
            <v>16130</v>
          </cell>
          <cell r="B23" t="str">
            <v>PG &amp; E Valero - Agua Dulce</v>
          </cell>
          <cell r="C23">
            <v>65.174304699999993</v>
          </cell>
          <cell r="D23">
            <v>56.39906854629178</v>
          </cell>
        </row>
        <row r="24">
          <cell r="A24">
            <v>16291</v>
          </cell>
          <cell r="B24" t="str">
            <v>Tejas - Robstown Receipts</v>
          </cell>
          <cell r="C24">
            <v>0</v>
          </cell>
          <cell r="D24">
            <v>0.87456169187145705</v>
          </cell>
        </row>
        <row r="25">
          <cell r="A25">
            <v>26176</v>
          </cell>
          <cell r="B25" t="str">
            <v>Tejas - Robstown Deliveries</v>
          </cell>
          <cell r="C25">
            <v>0</v>
          </cell>
          <cell r="D25">
            <v>0</v>
          </cell>
        </row>
        <row r="26">
          <cell r="A26">
            <v>16107</v>
          </cell>
          <cell r="B26" t="str">
            <v>Delhi - Saxet</v>
          </cell>
          <cell r="C26">
            <v>0</v>
          </cell>
          <cell r="D26">
            <v>0</v>
          </cell>
        </row>
        <row r="27">
          <cell r="A27">
            <v>26043</v>
          </cell>
          <cell r="B27" t="str">
            <v>Pena - Banquette</v>
          </cell>
          <cell r="C27">
            <v>0</v>
          </cell>
          <cell r="D27">
            <v>0</v>
          </cell>
        </row>
        <row r="28">
          <cell r="A28">
            <v>16182</v>
          </cell>
          <cell r="B28" t="str">
            <v>Dominion - Banquette Trasnport</v>
          </cell>
          <cell r="C28">
            <v>0.19181075447998186</v>
          </cell>
          <cell r="D28">
            <v>0.21629403794089208</v>
          </cell>
        </row>
        <row r="29">
          <cell r="A29">
            <v>16161</v>
          </cell>
          <cell r="B29" t="str">
            <v>Dominion - Riverside</v>
          </cell>
          <cell r="C29">
            <v>0.17339692204990359</v>
          </cell>
          <cell r="D29">
            <v>0.19552981029856645</v>
          </cell>
        </row>
        <row r="30">
          <cell r="A30">
            <v>26107</v>
          </cell>
          <cell r="B30" t="str">
            <v>NGPL - Riverside</v>
          </cell>
          <cell r="C30">
            <v>0</v>
          </cell>
          <cell r="D30">
            <v>0.86517615176356832</v>
          </cell>
        </row>
        <row r="31">
          <cell r="A31">
            <v>26123</v>
          </cell>
          <cell r="B31" t="str">
            <v>Tejas - Calallen</v>
          </cell>
          <cell r="C31">
            <v>0</v>
          </cell>
          <cell r="D31">
            <v>0</v>
          </cell>
        </row>
        <row r="32">
          <cell r="A32">
            <v>26083</v>
          </cell>
          <cell r="B32" t="str">
            <v>Equistar - Corpus Christi</v>
          </cell>
          <cell r="C32">
            <v>4.3420624999999999</v>
          </cell>
          <cell r="D32">
            <v>4.3556265007743491</v>
          </cell>
        </row>
        <row r="33">
          <cell r="A33">
            <v>26124</v>
          </cell>
          <cell r="B33" t="str">
            <v>CP &amp; L - Lon C. Hill</v>
          </cell>
          <cell r="C33">
            <v>6.6908994100000001</v>
          </cell>
          <cell r="D33">
            <v>13.105500821049127</v>
          </cell>
        </row>
        <row r="34">
          <cell r="A34">
            <v>26101</v>
          </cell>
          <cell r="B34" t="str">
            <v>Tejas - Riverside</v>
          </cell>
          <cell r="C34">
            <v>0</v>
          </cell>
          <cell r="D34">
            <v>0</v>
          </cell>
        </row>
        <row r="35">
          <cell r="A35">
            <v>16222</v>
          </cell>
          <cell r="B35" t="str">
            <v>PG &amp; E - Cardwell</v>
          </cell>
          <cell r="C35">
            <v>18.265300800000002</v>
          </cell>
          <cell r="D35">
            <v>17.986147019012822</v>
          </cell>
        </row>
        <row r="36">
          <cell r="A36">
            <v>16069</v>
          </cell>
          <cell r="B36" t="str">
            <v>HPL - Odem</v>
          </cell>
          <cell r="C36">
            <v>0</v>
          </cell>
          <cell r="D36">
            <v>0</v>
          </cell>
        </row>
        <row r="37">
          <cell r="A37">
            <v>26093</v>
          </cell>
          <cell r="B37" t="str">
            <v>Florida - Sinton</v>
          </cell>
          <cell r="C37">
            <v>0</v>
          </cell>
          <cell r="D37">
            <v>0</v>
          </cell>
        </row>
        <row r="38">
          <cell r="A38">
            <v>26046</v>
          </cell>
          <cell r="B38" t="str">
            <v>PG &amp; E - Taft Transport</v>
          </cell>
          <cell r="C38">
            <v>0</v>
          </cell>
          <cell r="D38">
            <v>0</v>
          </cell>
        </row>
        <row r="39">
          <cell r="A39">
            <v>16152</v>
          </cell>
          <cell r="B39" t="str">
            <v>Abraxas - White Point</v>
          </cell>
          <cell r="C39">
            <v>0</v>
          </cell>
          <cell r="D39">
            <v>0</v>
          </cell>
        </row>
        <row r="40">
          <cell r="A40">
            <v>16164</v>
          </cell>
          <cell r="B40" t="str">
            <v>Dominion - Northwest Taft</v>
          </cell>
          <cell r="C40">
            <v>0.30689720716797098</v>
          </cell>
          <cell r="D40">
            <v>0.34607046070542741</v>
          </cell>
        </row>
        <row r="41">
          <cell r="A41">
            <v>16227</v>
          </cell>
          <cell r="B41" t="str">
            <v>Houston American Petroleum</v>
          </cell>
          <cell r="C41">
            <v>0</v>
          </cell>
          <cell r="D41">
            <v>0</v>
          </cell>
        </row>
        <row r="42">
          <cell r="A42">
            <v>16304</v>
          </cell>
          <cell r="B42" t="str">
            <v>W L Roots - W L Roots</v>
          </cell>
          <cell r="C42">
            <v>0.23017290537597823</v>
          </cell>
          <cell r="D42">
            <v>0.25955284552907049</v>
          </cell>
        </row>
        <row r="43">
          <cell r="A43">
            <v>26075</v>
          </cell>
          <cell r="B43" t="str">
            <v>Dinero - East Plymouth Sales</v>
          </cell>
          <cell r="C43">
            <v>7.672430179199274E-4</v>
          </cell>
          <cell r="D43">
            <v>8.6517615176356845E-4</v>
          </cell>
        </row>
        <row r="44">
          <cell r="A44">
            <v>16351</v>
          </cell>
          <cell r="B44" t="str">
            <v>HPL - Gregory Deliveries</v>
          </cell>
          <cell r="C44">
            <v>0</v>
          </cell>
          <cell r="D44">
            <v>0</v>
          </cell>
        </row>
        <row r="45">
          <cell r="A45">
            <v>26191</v>
          </cell>
          <cell r="B45" t="str">
            <v>HPL - Gregory Receipts</v>
          </cell>
          <cell r="C45">
            <v>9.8982968800000002</v>
          </cell>
          <cell r="D45">
            <v>19.899051490562073</v>
          </cell>
        </row>
        <row r="46">
          <cell r="A46">
            <v>26079</v>
          </cell>
          <cell r="B46" t="str">
            <v>Koch - Bayside</v>
          </cell>
          <cell r="C46">
            <v>19.168228500000001</v>
          </cell>
          <cell r="D46">
            <v>21.62940379408921</v>
          </cell>
        </row>
        <row r="47">
          <cell r="A47">
            <v>26210</v>
          </cell>
          <cell r="B47" t="str">
            <v>Texana - Bonnie View</v>
          </cell>
          <cell r="C47">
            <v>0</v>
          </cell>
          <cell r="D47">
            <v>0</v>
          </cell>
        </row>
        <row r="48">
          <cell r="A48">
            <v>16340</v>
          </cell>
          <cell r="B48" t="str">
            <v>Copano - Copano Bay</v>
          </cell>
          <cell r="C48">
            <v>0</v>
          </cell>
          <cell r="D48">
            <v>0</v>
          </cell>
        </row>
        <row r="49">
          <cell r="A49">
            <v>16341</v>
          </cell>
          <cell r="B49" t="str">
            <v>Copano - Copano Bay</v>
          </cell>
          <cell r="C49">
            <v>0</v>
          </cell>
          <cell r="D49">
            <v>0</v>
          </cell>
        </row>
        <row r="50">
          <cell r="A50">
            <v>16036</v>
          </cell>
          <cell r="B50" t="str">
            <v>HPL - Refugio</v>
          </cell>
          <cell r="C50">
            <v>18.320800800000001</v>
          </cell>
          <cell r="D50">
            <v>19.033875338798506</v>
          </cell>
        </row>
        <row r="51">
          <cell r="A51">
            <v>26179</v>
          </cell>
          <cell r="B51" t="str">
            <v>HPL - Refugio</v>
          </cell>
          <cell r="C51">
            <v>0</v>
          </cell>
          <cell r="D51">
            <v>0</v>
          </cell>
        </row>
        <row r="52">
          <cell r="A52">
            <v>16055</v>
          </cell>
          <cell r="B52" t="str">
            <v>HPL - San Antonio Bay</v>
          </cell>
          <cell r="C52">
            <v>2.7826855500000001</v>
          </cell>
          <cell r="D52">
            <v>3.0281165311724894</v>
          </cell>
        </row>
        <row r="53">
          <cell r="A53">
            <v>16210</v>
          </cell>
          <cell r="B53" t="str">
            <v>Northern Natural - Tivoli</v>
          </cell>
          <cell r="C53">
            <v>0</v>
          </cell>
          <cell r="D53">
            <v>1.2977642276453525</v>
          </cell>
        </row>
        <row r="54">
          <cell r="A54">
            <v>26113</v>
          </cell>
          <cell r="B54" t="str">
            <v>Seadrift - Seadrift Plant</v>
          </cell>
          <cell r="C54">
            <v>9.2069162150391293E-2</v>
          </cell>
          <cell r="D54">
            <v>0.10382113821162821</v>
          </cell>
        </row>
        <row r="55">
          <cell r="A55">
            <v>26002</v>
          </cell>
          <cell r="B55" t="str">
            <v>Union Carbide - Seadrift Plant</v>
          </cell>
          <cell r="C55">
            <v>4.2012968800000001</v>
          </cell>
          <cell r="D55">
            <v>3.9123774509896654</v>
          </cell>
        </row>
        <row r="56">
          <cell r="A56">
            <v>26080</v>
          </cell>
          <cell r="B56" t="str">
            <v>Union Carbide - Seadrift Plant</v>
          </cell>
          <cell r="C56">
            <v>11.551860399999999</v>
          </cell>
          <cell r="D56">
            <v>8.6517615176356841</v>
          </cell>
        </row>
        <row r="57">
          <cell r="A57">
            <v>16290</v>
          </cell>
          <cell r="B57" t="str">
            <v>EPFS -Tomcat MILSP</v>
          </cell>
          <cell r="C57">
            <v>13.282473599999999</v>
          </cell>
          <cell r="D57">
            <v>5.7116973253476351</v>
          </cell>
        </row>
        <row r="58">
          <cell r="A58">
            <v>26038</v>
          </cell>
          <cell r="B58" t="str">
            <v>Entex - Port Lavaca East</v>
          </cell>
          <cell r="C58">
            <v>7.672430179199274E-4</v>
          </cell>
          <cell r="D58">
            <v>8.6517615176356845E-4</v>
          </cell>
        </row>
        <row r="59">
          <cell r="A59">
            <v>26192</v>
          </cell>
          <cell r="B59" t="str">
            <v>Entex - Port Lavaca West</v>
          </cell>
          <cell r="C59">
            <v>0</v>
          </cell>
          <cell r="D59">
            <v>0</v>
          </cell>
        </row>
        <row r="60">
          <cell r="A60">
            <v>16254</v>
          </cell>
          <cell r="B60" t="str">
            <v>Castillo - East Sheriff</v>
          </cell>
          <cell r="C60">
            <v>0</v>
          </cell>
          <cell r="D60">
            <v>0</v>
          </cell>
        </row>
        <row r="61">
          <cell r="A61">
            <v>26146</v>
          </cell>
          <cell r="B61" t="str">
            <v>Formosa - Co-Gen</v>
          </cell>
          <cell r="C61">
            <v>0</v>
          </cell>
          <cell r="D61">
            <v>0</v>
          </cell>
        </row>
        <row r="62">
          <cell r="A62">
            <v>26136</v>
          </cell>
          <cell r="B62" t="str">
            <v>Formosa - Low Pressure</v>
          </cell>
          <cell r="C62">
            <v>0</v>
          </cell>
          <cell r="D62">
            <v>0</v>
          </cell>
        </row>
        <row r="63">
          <cell r="A63">
            <v>26184</v>
          </cell>
          <cell r="B63" t="str">
            <v>Formosa - Point Comfort</v>
          </cell>
          <cell r="C63">
            <v>17.320091799999997</v>
          </cell>
          <cell r="D63">
            <v>13.029836623960176</v>
          </cell>
        </row>
        <row r="64">
          <cell r="A64">
            <v>16306</v>
          </cell>
          <cell r="B64" t="str">
            <v>Formosa - Plant</v>
          </cell>
          <cell r="C64">
            <v>0</v>
          </cell>
          <cell r="D64">
            <v>0</v>
          </cell>
        </row>
        <row r="65">
          <cell r="A65">
            <v>26168</v>
          </cell>
          <cell r="B65" t="str">
            <v>Alcoa - Point Comfort</v>
          </cell>
          <cell r="C65">
            <v>17.270533199999999</v>
          </cell>
          <cell r="D65">
            <v>17.376398293507641</v>
          </cell>
        </row>
        <row r="66">
          <cell r="A66">
            <v>26154</v>
          </cell>
          <cell r="B66" t="str">
            <v>CP &amp; L - Joslin Deliveries</v>
          </cell>
          <cell r="C66">
            <v>0</v>
          </cell>
          <cell r="D66">
            <v>0</v>
          </cell>
        </row>
        <row r="67">
          <cell r="A67">
            <v>26073</v>
          </cell>
          <cell r="B67" t="str">
            <v>HPL - Swan Lake Deliveries</v>
          </cell>
          <cell r="C67">
            <v>16.367833999999998</v>
          </cell>
          <cell r="D67">
            <v>24.564946477023</v>
          </cell>
        </row>
        <row r="68">
          <cell r="A68">
            <v>26063</v>
          </cell>
          <cell r="B68" t="str">
            <v>Formosa - Traylor</v>
          </cell>
          <cell r="C68">
            <v>0</v>
          </cell>
          <cell r="D68">
            <v>0</v>
          </cell>
        </row>
        <row r="69">
          <cell r="A69">
            <v>16241</v>
          </cell>
          <cell r="B69" t="str">
            <v>SAB - Maude Traylor</v>
          </cell>
          <cell r="C69">
            <v>7.6724301791992744E-2</v>
          </cell>
          <cell r="D69">
            <v>8.6517615176356852E-2</v>
          </cell>
        </row>
        <row r="70">
          <cell r="A70">
            <v>16094</v>
          </cell>
          <cell r="B70" t="str">
            <v>PIE - Carancuhua Bay</v>
          </cell>
          <cell r="C70">
            <v>1.1508645268798912E-2</v>
          </cell>
          <cell r="D70">
            <v>1.2977642276453526E-2</v>
          </cell>
        </row>
        <row r="71">
          <cell r="A71">
            <v>26013</v>
          </cell>
          <cell r="B71" t="str">
            <v>Peterson Grass Farms</v>
          </cell>
          <cell r="C71">
            <v>7.6724301791992761E-3</v>
          </cell>
          <cell r="D71">
            <v>8.6517615176356852E-3</v>
          </cell>
        </row>
        <row r="72">
          <cell r="A72">
            <v>26151</v>
          </cell>
          <cell r="B72" t="str">
            <v>Entex - Palacios City</v>
          </cell>
          <cell r="C72">
            <v>0</v>
          </cell>
          <cell r="D72">
            <v>0</v>
          </cell>
        </row>
        <row r="73">
          <cell r="A73">
            <v>26207</v>
          </cell>
          <cell r="B73" t="str">
            <v>Farmers - Blessing #1</v>
          </cell>
          <cell r="C73">
            <v>0</v>
          </cell>
          <cell r="D73">
            <v>0</v>
          </cell>
        </row>
        <row r="74">
          <cell r="A74">
            <v>16057</v>
          </cell>
          <cell r="B74" t="str">
            <v>Sue Ann - Blessing Field</v>
          </cell>
          <cell r="C74">
            <v>0.54244081366938868</v>
          </cell>
          <cell r="D74">
            <v>0.61167953929684282</v>
          </cell>
        </row>
        <row r="75">
          <cell r="A75">
            <v>26155</v>
          </cell>
          <cell r="B75" t="str">
            <v>Entex - Blessing City Gate</v>
          </cell>
          <cell r="C75">
            <v>4.9870796164795284E-2</v>
          </cell>
          <cell r="D75">
            <v>5.6236449864631943E-2</v>
          </cell>
        </row>
        <row r="76">
          <cell r="A76">
            <v>16151</v>
          </cell>
          <cell r="B76" t="str">
            <v>EPFS -El Gordo Blessing</v>
          </cell>
          <cell r="C76">
            <v>94.377687500000008</v>
          </cell>
          <cell r="D76">
            <v>97.58234204577731</v>
          </cell>
        </row>
        <row r="77">
          <cell r="A77">
            <v>16354</v>
          </cell>
          <cell r="B77" t="str">
            <v>EPFS - Seahawk Blessing</v>
          </cell>
          <cell r="C77">
            <v>27.776416000000001</v>
          </cell>
          <cell r="D77">
            <v>65.587975989752437</v>
          </cell>
        </row>
        <row r="78">
          <cell r="A78">
            <v>26208</v>
          </cell>
          <cell r="B78" t="str">
            <v>Farmers - Blessing #2</v>
          </cell>
          <cell r="C78">
            <v>1.5344860358398552E-2</v>
          </cell>
          <cell r="D78">
            <v>1.730352303527137E-2</v>
          </cell>
        </row>
        <row r="79">
          <cell r="A79">
            <v>26049</v>
          </cell>
          <cell r="B79" t="str">
            <v>Elerida - Southwest Pheasant</v>
          </cell>
          <cell r="C79">
            <v>0</v>
          </cell>
          <cell r="D79">
            <v>0</v>
          </cell>
        </row>
        <row r="80">
          <cell r="A80">
            <v>26061</v>
          </cell>
          <cell r="B80" t="str">
            <v>Markham - Markham City Gate</v>
          </cell>
          <cell r="C80">
            <v>3.6827664860156518E-2</v>
          </cell>
          <cell r="D80">
            <v>4.1528455284651281E-2</v>
          </cell>
        </row>
        <row r="81">
          <cell r="A81">
            <v>26023</v>
          </cell>
          <cell r="B81" t="str">
            <v>Hoechst - Bay City Plant</v>
          </cell>
          <cell r="C81">
            <v>7.0384374999999997</v>
          </cell>
          <cell r="D81">
            <v>8.6686760074062317</v>
          </cell>
        </row>
        <row r="82">
          <cell r="A82">
            <v>26209</v>
          </cell>
          <cell r="B82" t="str">
            <v>Moltem - Bay City Deliveries</v>
          </cell>
          <cell r="C82">
            <v>0</v>
          </cell>
          <cell r="D82">
            <v>0</v>
          </cell>
        </row>
        <row r="83">
          <cell r="A83">
            <v>16247</v>
          </cell>
          <cell r="B83" t="str">
            <v>Transco - Markham</v>
          </cell>
          <cell r="C83">
            <v>0</v>
          </cell>
          <cell r="D83">
            <v>8.8928919549908745</v>
          </cell>
        </row>
        <row r="84">
          <cell r="A84">
            <v>26042</v>
          </cell>
          <cell r="B84" t="str">
            <v>RBWI - Bay City</v>
          </cell>
          <cell r="C84">
            <v>7.6724301791992761E-3</v>
          </cell>
          <cell r="D84">
            <v>8.6517615176356852E-3</v>
          </cell>
        </row>
        <row r="85">
          <cell r="A85">
            <v>26129</v>
          </cell>
          <cell r="B85" t="str">
            <v>Florida Gas  - Magnet Withers</v>
          </cell>
          <cell r="C85">
            <v>50.4605508</v>
          </cell>
          <cell r="D85">
            <v>47.38396747978711</v>
          </cell>
        </row>
        <row r="86">
          <cell r="A86">
            <v>16366</v>
          </cell>
          <cell r="B86" t="str">
            <v>EOG - North Bay City</v>
          </cell>
          <cell r="C86">
            <v>1.1405591999999998</v>
          </cell>
          <cell r="D86">
            <v>2.1524406688292657</v>
          </cell>
        </row>
        <row r="87">
          <cell r="A87">
            <v>26022</v>
          </cell>
          <cell r="B87" t="str">
            <v>HPL - Pledger Texas</v>
          </cell>
          <cell r="C87">
            <v>0</v>
          </cell>
          <cell r="D87">
            <v>0</v>
          </cell>
        </row>
        <row r="88">
          <cell r="A88">
            <v>16087</v>
          </cell>
          <cell r="B88" t="str">
            <v>Amoco - Old Ocean</v>
          </cell>
          <cell r="C88">
            <v>0</v>
          </cell>
          <cell r="D88">
            <v>0</v>
          </cell>
        </row>
        <row r="89">
          <cell r="A89">
            <v>26008</v>
          </cell>
          <cell r="B89" t="str">
            <v>Phillips - Sweeny Plant</v>
          </cell>
          <cell r="C89">
            <v>4.3408544899999999</v>
          </cell>
          <cell r="D89">
            <v>4.3301052517463745</v>
          </cell>
        </row>
        <row r="90">
          <cell r="A90">
            <v>16321</v>
          </cell>
          <cell r="B90" t="str">
            <v>Penzoil -  Pledger</v>
          </cell>
          <cell r="C90">
            <v>0.14424168736894635</v>
          </cell>
          <cell r="D90">
            <v>0.16265311653155085</v>
          </cell>
        </row>
        <row r="91">
          <cell r="A91">
            <v>16322</v>
          </cell>
          <cell r="B91" t="str">
            <v>American Explorer - Pledger</v>
          </cell>
          <cell r="C91">
            <v>0</v>
          </cell>
          <cell r="D91">
            <v>0</v>
          </cell>
        </row>
        <row r="92">
          <cell r="A92">
            <v>26160</v>
          </cell>
          <cell r="B92" t="str">
            <v>HPL - Pledger New Gulf</v>
          </cell>
          <cell r="C92">
            <v>0.829198608</v>
          </cell>
          <cell r="D92">
            <v>0.86517615176356832</v>
          </cell>
        </row>
        <row r="93">
          <cell r="A93">
            <v>26011</v>
          </cell>
          <cell r="B93" t="str">
            <v>MRF - Milseka Rice Farm</v>
          </cell>
          <cell r="C93">
            <v>7.6724301791992761E-3</v>
          </cell>
          <cell r="D93">
            <v>8.6517615176356852E-3</v>
          </cell>
        </row>
        <row r="94">
          <cell r="A94">
            <v>26034</v>
          </cell>
          <cell r="B94" t="str">
            <v>GRF - Gless Rice Farms</v>
          </cell>
          <cell r="C94">
            <v>7.6724301791992761E-3</v>
          </cell>
          <cell r="D94">
            <v>8.6517615176356852E-3</v>
          </cell>
        </row>
        <row r="95">
          <cell r="A95">
            <v>16282</v>
          </cell>
          <cell r="B95" t="str">
            <v>SAGE Energy - Lochridge Field</v>
          </cell>
          <cell r="C95">
            <v>0.76724301791992744</v>
          </cell>
          <cell r="D95">
            <v>0.86517615176356832</v>
          </cell>
        </row>
        <row r="96">
          <cell r="A96">
            <v>26076</v>
          </cell>
          <cell r="B96" t="str">
            <v>Entex - Ramsey Unit</v>
          </cell>
          <cell r="C96">
            <v>0</v>
          </cell>
          <cell r="D96">
            <v>0</v>
          </cell>
        </row>
        <row r="97">
          <cell r="A97">
            <v>26007</v>
          </cell>
          <cell r="B97" t="str">
            <v>HPL - Rosharon City Gate</v>
          </cell>
          <cell r="C97">
            <v>0.19181075447998186</v>
          </cell>
          <cell r="D97">
            <v>0.21629403794089208</v>
          </cell>
        </row>
        <row r="98">
          <cell r="A98">
            <v>26092</v>
          </cell>
          <cell r="B98" t="str">
            <v>DOW DT - Iowa Colony</v>
          </cell>
          <cell r="C98">
            <v>0</v>
          </cell>
          <cell r="D98">
            <v>0</v>
          </cell>
        </row>
        <row r="99">
          <cell r="A99">
            <v>16273</v>
          </cell>
          <cell r="B99" t="str">
            <v>HPL - Manville</v>
          </cell>
          <cell r="C99">
            <v>0</v>
          </cell>
          <cell r="D99">
            <v>0</v>
          </cell>
        </row>
        <row r="100">
          <cell r="A100">
            <v>16088</v>
          </cell>
          <cell r="B100" t="str">
            <v>DOW - Julliff</v>
          </cell>
          <cell r="C100">
            <v>46.195253900000004</v>
          </cell>
          <cell r="D100">
            <v>31.266747880461367</v>
          </cell>
        </row>
        <row r="101">
          <cell r="A101">
            <v>26077</v>
          </cell>
          <cell r="B101" t="str">
            <v>DOW - Julliff</v>
          </cell>
          <cell r="C101">
            <v>0</v>
          </cell>
          <cell r="D101">
            <v>0</v>
          </cell>
        </row>
        <row r="102">
          <cell r="A102">
            <v>16154</v>
          </cell>
          <cell r="B102" t="str">
            <v>Dominion Pipeline - Arcola Field</v>
          </cell>
          <cell r="C102">
            <v>8.8232947060791669E-2</v>
          </cell>
          <cell r="D102">
            <v>9.9495257452810362E-2</v>
          </cell>
        </row>
        <row r="103">
          <cell r="A103">
            <v>26009</v>
          </cell>
          <cell r="B103" t="str">
            <v>PG&amp;E - Alvin Deliveries</v>
          </cell>
          <cell r="C103">
            <v>0</v>
          </cell>
          <cell r="D103">
            <v>0</v>
          </cell>
        </row>
        <row r="104">
          <cell r="A104">
            <v>26018</v>
          </cell>
          <cell r="B104" t="str">
            <v>HPL - Pearland Deliveries</v>
          </cell>
          <cell r="C104">
            <v>0.16977467300000001</v>
          </cell>
          <cell r="D104">
            <v>0</v>
          </cell>
        </row>
        <row r="105">
          <cell r="A105">
            <v>16296</v>
          </cell>
          <cell r="B105" t="str">
            <v>HPL - Hastings</v>
          </cell>
          <cell r="C105">
            <v>0</v>
          </cell>
          <cell r="D105">
            <v>0</v>
          </cell>
        </row>
        <row r="106">
          <cell r="A106">
            <v>26130</v>
          </cell>
          <cell r="B106" t="str">
            <v>Tejas - Hastings</v>
          </cell>
          <cell r="C106">
            <v>0</v>
          </cell>
          <cell r="D106">
            <v>0</v>
          </cell>
        </row>
        <row r="107">
          <cell r="A107">
            <v>26131</v>
          </cell>
          <cell r="B107" t="str">
            <v>Tejas - Hastings</v>
          </cell>
          <cell r="C107">
            <v>0</v>
          </cell>
          <cell r="D107">
            <v>0</v>
          </cell>
        </row>
        <row r="108">
          <cell r="A108">
            <v>26070</v>
          </cell>
          <cell r="B108" t="str">
            <v>HPL - Friendswood City Gate</v>
          </cell>
          <cell r="C108">
            <v>0.77721717715288641</v>
          </cell>
          <cell r="D108">
            <v>0.87642344173649467</v>
          </cell>
        </row>
        <row r="109">
          <cell r="A109">
            <v>16367</v>
          </cell>
          <cell r="B109" t="str">
            <v>Exxon Mobile - Webster Dehy</v>
          </cell>
          <cell r="C109">
            <v>34.6985703</v>
          </cell>
          <cell r="D109">
            <v>38.371394230860176</v>
          </cell>
        </row>
        <row r="110">
          <cell r="A110">
            <v>26005</v>
          </cell>
          <cell r="B110" t="str">
            <v>TPC - Genoa Deliveries</v>
          </cell>
          <cell r="C110">
            <v>0</v>
          </cell>
          <cell r="D110">
            <v>0</v>
          </cell>
        </row>
        <row r="111">
          <cell r="A111">
            <v>26144</v>
          </cell>
          <cell r="B111" t="str">
            <v>Entex - Clearlake City#2</v>
          </cell>
          <cell r="C111">
            <v>7.672430179199274E-4</v>
          </cell>
          <cell r="D111">
            <v>8.6517615176356845E-4</v>
          </cell>
        </row>
        <row r="112">
          <cell r="A112">
            <v>16058</v>
          </cell>
          <cell r="B112" t="str">
            <v>Exxon - Clearlake</v>
          </cell>
          <cell r="C112">
            <v>36.846656299999999</v>
          </cell>
          <cell r="D112">
            <v>36.738840108488169</v>
          </cell>
        </row>
        <row r="113">
          <cell r="A113">
            <v>26088</v>
          </cell>
          <cell r="B113" t="str">
            <v>HPL - Red Bluff</v>
          </cell>
          <cell r="C113">
            <v>25.492798799999999</v>
          </cell>
          <cell r="D113">
            <v>25.090108401143482</v>
          </cell>
        </row>
        <row r="114">
          <cell r="A114">
            <v>26135</v>
          </cell>
          <cell r="B114" t="str">
            <v>PG&amp;E - Red Bluff</v>
          </cell>
          <cell r="C114">
            <v>0.24602339200000001</v>
          </cell>
          <cell r="D114">
            <v>0</v>
          </cell>
        </row>
        <row r="115">
          <cell r="A115">
            <v>26150</v>
          </cell>
          <cell r="B115" t="str">
            <v>HL&amp;P - Red Bluff</v>
          </cell>
          <cell r="C115">
            <v>0</v>
          </cell>
          <cell r="D115">
            <v>0</v>
          </cell>
        </row>
        <row r="116">
          <cell r="A116">
            <v>26143</v>
          </cell>
          <cell r="B116" t="str">
            <v>Oxy Chemical - Bayport</v>
          </cell>
          <cell r="C116">
            <v>0.76724301791992744</v>
          </cell>
          <cell r="D116">
            <v>0.86517615176356832</v>
          </cell>
        </row>
        <row r="117">
          <cell r="A117">
            <v>26206</v>
          </cell>
          <cell r="B117" t="str">
            <v>Zeneca - Bayport</v>
          </cell>
          <cell r="C117">
            <v>2.9155234680957241E-2</v>
          </cell>
          <cell r="D117">
            <v>3.2876693767015595E-2</v>
          </cell>
        </row>
        <row r="118">
          <cell r="A118">
            <v>26109</v>
          </cell>
          <cell r="B118" t="str">
            <v>M G Industries - Bayport</v>
          </cell>
          <cell r="C118">
            <v>1.9181075447998186E-2</v>
          </cell>
          <cell r="D118">
            <v>2.1629403794089213E-2</v>
          </cell>
        </row>
        <row r="119">
          <cell r="A119">
            <v>26127</v>
          </cell>
          <cell r="B119" t="str">
            <v>Capital - Bayport</v>
          </cell>
          <cell r="C119">
            <v>67.769929699999992</v>
          </cell>
          <cell r="D119">
            <v>63.157859078740493</v>
          </cell>
        </row>
        <row r="120">
          <cell r="A120">
            <v>26215</v>
          </cell>
          <cell r="B120" t="str">
            <v>Hoechst - Bayport - HPL</v>
          </cell>
          <cell r="C120">
            <v>31.586607399999998</v>
          </cell>
          <cell r="D120">
            <v>30.281165311724894</v>
          </cell>
        </row>
        <row r="121">
          <cell r="A121">
            <v>26035</v>
          </cell>
          <cell r="B121" t="str">
            <v>Hoechst - Bayport - CIG</v>
          </cell>
          <cell r="C121">
            <v>36.079007799999999</v>
          </cell>
          <cell r="D121">
            <v>33.946356144514468</v>
          </cell>
        </row>
        <row r="122">
          <cell r="A122">
            <v>26059</v>
          </cell>
          <cell r="B122" t="str">
            <v>HPL - Bayport System</v>
          </cell>
          <cell r="C122">
            <v>15.370023399999999</v>
          </cell>
          <cell r="D122">
            <v>14.707994579980662</v>
          </cell>
        </row>
        <row r="123">
          <cell r="A123">
            <v>26056</v>
          </cell>
          <cell r="B123" t="str">
            <v>Goodyear - Bayport</v>
          </cell>
          <cell r="C123">
            <v>0</v>
          </cell>
          <cell r="D123">
            <v>0</v>
          </cell>
        </row>
        <row r="124">
          <cell r="A124">
            <v>26099</v>
          </cell>
          <cell r="B124" t="str">
            <v>Rohm &amp;Haas - Bayport</v>
          </cell>
          <cell r="C124">
            <v>0</v>
          </cell>
          <cell r="D124">
            <v>0</v>
          </cell>
        </row>
        <row r="125">
          <cell r="A125">
            <v>26186</v>
          </cell>
          <cell r="B125" t="str">
            <v>Rohm &amp; Hass - Bayport</v>
          </cell>
          <cell r="C125">
            <v>1.62786487</v>
          </cell>
          <cell r="D125">
            <v>0.86620123543243854</v>
          </cell>
        </row>
        <row r="126">
          <cell r="A126">
            <v>26030</v>
          </cell>
          <cell r="B126" t="str">
            <v>HPL - La Porte City Gate</v>
          </cell>
          <cell r="C126">
            <v>6.2913927469434042E-2</v>
          </cell>
          <cell r="D126">
            <v>7.0944444444612606E-2</v>
          </cell>
        </row>
        <row r="127">
          <cell r="A127">
            <v>26149</v>
          </cell>
          <cell r="B127" t="str">
            <v>Laurel - La Porte</v>
          </cell>
          <cell r="C127">
            <v>0.30689720716797098</v>
          </cell>
          <cell r="D127">
            <v>0.34607046070542741</v>
          </cell>
        </row>
        <row r="128">
          <cell r="A128">
            <v>26198</v>
          </cell>
          <cell r="B128" t="str">
            <v>Air Products - La Porte</v>
          </cell>
          <cell r="C128">
            <v>8.0326816399999998</v>
          </cell>
          <cell r="D128">
            <v>7.8962904622021091</v>
          </cell>
        </row>
        <row r="129">
          <cell r="A129">
            <v>26203</v>
          </cell>
          <cell r="B129" t="str">
            <v>Quantum - La Porte</v>
          </cell>
          <cell r="C129">
            <v>30.275509800000002</v>
          </cell>
          <cell r="D129">
            <v>30.317043240135352</v>
          </cell>
        </row>
        <row r="130">
          <cell r="A130">
            <v>26190</v>
          </cell>
          <cell r="B130" t="str">
            <v>Oxy Chemical - Battleground</v>
          </cell>
          <cell r="C130">
            <v>8.6553261700000004</v>
          </cell>
          <cell r="D130">
            <v>8.6620123543243857</v>
          </cell>
        </row>
        <row r="131">
          <cell r="A131">
            <v>16068</v>
          </cell>
          <cell r="B131" t="str">
            <v>Midcon - Deer Park</v>
          </cell>
          <cell r="C131">
            <v>0</v>
          </cell>
          <cell r="D131">
            <v>0</v>
          </cell>
        </row>
        <row r="132">
          <cell r="A132">
            <v>26165</v>
          </cell>
          <cell r="B132" t="str">
            <v>Rohm &amp;Haas - Deer Park</v>
          </cell>
          <cell r="C132">
            <v>22.491005900000001</v>
          </cell>
          <cell r="D132">
            <v>22.521232121243404</v>
          </cell>
        </row>
        <row r="133">
          <cell r="A133">
            <v>26166</v>
          </cell>
          <cell r="B133" t="str">
            <v>Dupont - Deer Park</v>
          </cell>
          <cell r="C133">
            <v>4.3172143599999995</v>
          </cell>
          <cell r="D133">
            <v>4.3310061771621928</v>
          </cell>
        </row>
        <row r="134">
          <cell r="A134">
            <v>26025</v>
          </cell>
          <cell r="B134" t="str">
            <v>Lubrizol - Deer Park</v>
          </cell>
          <cell r="C134">
            <v>0</v>
          </cell>
          <cell r="D134">
            <v>0</v>
          </cell>
        </row>
        <row r="135">
          <cell r="A135">
            <v>26147</v>
          </cell>
          <cell r="B135" t="str">
            <v>Shell Oil - Deer Park</v>
          </cell>
          <cell r="C135">
            <v>0</v>
          </cell>
          <cell r="D135">
            <v>0</v>
          </cell>
        </row>
        <row r="136">
          <cell r="A136">
            <v>26212</v>
          </cell>
          <cell r="B136" t="str">
            <v>Calpine - Pasedena</v>
          </cell>
          <cell r="C136">
            <v>0</v>
          </cell>
          <cell r="D136">
            <v>0</v>
          </cell>
        </row>
        <row r="137">
          <cell r="A137">
            <v>26158</v>
          </cell>
          <cell r="B137" t="str">
            <v>Able Marle - Deer Park</v>
          </cell>
          <cell r="C137">
            <v>9.9611171900000013</v>
          </cell>
          <cell r="D137">
            <v>8.6620123543243857</v>
          </cell>
        </row>
        <row r="138">
          <cell r="A138">
            <v>26189</v>
          </cell>
          <cell r="B138" t="str">
            <v>Georgia - Pasadena</v>
          </cell>
          <cell r="C138">
            <v>0</v>
          </cell>
          <cell r="D138">
            <v>0</v>
          </cell>
        </row>
        <row r="139">
          <cell r="A139">
            <v>26188</v>
          </cell>
          <cell r="B139" t="str">
            <v>Oxy Chemical - Deer Park</v>
          </cell>
          <cell r="C139">
            <v>6.7687402300000006</v>
          </cell>
          <cell r="D139">
            <v>4.3310061771621928</v>
          </cell>
        </row>
        <row r="140">
          <cell r="A140">
            <v>26187</v>
          </cell>
          <cell r="B140" t="str">
            <v>Shell Oil - Deer Park Cogen</v>
          </cell>
          <cell r="C140">
            <v>0</v>
          </cell>
          <cell r="D140">
            <v>0</v>
          </cell>
        </row>
        <row r="141">
          <cell r="A141">
            <v>26202</v>
          </cell>
          <cell r="B141" t="str">
            <v>Lyondell - CITGO Plant</v>
          </cell>
          <cell r="C141">
            <v>0</v>
          </cell>
          <cell r="D141">
            <v>0</v>
          </cell>
        </row>
        <row r="142">
          <cell r="A142">
            <v>26204</v>
          </cell>
          <cell r="B142" t="str">
            <v>Air Products - Pasadena</v>
          </cell>
          <cell r="C142">
            <v>8.6122685499999996</v>
          </cell>
          <cell r="D142">
            <v>8.6620123543243857</v>
          </cell>
        </row>
        <row r="143">
          <cell r="A143">
            <v>26153</v>
          </cell>
          <cell r="B143" t="str">
            <v>Enron - Methanol Plant</v>
          </cell>
          <cell r="C143">
            <v>36.273332000000003</v>
          </cell>
          <cell r="D143">
            <v>29.45084200470291</v>
          </cell>
        </row>
        <row r="144">
          <cell r="A144">
            <v>26001</v>
          </cell>
          <cell r="B144" t="str">
            <v>Oxy Chem - Pasadena</v>
          </cell>
          <cell r="C144">
            <v>3.1087121600000001</v>
          </cell>
          <cell r="D144">
            <v>1.7324024708648771</v>
          </cell>
        </row>
        <row r="145">
          <cell r="A145">
            <v>26114</v>
          </cell>
          <cell r="B145" t="str">
            <v>Aristech - Pasadena</v>
          </cell>
          <cell r="C145">
            <v>6.7758671900000005</v>
          </cell>
          <cell r="D145">
            <v>6.4965092657432892</v>
          </cell>
        </row>
        <row r="146">
          <cell r="A146">
            <v>26082</v>
          </cell>
          <cell r="B146" t="str">
            <v>Amoco - Lomax #2</v>
          </cell>
          <cell r="C146">
            <v>0</v>
          </cell>
          <cell r="D146">
            <v>0</v>
          </cell>
        </row>
        <row r="147">
          <cell r="A147">
            <v>26044</v>
          </cell>
          <cell r="B147" t="str">
            <v xml:space="preserve">HPL - La Porte </v>
          </cell>
          <cell r="C147">
            <v>0</v>
          </cell>
          <cell r="D147">
            <v>0</v>
          </cell>
        </row>
        <row r="148">
          <cell r="A148">
            <v>16226</v>
          </cell>
          <cell r="B148" t="str">
            <v>HPL - La Porte</v>
          </cell>
          <cell r="C148">
            <v>0</v>
          </cell>
          <cell r="D148">
            <v>0</v>
          </cell>
        </row>
        <row r="149">
          <cell r="A149">
            <v>26006</v>
          </cell>
          <cell r="B149" t="str">
            <v>Enron - MTBE Plant</v>
          </cell>
          <cell r="C149">
            <v>8.7399726599999994</v>
          </cell>
          <cell r="D149">
            <v>7.7865853658721154</v>
          </cell>
        </row>
        <row r="150">
          <cell r="A150">
            <v>26037</v>
          </cell>
          <cell r="B150" t="str">
            <v>Monsanto - Baytown</v>
          </cell>
          <cell r="C150">
            <v>7.672430179199274E-4</v>
          </cell>
          <cell r="D150">
            <v>8.6517615176356845E-4</v>
          </cell>
        </row>
        <row r="151">
          <cell r="A151">
            <v>26045</v>
          </cell>
          <cell r="B151" t="str">
            <v>US Steel - Baytown</v>
          </cell>
          <cell r="C151">
            <v>3.9607983400000002</v>
          </cell>
          <cell r="D151">
            <v>5.0054876136838615</v>
          </cell>
        </row>
        <row r="152">
          <cell r="A152">
            <v>16355</v>
          </cell>
          <cell r="B152" t="str">
            <v>Vintage - Baytown</v>
          </cell>
          <cell r="C152">
            <v>7.5213217800000001</v>
          </cell>
          <cell r="D152">
            <v>9.3356439394160677</v>
          </cell>
        </row>
        <row r="153">
          <cell r="A153">
            <v>26084</v>
          </cell>
          <cell r="B153" t="str">
            <v>HL&amp;P - Cedar Bayou</v>
          </cell>
          <cell r="C153">
            <v>9.9012626999999984</v>
          </cell>
          <cell r="D153">
            <v>0</v>
          </cell>
        </row>
        <row r="154">
          <cell r="A154">
            <v>26106</v>
          </cell>
          <cell r="B154" t="str">
            <v>HL&amp;P - Cedar Bayou</v>
          </cell>
          <cell r="C154">
            <v>48.662582000000008</v>
          </cell>
          <cell r="D154">
            <v>60.473724522279738</v>
          </cell>
        </row>
        <row r="155">
          <cell r="A155">
            <v>26058</v>
          </cell>
          <cell r="B155" t="str">
            <v>Bayer - Cedar Bayou Plant</v>
          </cell>
          <cell r="C155">
            <v>6.3862343800000003</v>
          </cell>
          <cell r="D155">
            <v>8.6517615176356841</v>
          </cell>
        </row>
        <row r="156">
          <cell r="A156">
            <v>26138</v>
          </cell>
          <cell r="B156" t="str">
            <v>Bayer - Cedar Bayou Plant</v>
          </cell>
          <cell r="C156">
            <v>0</v>
          </cell>
          <cell r="D156">
            <v>0</v>
          </cell>
        </row>
        <row r="157">
          <cell r="A157">
            <v>26185</v>
          </cell>
          <cell r="B157" t="str">
            <v>Bayer - Cedar Bayou Plant</v>
          </cell>
          <cell r="C157">
            <v>3.7278266600000003</v>
          </cell>
          <cell r="D157">
            <v>3.4607046070542733</v>
          </cell>
        </row>
        <row r="158">
          <cell r="A158">
            <v>26026</v>
          </cell>
          <cell r="B158" t="str">
            <v>HPL - Warren Delivery</v>
          </cell>
          <cell r="C158">
            <v>17.719749999999998</v>
          </cell>
          <cell r="D158">
            <v>19.899051490562073</v>
          </cell>
        </row>
        <row r="159">
          <cell r="A159">
            <v>16345</v>
          </cell>
          <cell r="B159" t="str">
            <v>Ace - Cotton Lake</v>
          </cell>
          <cell r="C159">
            <v>3.0689720716797105E-2</v>
          </cell>
          <cell r="D159">
            <v>3.4607046070542741E-2</v>
          </cell>
        </row>
        <row r="160">
          <cell r="A160">
            <v>16365</v>
          </cell>
          <cell r="B160" t="str">
            <v>Central Point - Garth A1</v>
          </cell>
          <cell r="C160">
            <v>5.5678825810449135</v>
          </cell>
          <cell r="D160">
            <v>6.2785833333482151</v>
          </cell>
        </row>
        <row r="161">
          <cell r="A161">
            <v>16357</v>
          </cell>
          <cell r="B161" t="str">
            <v>Hil-Corp - Cotton Lake</v>
          </cell>
          <cell r="C161">
            <v>1.0480539624786209</v>
          </cell>
          <cell r="D161">
            <v>1.1818306233090343</v>
          </cell>
        </row>
        <row r="162">
          <cell r="A162">
            <v>16001</v>
          </cell>
          <cell r="B162" t="str">
            <v>Duer Wagner - Alligator Bayou</v>
          </cell>
          <cell r="C162">
            <v>0.12966407002846778</v>
          </cell>
          <cell r="D162">
            <v>0.14621476964804309</v>
          </cell>
        </row>
        <row r="163">
          <cell r="A163">
            <v>16297</v>
          </cell>
          <cell r="B163" t="str">
            <v>PacifiCorp - Moss Bluff With</v>
          </cell>
          <cell r="C163">
            <v>0</v>
          </cell>
          <cell r="D163">
            <v>0</v>
          </cell>
        </row>
        <row r="164">
          <cell r="A164">
            <v>26164</v>
          </cell>
          <cell r="B164" t="str">
            <v>PacifiCorp - Moss Bluff Inj</v>
          </cell>
          <cell r="C164">
            <v>11.3800098</v>
          </cell>
          <cell r="D164">
            <v>9.7706116546664354</v>
          </cell>
        </row>
        <row r="165">
          <cell r="A165">
            <v>16346</v>
          </cell>
          <cell r="B165" t="str">
            <v>Ames - South Raywood Fild</v>
          </cell>
          <cell r="C165">
            <v>0.21252631596381993</v>
          </cell>
          <cell r="D165">
            <v>0.23965379403850845</v>
          </cell>
        </row>
        <row r="166">
          <cell r="A166">
            <v>16083</v>
          </cell>
          <cell r="B166" t="str">
            <v>Sun - Anahuac Field</v>
          </cell>
          <cell r="C166">
            <v>0</v>
          </cell>
          <cell r="D166">
            <v>0</v>
          </cell>
        </row>
        <row r="167">
          <cell r="A167">
            <v>16198</v>
          </cell>
          <cell r="B167" t="str">
            <v>DOW - Schoenjahn</v>
          </cell>
          <cell r="C167">
            <v>0</v>
          </cell>
          <cell r="D167">
            <v>0</v>
          </cell>
        </row>
        <row r="168">
          <cell r="A168">
            <v>16128</v>
          </cell>
          <cell r="B168" t="str">
            <v>Gulf Energy - Walla Boyt</v>
          </cell>
          <cell r="C168">
            <v>0.1120174806163094</v>
          </cell>
          <cell r="D168">
            <v>0.12631571815748097</v>
          </cell>
        </row>
        <row r="169">
          <cell r="A169">
            <v>16324</v>
          </cell>
          <cell r="B169" t="str">
            <v>Sun - W.C. White</v>
          </cell>
          <cell r="C169">
            <v>0.1005088353475105</v>
          </cell>
          <cell r="D169">
            <v>0.11333807588102746</v>
          </cell>
        </row>
        <row r="170">
          <cell r="A170">
            <v>16223</v>
          </cell>
          <cell r="B170" t="str">
            <v>Sun - Blanke Field</v>
          </cell>
          <cell r="C170">
            <v>3.9129393913916295E-2</v>
          </cell>
          <cell r="D170">
            <v>4.4123983739941981E-2</v>
          </cell>
        </row>
        <row r="171">
          <cell r="A171">
            <v>16168</v>
          </cell>
          <cell r="B171" t="str">
            <v>Midcon - Devers</v>
          </cell>
          <cell r="C171">
            <v>0</v>
          </cell>
          <cell r="D171">
            <v>0</v>
          </cell>
        </row>
        <row r="172">
          <cell r="A172">
            <v>16219</v>
          </cell>
          <cell r="B172" t="str">
            <v>Mobil - Dunagen #1</v>
          </cell>
          <cell r="C172">
            <v>0</v>
          </cell>
          <cell r="D172">
            <v>0</v>
          </cell>
        </row>
        <row r="173">
          <cell r="A173">
            <v>26015</v>
          </cell>
          <cell r="B173" t="str">
            <v>Southern Union - Nome City</v>
          </cell>
          <cell r="C173">
            <v>3.8362150895996372E-2</v>
          </cell>
          <cell r="D173">
            <v>4.3258807588178426E-2</v>
          </cell>
        </row>
        <row r="174">
          <cell r="A174">
            <v>26016</v>
          </cell>
          <cell r="B174" t="str">
            <v>Entex - China City</v>
          </cell>
          <cell r="C174">
            <v>3.8362150895996372E-2</v>
          </cell>
          <cell r="D174">
            <v>4.3258807588178426E-2</v>
          </cell>
        </row>
        <row r="175">
          <cell r="A175">
            <v>16331</v>
          </cell>
          <cell r="B175" t="str">
            <v>Cokinos - China</v>
          </cell>
          <cell r="C175">
            <v>3.3691823699999999</v>
          </cell>
          <cell r="D175">
            <v>3.5311714429445189</v>
          </cell>
        </row>
        <row r="176">
          <cell r="A176">
            <v>26055</v>
          </cell>
          <cell r="B176" t="str">
            <v>Midcon - West Beaumont</v>
          </cell>
          <cell r="C176">
            <v>0</v>
          </cell>
          <cell r="D176">
            <v>0</v>
          </cell>
        </row>
        <row r="177">
          <cell r="A177">
            <v>26021</v>
          </cell>
          <cell r="B177" t="str">
            <v>HPL - Beaumont</v>
          </cell>
          <cell r="C177">
            <v>11.1034443</v>
          </cell>
          <cell r="D177">
            <v>12.977642276453526</v>
          </cell>
        </row>
        <row r="178">
          <cell r="A178">
            <v>16363</v>
          </cell>
          <cell r="B178" t="str">
            <v>Tri C - Adams Field</v>
          </cell>
          <cell r="C178">
            <v>5.3707011254394928E-2</v>
          </cell>
          <cell r="D178">
            <v>6.0562330623449789E-2</v>
          </cell>
        </row>
        <row r="179">
          <cell r="A179">
            <v>16317</v>
          </cell>
          <cell r="B179" t="str">
            <v>Cokinos - Beaumont</v>
          </cell>
          <cell r="C179">
            <v>5.5241497290234774E-2</v>
          </cell>
          <cell r="D179">
            <v>6.2292682926976921E-2</v>
          </cell>
        </row>
        <row r="180">
          <cell r="A180">
            <v>16335</v>
          </cell>
          <cell r="B180" t="str">
            <v>HPL - Texoma</v>
          </cell>
          <cell r="C180">
            <v>61.868148399999995</v>
          </cell>
          <cell r="D180">
            <v>69.214092141085473</v>
          </cell>
        </row>
        <row r="181">
          <cell r="A181">
            <v>26199</v>
          </cell>
          <cell r="B181" t="str">
            <v>Vastar - Big Thicket Plant</v>
          </cell>
          <cell r="C181">
            <v>0</v>
          </cell>
          <cell r="D181">
            <v>0</v>
          </cell>
        </row>
        <row r="182">
          <cell r="A182">
            <v>16350</v>
          </cell>
          <cell r="B182" t="str">
            <v>Vastar - Big Thicket Plant</v>
          </cell>
          <cell r="C182">
            <v>8.79787988</v>
          </cell>
          <cell r="D182">
            <v>10.261731345340227</v>
          </cell>
        </row>
        <row r="183">
          <cell r="A183">
            <v>16362</v>
          </cell>
          <cell r="B183" t="str">
            <v>Amerada - Vidor Plant</v>
          </cell>
          <cell r="C183">
            <v>0</v>
          </cell>
          <cell r="D183">
            <v>0</v>
          </cell>
        </row>
        <row r="184">
          <cell r="A184">
            <v>16181</v>
          </cell>
          <cell r="B184" t="str">
            <v>Poynor - Singleton #1</v>
          </cell>
          <cell r="C184">
            <v>0</v>
          </cell>
          <cell r="D184">
            <v>0</v>
          </cell>
        </row>
        <row r="185">
          <cell r="A185">
            <v>16204</v>
          </cell>
          <cell r="B185" t="str">
            <v>Texaco - AS Common</v>
          </cell>
          <cell r="C185">
            <v>0.11508645268798912</v>
          </cell>
          <cell r="D185">
            <v>0.12977642276453524</v>
          </cell>
        </row>
        <row r="186">
          <cell r="A186">
            <v>16272</v>
          </cell>
          <cell r="B186" t="str">
            <v>TXP - EF Williams #1</v>
          </cell>
          <cell r="C186">
            <v>0.45267338057275719</v>
          </cell>
          <cell r="D186">
            <v>0.51045392954050528</v>
          </cell>
        </row>
        <row r="187">
          <cell r="A187">
            <v>26126</v>
          </cell>
          <cell r="B187" t="str">
            <v>Gulf States Utility</v>
          </cell>
          <cell r="C187">
            <v>36.488894500000001</v>
          </cell>
          <cell r="D187">
            <v>36.665998931710838</v>
          </cell>
        </row>
        <row r="188">
          <cell r="A188">
            <v>16308</v>
          </cell>
          <cell r="B188" t="str">
            <v>Greenhill - Champion #1</v>
          </cell>
          <cell r="C188">
            <v>9.0534676114551446E-2</v>
          </cell>
          <cell r="D188">
            <v>0.10209078590810107</v>
          </cell>
        </row>
        <row r="189">
          <cell r="A189">
            <v>26051</v>
          </cell>
          <cell r="B189" t="str">
            <v>Entex - Mauriceville</v>
          </cell>
          <cell r="C189">
            <v>0</v>
          </cell>
          <cell r="D189">
            <v>0</v>
          </cell>
        </row>
        <row r="190">
          <cell r="A190">
            <v>16188</v>
          </cell>
          <cell r="B190" t="str">
            <v>PG&amp;E - Long Prairie Field</v>
          </cell>
          <cell r="C190">
            <v>0.24168155064477717</v>
          </cell>
          <cell r="D190">
            <v>0.27253048780552408</v>
          </cell>
        </row>
        <row r="191">
          <cell r="A191">
            <v>16359</v>
          </cell>
          <cell r="B191" t="str">
            <v>Cokinos - Starks Found #2</v>
          </cell>
          <cell r="C191">
            <v>0.87465704042871717</v>
          </cell>
          <cell r="D191">
            <v>0.9863008130104679</v>
          </cell>
        </row>
        <row r="192">
          <cell r="A192">
            <v>16360</v>
          </cell>
          <cell r="B192" t="str">
            <v>Cokinos - Starks Found #1</v>
          </cell>
          <cell r="C192">
            <v>0.99434695122422601</v>
          </cell>
          <cell r="D192">
            <v>1.1212682926855848</v>
          </cell>
        </row>
        <row r="193">
          <cell r="A193">
            <v>16319</v>
          </cell>
          <cell r="B193" t="str">
            <v>Manuel</v>
          </cell>
          <cell r="C193">
            <v>6.6750142559033679E-2</v>
          </cell>
          <cell r="D193">
            <v>7.5270325203430438E-2</v>
          </cell>
        </row>
        <row r="194">
          <cell r="A194">
            <v>26167</v>
          </cell>
          <cell r="B194" t="str">
            <v>Centana - Orange Deliveries</v>
          </cell>
          <cell r="C194">
            <v>0</v>
          </cell>
          <cell r="D194">
            <v>0</v>
          </cell>
        </row>
        <row r="195">
          <cell r="A195">
            <v>26169</v>
          </cell>
          <cell r="B195" t="str">
            <v>Sabine - Orange Exchange</v>
          </cell>
          <cell r="C195">
            <v>0</v>
          </cell>
          <cell r="D195">
            <v>0</v>
          </cell>
        </row>
        <row r="196">
          <cell r="A196">
            <v>26178</v>
          </cell>
          <cell r="B196" t="str">
            <v>Bayer - Orange</v>
          </cell>
          <cell r="C196">
            <v>0</v>
          </cell>
          <cell r="D196">
            <v>0</v>
          </cell>
        </row>
        <row r="197">
          <cell r="A197">
            <v>26157</v>
          </cell>
          <cell r="B197" t="str">
            <v>Dupont - Sabine River</v>
          </cell>
          <cell r="C197">
            <v>4.2914243200000008</v>
          </cell>
          <cell r="D197">
            <v>4.2775590315253043</v>
          </cell>
        </row>
        <row r="198">
          <cell r="A198">
            <v>16330</v>
          </cell>
          <cell r="B198" t="str">
            <v>Hankamer</v>
          </cell>
          <cell r="C198">
            <v>0</v>
          </cell>
          <cell r="D198">
            <v>0</v>
          </cell>
        </row>
        <row r="199">
          <cell r="A199">
            <v>16352</v>
          </cell>
          <cell r="B199" t="str">
            <v>Cokinos - Bledsoe Lindsey #1</v>
          </cell>
          <cell r="C199">
            <v>0</v>
          </cell>
          <cell r="D199">
            <v>0.1935983959316013</v>
          </cell>
        </row>
        <row r="200">
          <cell r="A200">
            <v>16312</v>
          </cell>
          <cell r="B200" t="str">
            <v>Sedona - Hartburg #2</v>
          </cell>
          <cell r="C200">
            <v>0</v>
          </cell>
          <cell r="D200">
            <v>0</v>
          </cell>
        </row>
        <row r="201">
          <cell r="A201">
            <v>16307</v>
          </cell>
          <cell r="B201" t="str">
            <v>Exxon - Arbor</v>
          </cell>
          <cell r="C201">
            <v>0</v>
          </cell>
          <cell r="D201">
            <v>0</v>
          </cell>
        </row>
        <row r="202">
          <cell r="A202">
            <v>26033</v>
          </cell>
          <cell r="B202" t="str">
            <v>Inland Orange - Inland Container</v>
          </cell>
          <cell r="C202">
            <v>10.959125999999999</v>
          </cell>
          <cell r="D202">
            <v>8.3977798821747864</v>
          </cell>
        </row>
        <row r="203">
          <cell r="A203">
            <v>16316</v>
          </cell>
          <cell r="B203" t="str">
            <v>Cokinos - Rachel Hudson</v>
          </cell>
          <cell r="C203">
            <v>8.3629488953272088E-2</v>
          </cell>
          <cell r="D203">
            <v>9.4304200542228961E-2</v>
          </cell>
        </row>
        <row r="204">
          <cell r="A204">
            <v>16353</v>
          </cell>
          <cell r="B204" t="str">
            <v>Tri C - Hankamer #2</v>
          </cell>
          <cell r="C204">
            <v>0</v>
          </cell>
          <cell r="D204">
            <v>0</v>
          </cell>
        </row>
        <row r="205">
          <cell r="A205">
            <v>16179</v>
          </cell>
          <cell r="B205" t="str">
            <v>TGP - Sabine River</v>
          </cell>
          <cell r="C205">
            <v>0</v>
          </cell>
          <cell r="D205">
            <v>0</v>
          </cell>
        </row>
        <row r="206">
          <cell r="A206">
            <v>26156</v>
          </cell>
          <cell r="B206" t="str">
            <v>TGP - Sabine River</v>
          </cell>
          <cell r="C206">
            <v>0</v>
          </cell>
          <cell r="D206">
            <v>0</v>
          </cell>
        </row>
        <row r="207">
          <cell r="A207">
            <v>26040</v>
          </cell>
          <cell r="B207" t="str">
            <v>D&amp;H - Deweyville City</v>
          </cell>
          <cell r="C207">
            <v>3.6827664860156518E-2</v>
          </cell>
          <cell r="D207">
            <v>4.1528455284651281E-2</v>
          </cell>
        </row>
        <row r="208">
          <cell r="A208">
            <v>626083</v>
          </cell>
          <cell r="B208" t="str">
            <v>Equistar - Corpus Christi Gas Temp</v>
          </cell>
          <cell r="C208">
            <v>79.712676999999999</v>
          </cell>
          <cell r="D208">
            <v>79.712676999999999</v>
          </cell>
        </row>
        <row r="209">
          <cell r="A209">
            <v>616340</v>
          </cell>
          <cell r="B209" t="str">
            <v>Copano - Copano Bay Gas Temp</v>
          </cell>
          <cell r="C209">
            <v>0</v>
          </cell>
          <cell r="D209">
            <v>0</v>
          </cell>
        </row>
        <row r="210">
          <cell r="A210">
            <v>608042</v>
          </cell>
          <cell r="B210" t="str">
            <v>804 Disch Temp</v>
          </cell>
          <cell r="C210">
            <v>5.8000002000000004</v>
          </cell>
          <cell r="D210">
            <v>5.8000002000000004</v>
          </cell>
        </row>
        <row r="211">
          <cell r="A211">
            <v>608061</v>
          </cell>
          <cell r="B211" t="str">
            <v>806 Suct Temp</v>
          </cell>
          <cell r="C211">
            <v>82.487899999999996</v>
          </cell>
          <cell r="D211">
            <v>82.487899999999996</v>
          </cell>
        </row>
        <row r="212">
          <cell r="A212">
            <v>608062</v>
          </cell>
          <cell r="B212" t="str">
            <v>806 Disch Temp</v>
          </cell>
          <cell r="C212">
            <v>117.204002</v>
          </cell>
          <cell r="D212">
            <v>117.204002</v>
          </cell>
        </row>
        <row r="213">
          <cell r="A213">
            <v>608091</v>
          </cell>
          <cell r="B213" t="str">
            <v>809 Suct Temp</v>
          </cell>
          <cell r="C213">
            <v>85.362899999999996</v>
          </cell>
          <cell r="D213">
            <v>85.362899999999996</v>
          </cell>
        </row>
        <row r="214">
          <cell r="A214">
            <v>608092</v>
          </cell>
          <cell r="B214" t="str">
            <v>809 Disch Temp</v>
          </cell>
          <cell r="C214">
            <v>84.801299999999998</v>
          </cell>
          <cell r="D214">
            <v>84.801299999999998</v>
          </cell>
        </row>
        <row r="215">
          <cell r="A215">
            <v>616088</v>
          </cell>
          <cell r="B215" t="str">
            <v>Dow - Julliff Gas Temp</v>
          </cell>
          <cell r="C215">
            <v>79.162193299999998</v>
          </cell>
          <cell r="D215">
            <v>79.162193299999998</v>
          </cell>
        </row>
        <row r="216">
          <cell r="A216">
            <v>626006</v>
          </cell>
          <cell r="B216" t="str">
            <v>Enron Methanol Gas Temp</v>
          </cell>
          <cell r="C216">
            <v>78.262619000000001</v>
          </cell>
          <cell r="D216">
            <v>78.262619000000001</v>
          </cell>
        </row>
        <row r="217">
          <cell r="A217">
            <v>626157</v>
          </cell>
          <cell r="B217" t="str">
            <v>Dupont Sabine Gas Temp</v>
          </cell>
          <cell r="C217">
            <v>74.543502799999999</v>
          </cell>
          <cell r="D217">
            <v>74.543502799999999</v>
          </cell>
        </row>
        <row r="218">
          <cell r="A218">
            <v>616179</v>
          </cell>
          <cell r="B218" t="str">
            <v>TGP Sabine Gas Temp</v>
          </cell>
          <cell r="C218">
            <v>51.987110100000002</v>
          </cell>
          <cell r="D218">
            <v>51.987110100000002</v>
          </cell>
        </row>
        <row r="219">
          <cell r="A219">
            <v>8260812</v>
          </cell>
          <cell r="B219" t="str">
            <v>TGP Agua Dulce Pressure</v>
          </cell>
          <cell r="C219">
            <v>823.84533699999997</v>
          </cell>
          <cell r="D219">
            <v>823.84533699999997</v>
          </cell>
        </row>
        <row r="220">
          <cell r="A220">
            <v>8261142</v>
          </cell>
          <cell r="B220" t="str">
            <v>Aristech - Pasadena Disch Pressure</v>
          </cell>
          <cell r="C220">
            <v>595.4375</v>
          </cell>
          <cell r="D220">
            <v>595.4375</v>
          </cell>
        </row>
        <row r="221">
          <cell r="A221">
            <v>8261532</v>
          </cell>
          <cell r="B221" t="str">
            <v>Enron - Methanol Discharge Pressure</v>
          </cell>
          <cell r="C221">
            <v>598.28143299999999</v>
          </cell>
          <cell r="D221">
            <v>598.28143299999999</v>
          </cell>
        </row>
        <row r="222">
          <cell r="A222">
            <v>8261672</v>
          </cell>
          <cell r="B222" t="str">
            <v>Centana - Orange Delivery Pressure</v>
          </cell>
          <cell r="C222">
            <v>634.80127000000005</v>
          </cell>
          <cell r="D222">
            <v>634.80127000000005</v>
          </cell>
        </row>
        <row r="223">
          <cell r="A223">
            <v>8261572</v>
          </cell>
          <cell r="B223" t="str">
            <v>Dupont - Sabine Disch Pressure</v>
          </cell>
          <cell r="C223">
            <v>632.65307600000006</v>
          </cell>
          <cell r="D223">
            <v>632.65307600000006</v>
          </cell>
        </row>
        <row r="224">
          <cell r="A224">
            <v>8261562</v>
          </cell>
          <cell r="B224" t="str">
            <v>TGP - Sabine Disch Pressure</v>
          </cell>
          <cell r="C224">
            <v>876.47686799999997</v>
          </cell>
          <cell r="D224">
            <v>876.47686799999997</v>
          </cell>
        </row>
        <row r="225">
          <cell r="A225">
            <v>8008001</v>
          </cell>
          <cell r="B225" t="str">
            <v>800 Suction Pressure</v>
          </cell>
          <cell r="C225">
            <v>824.65087900000003</v>
          </cell>
          <cell r="D225">
            <v>824.65087900000003</v>
          </cell>
        </row>
        <row r="226">
          <cell r="A226">
            <v>8008021</v>
          </cell>
          <cell r="B226" t="str">
            <v>802 Suction Pressure</v>
          </cell>
          <cell r="C226">
            <v>786.78839100000005</v>
          </cell>
          <cell r="D226">
            <v>786.78839100000005</v>
          </cell>
        </row>
        <row r="227">
          <cell r="A227">
            <v>8008022</v>
          </cell>
          <cell r="B227" t="str">
            <v>802 Discharge Pressure</v>
          </cell>
          <cell r="C227">
            <v>787.05694600000004</v>
          </cell>
          <cell r="D227">
            <v>787.05694600000004</v>
          </cell>
        </row>
        <row r="228">
          <cell r="A228">
            <v>8008041</v>
          </cell>
          <cell r="B228" t="str">
            <v>804 Suction Pressure</v>
          </cell>
          <cell r="C228">
            <v>738</v>
          </cell>
          <cell r="D228">
            <v>738</v>
          </cell>
        </row>
        <row r="229">
          <cell r="A229">
            <v>8008042</v>
          </cell>
          <cell r="B229" t="str">
            <v>804 Discharge Pressure</v>
          </cell>
          <cell r="C229">
            <v>736</v>
          </cell>
          <cell r="D229">
            <v>736</v>
          </cell>
        </row>
        <row r="230">
          <cell r="A230">
            <v>8008061</v>
          </cell>
          <cell r="B230" t="str">
            <v>806 Suction Pressure</v>
          </cell>
          <cell r="C230">
            <v>699.99401899999998</v>
          </cell>
          <cell r="D230">
            <v>699.99401899999998</v>
          </cell>
        </row>
        <row r="231">
          <cell r="A231">
            <v>8008062</v>
          </cell>
          <cell r="B231" t="str">
            <v>806 Discharge Pressure</v>
          </cell>
          <cell r="C231">
            <v>888.78698699999995</v>
          </cell>
          <cell r="D231">
            <v>888.78698699999995</v>
          </cell>
        </row>
        <row r="232">
          <cell r="A232">
            <v>8008091</v>
          </cell>
          <cell r="B232" t="str">
            <v>809 Suction Pressure</v>
          </cell>
          <cell r="C232">
            <v>806.078979</v>
          </cell>
          <cell r="D232">
            <v>806.078979</v>
          </cell>
        </row>
        <row r="233">
          <cell r="A233">
            <v>8008092</v>
          </cell>
          <cell r="B233" t="str">
            <v>809 Discharge Pressure</v>
          </cell>
          <cell r="C233">
            <v>803.942993</v>
          </cell>
          <cell r="D233">
            <v>803.942993</v>
          </cell>
        </row>
        <row r="234">
          <cell r="A234">
            <v>8008132</v>
          </cell>
          <cell r="B234" t="str">
            <v>813 Discharge Pressure</v>
          </cell>
          <cell r="C234">
            <v>703.54455600000006</v>
          </cell>
          <cell r="D234">
            <v>703.54455600000006</v>
          </cell>
        </row>
        <row r="235">
          <cell r="A235">
            <v>8008121</v>
          </cell>
          <cell r="B235" t="str">
            <v>812-1-A Suction Pressure</v>
          </cell>
          <cell r="C235">
            <v>724.22131300000001</v>
          </cell>
          <cell r="D235">
            <v>724.22131300000001</v>
          </cell>
        </row>
        <row r="236">
          <cell r="A236">
            <v>8008122</v>
          </cell>
          <cell r="B236" t="str">
            <v>812-1-A Discharge Pressure</v>
          </cell>
          <cell r="C236">
            <v>719.11926300000005</v>
          </cell>
          <cell r="D236">
            <v>719.11926300000005</v>
          </cell>
        </row>
        <row r="237">
          <cell r="A237">
            <v>8560012</v>
          </cell>
          <cell r="B237" t="str">
            <v>Lomax Pressure</v>
          </cell>
          <cell r="C237">
            <v>632.78735400000005</v>
          </cell>
          <cell r="D237">
            <v>632.78735400000005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M60"/>
  <sheetViews>
    <sheetView showGridLines="0" showRowColHeaders="0" tabSelected="1" zoomScale="75" workbookViewId="0">
      <selection activeCell="D8" sqref="D8"/>
    </sheetView>
  </sheetViews>
  <sheetFormatPr defaultColWidth="12" defaultRowHeight="15.6"/>
  <cols>
    <col min="1" max="1" width="26" style="7" customWidth="1"/>
    <col min="2" max="2" width="13.33203125" style="7" customWidth="1"/>
    <col min="3" max="16384" width="12" style="7"/>
  </cols>
  <sheetData>
    <row r="1" spans="1:13">
      <c r="A1" s="1"/>
      <c r="B1" s="2"/>
      <c r="C1" s="2"/>
      <c r="D1" s="2"/>
      <c r="E1" s="3"/>
      <c r="F1" s="4"/>
      <c r="G1" s="5" t="s">
        <v>0</v>
      </c>
      <c r="H1" s="2"/>
      <c r="I1" s="2"/>
      <c r="J1" s="2"/>
      <c r="K1" s="2"/>
      <c r="L1" s="2"/>
      <c r="M1" s="6"/>
    </row>
    <row r="2" spans="1:13" ht="16.2" thickBot="1">
      <c r="A2" s="8"/>
      <c r="B2" s="9"/>
      <c r="C2" s="10"/>
      <c r="D2" s="11" t="s">
        <v>1</v>
      </c>
      <c r="E2" s="12"/>
      <c r="F2" s="13" t="str">
        <f>CONCATENATE("EPFS Allocation: ",'System Detail'!Y234)</f>
        <v>EPFS Allocation: Injection</v>
      </c>
      <c r="G2" s="14">
        <f>'System Detail'!Y235</f>
        <v>-1.7528768107831052</v>
      </c>
      <c r="H2" s="9"/>
      <c r="I2" s="9"/>
      <c r="J2" s="9"/>
      <c r="K2" s="9"/>
      <c r="L2" s="9"/>
      <c r="M2" s="15"/>
    </row>
    <row r="3" spans="1:13">
      <c r="A3" s="8"/>
      <c r="B3" s="9"/>
      <c r="C3" s="16" t="s">
        <v>2</v>
      </c>
      <c r="D3" s="17">
        <f>_sch11159+_sch6148+(_sch16088*-1)</f>
        <v>-67.082406250159011</v>
      </c>
      <c r="E3" s="9"/>
      <c r="F3" s="9"/>
      <c r="G3" s="9"/>
      <c r="H3" s="9"/>
      <c r="I3" s="9"/>
      <c r="J3" s="9"/>
      <c r="K3" s="9"/>
      <c r="L3" s="9"/>
      <c r="M3" s="15"/>
    </row>
    <row r="4" spans="1:13" ht="16.2" thickBot="1">
      <c r="A4" s="8"/>
      <c r="B4" s="9"/>
      <c r="C4" s="16" t="s">
        <v>3</v>
      </c>
      <c r="D4" s="18">
        <f>_act11159+_act56015+(_act16088*-1)</f>
        <v>-60.478388019185857</v>
      </c>
      <c r="E4" s="9"/>
      <c r="F4" s="9"/>
      <c r="G4" s="9"/>
      <c r="H4" s="9"/>
      <c r="I4" s="9"/>
      <c r="J4" s="9"/>
      <c r="K4" s="9"/>
      <c r="L4" s="9"/>
      <c r="M4" s="15"/>
    </row>
    <row r="5" spans="1:13" ht="16.2" thickTop="1">
      <c r="A5" s="19" t="s">
        <v>4</v>
      </c>
      <c r="B5" s="20">
        <f>'System Detail'!D2</f>
        <v>36795.375</v>
      </c>
      <c r="C5" s="21" t="s">
        <v>5</v>
      </c>
      <c r="D5" s="22">
        <f>D4-D3</f>
        <v>6.6040182309731534</v>
      </c>
      <c r="E5" s="9"/>
      <c r="F5" s="9"/>
      <c r="G5" s="9"/>
      <c r="H5" s="9"/>
      <c r="I5" s="9"/>
      <c r="J5" s="9"/>
      <c r="K5" s="9"/>
      <c r="L5" s="9"/>
      <c r="M5" s="15"/>
    </row>
    <row r="6" spans="1:13">
      <c r="A6" s="19" t="s">
        <v>6</v>
      </c>
      <c r="B6" s="435">
        <f>'System Detail'!D3</f>
        <v>36796.261805555558</v>
      </c>
      <c r="C6" s="435"/>
      <c r="D6" s="23"/>
      <c r="E6" s="9"/>
      <c r="F6" s="9"/>
      <c r="G6" s="9"/>
      <c r="H6" s="9"/>
      <c r="I6" s="9"/>
      <c r="J6" s="9"/>
      <c r="K6" s="9"/>
      <c r="L6" s="9"/>
      <c r="M6" s="15"/>
    </row>
    <row r="7" spans="1:13">
      <c r="A7" s="24" t="str">
        <f>currentsetting</f>
        <v>Total Accumulated Volumes(mmbtu)</v>
      </c>
      <c r="B7" s="25"/>
      <c r="C7" s="25"/>
      <c r="D7" s="25"/>
      <c r="E7" s="9"/>
      <c r="F7" s="9"/>
      <c r="G7" s="9"/>
      <c r="H7" s="9"/>
      <c r="I7" s="9"/>
      <c r="J7" s="9"/>
      <c r="K7" s="9"/>
      <c r="L7" s="9"/>
      <c r="M7" s="15"/>
    </row>
    <row r="8" spans="1:13" ht="16.5" customHeight="1" thickBot="1">
      <c r="A8" s="26" t="str">
        <f>IF(A7="Total Accumulated Volumes(mmbtu)",CONCATENATE("**Schedule values are prorated to ",TEXT([1]Extracts!I1,"0.0%")," of flow day"),"")</f>
        <v>**Schedule values are prorated to 88.7% of flow day</v>
      </c>
      <c r="B8" s="23"/>
      <c r="C8" s="27"/>
      <c r="D8" s="23"/>
      <c r="E8" s="9"/>
      <c r="F8" s="9"/>
      <c r="G8" s="9"/>
      <c r="H8" s="9"/>
      <c r="I8" s="9"/>
      <c r="J8" s="9"/>
      <c r="K8" s="9"/>
      <c r="L8" s="9"/>
      <c r="M8" s="15"/>
    </row>
    <row r="9" spans="1:13" ht="16.2" thickBot="1">
      <c r="A9" s="28" t="str">
        <f>CONCATENATE("Count of Comm errors = ",DCOUNTA(masterlist,"Err",critcomm),"  ")</f>
        <v xml:space="preserve">Count of Comm errors = 4  </v>
      </c>
      <c r="B9" s="29"/>
      <c r="C9" s="30" t="str">
        <f>CONCATENATE("Vol= ",ROUND(DSUM(masterlist,"TTL Act",critcomm),1)," mm")</f>
        <v>Vol= 0 mm</v>
      </c>
      <c r="D9" s="31"/>
      <c r="E9" s="23"/>
      <c r="F9" s="9"/>
      <c r="G9" s="9"/>
      <c r="H9" s="9"/>
      <c r="I9" s="9"/>
      <c r="J9" s="9"/>
      <c r="K9" s="9"/>
      <c r="L9" s="9"/>
      <c r="M9" s="15"/>
    </row>
    <row r="10" spans="1:13">
      <c r="A10" s="32"/>
      <c r="B10" s="9"/>
      <c r="C10" s="9"/>
      <c r="D10" s="9"/>
      <c r="E10" s="9"/>
      <c r="F10" s="9"/>
      <c r="G10" s="9"/>
      <c r="H10" s="9"/>
      <c r="I10" s="9"/>
      <c r="J10" s="9"/>
      <c r="K10" s="9"/>
      <c r="L10" s="9"/>
      <c r="M10" s="15"/>
    </row>
    <row r="11" spans="1:13">
      <c r="A11" s="8"/>
      <c r="B11" s="33"/>
      <c r="C11" s="9"/>
      <c r="D11" s="9"/>
      <c r="E11" s="9"/>
      <c r="F11" s="9"/>
      <c r="G11" s="9"/>
      <c r="H11" s="9"/>
      <c r="I11" s="9"/>
      <c r="J11" s="9"/>
      <c r="K11" s="9"/>
      <c r="L11" s="9"/>
      <c r="M11" s="15"/>
    </row>
    <row r="12" spans="1:13">
      <c r="A12" s="8"/>
      <c r="B12" s="33"/>
      <c r="C12" s="9"/>
      <c r="D12" s="9"/>
      <c r="E12" s="9"/>
      <c r="F12" s="9"/>
      <c r="G12" s="9"/>
      <c r="H12" s="9"/>
      <c r="I12" s="9"/>
      <c r="J12" s="9"/>
      <c r="K12" s="9"/>
      <c r="L12" s="9"/>
      <c r="M12" s="15"/>
    </row>
    <row r="13" spans="1:13">
      <c r="A13" s="8"/>
      <c r="B13" s="33"/>
      <c r="C13" s="9"/>
      <c r="D13" s="9"/>
      <c r="E13" s="9"/>
      <c r="F13" s="9"/>
      <c r="G13" s="9"/>
      <c r="H13" s="9"/>
      <c r="I13" s="9"/>
      <c r="J13" s="9"/>
      <c r="K13" s="9"/>
      <c r="L13" s="9"/>
      <c r="M13" s="15"/>
    </row>
    <row r="14" spans="1:13">
      <c r="A14" s="8"/>
      <c r="B14" s="9"/>
      <c r="C14" s="9"/>
      <c r="D14" s="9"/>
      <c r="E14" s="9"/>
      <c r="F14" s="9"/>
      <c r="G14" s="9"/>
      <c r="H14" s="9"/>
      <c r="I14" s="9"/>
      <c r="J14" s="9"/>
      <c r="K14" s="9"/>
      <c r="L14" s="9"/>
      <c r="M14" s="15"/>
    </row>
    <row r="15" spans="1:13">
      <c r="A15" s="8"/>
      <c r="B15" s="9"/>
      <c r="C15" s="9"/>
      <c r="D15" s="9"/>
      <c r="E15" s="9"/>
      <c r="F15" s="9"/>
      <c r="G15" s="9"/>
      <c r="H15" s="9"/>
      <c r="I15" s="9"/>
      <c r="J15" s="9"/>
      <c r="K15" s="9"/>
      <c r="L15" s="9"/>
      <c r="M15" s="15"/>
    </row>
    <row r="16" spans="1:13">
      <c r="A16" s="8"/>
      <c r="B16" s="9"/>
      <c r="C16" s="9"/>
      <c r="D16" s="9"/>
      <c r="E16" s="9"/>
      <c r="F16" s="9"/>
      <c r="G16" s="9"/>
      <c r="H16" s="9"/>
      <c r="I16" s="9"/>
      <c r="J16" s="9"/>
      <c r="K16" s="9"/>
      <c r="L16" s="9"/>
      <c r="M16" s="15"/>
    </row>
    <row r="17" spans="1:13">
      <c r="A17" s="8"/>
      <c r="B17" s="9"/>
      <c r="C17" s="9"/>
      <c r="D17" s="9"/>
      <c r="E17" s="9"/>
      <c r="F17" s="9"/>
      <c r="G17" s="9"/>
      <c r="H17" s="9"/>
      <c r="I17" s="9"/>
      <c r="J17" s="9"/>
      <c r="K17" s="9"/>
      <c r="L17" s="9"/>
      <c r="M17" s="15"/>
    </row>
    <row r="18" spans="1:13">
      <c r="A18" s="8"/>
      <c r="B18" s="9"/>
      <c r="C18" s="9"/>
      <c r="D18" s="9"/>
      <c r="E18" s="9"/>
      <c r="F18" s="9"/>
      <c r="G18" s="9"/>
      <c r="H18" s="9"/>
      <c r="I18" s="9"/>
      <c r="J18" s="9"/>
      <c r="K18" s="9"/>
      <c r="L18" s="9"/>
      <c r="M18" s="15"/>
    </row>
    <row r="19" spans="1:13">
      <c r="A19" s="8"/>
      <c r="B19" s="9"/>
      <c r="C19" s="9"/>
      <c r="D19" s="9"/>
      <c r="E19" s="9"/>
      <c r="F19" s="9"/>
      <c r="G19" s="9"/>
      <c r="H19" s="9"/>
      <c r="I19" s="9"/>
      <c r="J19" s="9"/>
      <c r="K19" s="9"/>
      <c r="L19" s="9"/>
      <c r="M19" s="15"/>
    </row>
    <row r="20" spans="1:13">
      <c r="A20" s="8"/>
      <c r="B20" s="9"/>
      <c r="C20" s="9"/>
      <c r="D20" s="9"/>
      <c r="E20" s="9"/>
      <c r="F20" s="9"/>
      <c r="G20" s="9"/>
      <c r="H20" s="9"/>
      <c r="I20" s="9"/>
      <c r="J20" s="9"/>
      <c r="K20" s="9"/>
      <c r="L20" s="9"/>
      <c r="M20" s="15"/>
    </row>
    <row r="21" spans="1:13">
      <c r="A21" s="8"/>
      <c r="B21" s="9"/>
      <c r="C21" s="9"/>
      <c r="D21" s="9"/>
      <c r="E21" s="9"/>
      <c r="F21" s="9"/>
      <c r="G21" s="9"/>
      <c r="H21" s="9"/>
      <c r="I21" s="9"/>
      <c r="J21" s="9"/>
      <c r="K21" s="33"/>
      <c r="L21" s="9"/>
      <c r="M21" s="15"/>
    </row>
    <row r="22" spans="1:13">
      <c r="A22" s="8"/>
      <c r="B22" s="9"/>
      <c r="C22" s="9"/>
      <c r="D22" s="9"/>
      <c r="E22" s="9"/>
      <c r="F22" s="9"/>
      <c r="G22" s="9"/>
      <c r="H22" s="9"/>
      <c r="I22" s="9"/>
      <c r="J22" s="9"/>
      <c r="K22" s="9"/>
      <c r="L22" s="9"/>
      <c r="M22" s="15"/>
    </row>
    <row r="23" spans="1:13">
      <c r="A23" s="8"/>
      <c r="B23" s="9"/>
      <c r="C23" s="9"/>
      <c r="D23" s="9"/>
      <c r="E23" s="9"/>
      <c r="F23" s="9"/>
      <c r="G23" s="9"/>
      <c r="H23" s="9"/>
      <c r="I23" s="9"/>
      <c r="J23" s="9"/>
      <c r="K23" s="9"/>
      <c r="L23" s="9"/>
      <c r="M23" s="15"/>
    </row>
    <row r="24" spans="1:13">
      <c r="A24" s="8"/>
      <c r="B24" s="9"/>
      <c r="C24" s="9"/>
      <c r="D24" s="9"/>
      <c r="E24" s="9"/>
      <c r="F24" s="9"/>
      <c r="G24" s="9"/>
      <c r="H24" s="9"/>
      <c r="I24" s="9"/>
      <c r="J24" s="9"/>
      <c r="K24" s="9"/>
      <c r="L24" s="9"/>
      <c r="M24" s="15"/>
    </row>
    <row r="25" spans="1:13">
      <c r="A25" s="8"/>
      <c r="B25" s="9"/>
      <c r="C25" s="9"/>
      <c r="D25" s="9"/>
      <c r="E25" s="9"/>
      <c r="F25" s="9"/>
      <c r="G25" s="9"/>
      <c r="H25" s="23"/>
      <c r="I25" s="23"/>
      <c r="J25" s="34"/>
      <c r="K25" s="35"/>
      <c r="L25" s="36"/>
      <c r="M25" s="37"/>
    </row>
    <row r="26" spans="1:13">
      <c r="A26" s="8"/>
      <c r="B26" s="9"/>
      <c r="C26" s="9"/>
      <c r="D26" s="9"/>
      <c r="E26" s="9"/>
      <c r="F26" s="9"/>
      <c r="G26" s="9"/>
      <c r="H26" s="9"/>
      <c r="I26" s="23"/>
      <c r="J26" s="23"/>
      <c r="K26" s="9"/>
      <c r="L26" s="9"/>
      <c r="M26" s="15"/>
    </row>
    <row r="27" spans="1:13">
      <c r="A27" s="8"/>
      <c r="B27" s="9"/>
      <c r="C27" s="9"/>
      <c r="D27" s="9"/>
      <c r="E27" s="9"/>
      <c r="F27" s="9"/>
      <c r="G27" s="9"/>
      <c r="H27" s="23"/>
      <c r="I27" s="23"/>
      <c r="J27" s="23"/>
      <c r="K27" s="9"/>
      <c r="L27" s="9"/>
      <c r="M27" s="15"/>
    </row>
    <row r="28" spans="1:13">
      <c r="A28" s="8"/>
      <c r="B28" s="9"/>
      <c r="C28" s="9"/>
      <c r="D28" s="9"/>
      <c r="E28" s="9"/>
      <c r="F28" s="9"/>
      <c r="G28" s="9"/>
      <c r="H28" s="9"/>
      <c r="I28" s="23"/>
      <c r="J28" s="34"/>
      <c r="K28" s="35"/>
      <c r="L28" s="36"/>
      <c r="M28" s="37"/>
    </row>
    <row r="29" spans="1:13">
      <c r="A29" s="8"/>
      <c r="B29" s="9"/>
      <c r="C29" s="9"/>
      <c r="D29" s="9"/>
      <c r="E29" s="9"/>
      <c r="F29" s="9"/>
      <c r="G29" s="9"/>
      <c r="H29" s="9"/>
      <c r="I29" s="9"/>
      <c r="J29" s="9"/>
      <c r="K29" s="9"/>
      <c r="L29" s="9"/>
      <c r="M29" s="15"/>
    </row>
    <row r="30" spans="1:13">
      <c r="A30" s="8"/>
      <c r="B30" s="9"/>
      <c r="C30" s="9"/>
      <c r="D30" s="9"/>
      <c r="E30" s="9"/>
      <c r="F30" s="9"/>
      <c r="G30" s="38"/>
      <c r="H30" s="39" t="s">
        <v>7</v>
      </c>
      <c r="I30" s="39" t="s">
        <v>8</v>
      </c>
      <c r="J30" s="39" t="s">
        <v>9</v>
      </c>
      <c r="K30" s="39" t="s">
        <v>10</v>
      </c>
      <c r="L30" s="39" t="s">
        <v>11</v>
      </c>
      <c r="M30" s="40" t="s">
        <v>12</v>
      </c>
    </row>
    <row r="31" spans="1:13">
      <c r="A31" s="8"/>
      <c r="B31" s="9"/>
      <c r="C31" s="9"/>
      <c r="D31" s="9"/>
      <c r="E31" s="9"/>
      <c r="F31" s="9"/>
      <c r="G31" s="41" t="s">
        <v>13</v>
      </c>
      <c r="H31" s="42">
        <f>recttl</f>
        <v>713.85445987983076</v>
      </c>
      <c r="I31" s="43">
        <f>recttlsch</f>
        <v>715.36830555725089</v>
      </c>
      <c r="J31" s="42">
        <f>reccig</f>
        <v>392.57586582680386</v>
      </c>
      <c r="K31" s="44">
        <f>reccigsch</f>
        <v>396.67521944538476</v>
      </c>
      <c r="L31" s="42">
        <f>rechpl</f>
        <v>321.2785940530265</v>
      </c>
      <c r="M31" s="45">
        <f>rechplsch</f>
        <v>318.69308611186648</v>
      </c>
    </row>
    <row r="32" spans="1:13" ht="16.2" thickBot="1">
      <c r="A32" s="8"/>
      <c r="B32" s="9"/>
      <c r="C32" s="9"/>
      <c r="D32" s="9"/>
      <c r="E32" s="9"/>
      <c r="F32" s="9"/>
      <c r="G32" s="41" t="s">
        <v>14</v>
      </c>
      <c r="H32" s="46">
        <f>delttl</f>
        <v>-726.66305981572998</v>
      </c>
      <c r="I32" s="47">
        <f>delttlsch</f>
        <v>-720.18188611281823</v>
      </c>
      <c r="J32" s="48">
        <f>delcig</f>
        <v>-404.47565836943176</v>
      </c>
      <c r="K32" s="47">
        <f>delcigsch</f>
        <v>-401.4888000009517</v>
      </c>
      <c r="L32" s="48">
        <f>delhpl</f>
        <v>-322.18740144629834</v>
      </c>
      <c r="M32" s="45">
        <f>delhplsch</f>
        <v>-318.69308611186648</v>
      </c>
    </row>
    <row r="33" spans="1:13" ht="16.2" thickTop="1">
      <c r="A33" s="8"/>
      <c r="B33" s="9"/>
      <c r="C33" s="9"/>
      <c r="D33" s="9"/>
      <c r="E33" s="9"/>
      <c r="F33" s="9"/>
      <c r="G33" s="49" t="s">
        <v>15</v>
      </c>
      <c r="H33" s="50">
        <f t="shared" ref="H33:M33" si="0">H31+H32</f>
        <v>-12.808599935899224</v>
      </c>
      <c r="I33" s="42">
        <f t="shared" si="0"/>
        <v>-4.8135805555673414</v>
      </c>
      <c r="J33" s="42">
        <f t="shared" si="0"/>
        <v>-11.899792542627893</v>
      </c>
      <c r="K33" s="42">
        <f t="shared" si="0"/>
        <v>-4.8135805555669435</v>
      </c>
      <c r="L33" s="42">
        <f t="shared" si="0"/>
        <v>-0.90880739327184301</v>
      </c>
      <c r="M33" s="51">
        <f t="shared" si="0"/>
        <v>0</v>
      </c>
    </row>
    <row r="34" spans="1:13" ht="16.2" thickBot="1">
      <c r="A34" s="8"/>
      <c r="B34" s="9"/>
      <c r="C34" s="9"/>
      <c r="D34" s="9"/>
      <c r="E34" s="9"/>
      <c r="F34" s="9"/>
      <c r="G34" s="52"/>
      <c r="H34" s="53">
        <f>LPChange</f>
        <v>-7.0301949352685824</v>
      </c>
      <c r="I34" s="54" t="s">
        <v>16</v>
      </c>
      <c r="J34" s="42"/>
      <c r="K34" s="42"/>
      <c r="L34" s="42"/>
      <c r="M34" s="45"/>
    </row>
    <row r="35" spans="1:13" ht="16.8" thickTop="1" thickBot="1">
      <c r="A35" s="8"/>
      <c r="B35" s="9"/>
      <c r="C35" s="9"/>
      <c r="D35" s="9"/>
      <c r="E35" s="9"/>
      <c r="F35" s="9"/>
      <c r="G35" s="55" t="s">
        <v>17</v>
      </c>
      <c r="H35" s="56">
        <f>LAUF</f>
        <v>5.7784050006306416</v>
      </c>
      <c r="I35" s="57">
        <f>H35/H31</f>
        <v>8.094654198284857E-3</v>
      </c>
      <c r="J35" s="42"/>
      <c r="K35" s="58"/>
      <c r="L35" s="58"/>
      <c r="M35" s="45"/>
    </row>
    <row r="36" spans="1:13" ht="16.2" thickBot="1">
      <c r="A36" s="59"/>
      <c r="B36" s="60"/>
      <c r="C36" s="60"/>
      <c r="D36" s="60"/>
      <c r="E36" s="60"/>
      <c r="F36" s="61"/>
      <c r="G36" s="62" t="s">
        <v>18</v>
      </c>
      <c r="H36" s="63">
        <f>LPack</f>
        <v>430.34580506473139</v>
      </c>
      <c r="I36" s="64"/>
      <c r="J36" s="64"/>
      <c r="K36" s="64"/>
      <c r="L36" s="64"/>
      <c r="M36" s="65"/>
    </row>
    <row r="37" spans="1:13">
      <c r="A37" s="9"/>
      <c r="B37" s="9"/>
      <c r="C37" s="9"/>
      <c r="D37" s="9"/>
      <c r="E37" s="9"/>
      <c r="F37" s="9"/>
      <c r="G37" s="9"/>
      <c r="H37" s="9"/>
      <c r="I37" s="9"/>
      <c r="J37" s="9"/>
      <c r="K37" s="9"/>
      <c r="L37" s="9"/>
      <c r="M37" s="9"/>
    </row>
    <row r="38" spans="1:13" hidden="1">
      <c r="A38" s="66" t="s">
        <v>19</v>
      </c>
      <c r="B38" s="67">
        <f>VLOOKUP(88888,Cigsch,2,FALSE)</f>
        <v>262.54300000000001</v>
      </c>
      <c r="C38" s="68"/>
      <c r="D38" s="69"/>
      <c r="E38" s="70"/>
      <c r="F38" s="71"/>
      <c r="G38" s="72"/>
      <c r="H38" s="72"/>
      <c r="I38" s="72"/>
      <c r="J38" s="72"/>
      <c r="K38" s="72"/>
      <c r="L38" s="72"/>
      <c r="M38" s="72"/>
    </row>
    <row r="39" spans="1:13" hidden="1">
      <c r="A39" s="7" t="s">
        <v>20</v>
      </c>
      <c r="B39" s="73">
        <f>'System Detail'!I179+'System Detail'!I180</f>
        <v>-12.394543477474995</v>
      </c>
      <c r="C39" s="69"/>
    </row>
    <row r="40" spans="1:13" hidden="1">
      <c r="A40" s="7" t="s">
        <v>21</v>
      </c>
      <c r="B40" s="73">
        <f>'System Detail'!J179+'System Detail'!J180</f>
        <v>-10.64166666669189</v>
      </c>
      <c r="C40" s="69"/>
    </row>
    <row r="41" spans="1:13" hidden="1">
      <c r="A41" s="74" t="s">
        <v>22</v>
      </c>
      <c r="B41" s="75">
        <f>'System Detail'!J32+'System Detail'!J33</f>
        <v>-1.1333375000026864</v>
      </c>
      <c r="C41" s="69"/>
    </row>
    <row r="42" spans="1:13" hidden="1">
      <c r="A42" s="74" t="s">
        <v>23</v>
      </c>
      <c r="B42" s="75">
        <f>'System Detail'!I32+'System Detail'!I33</f>
        <v>-8.0502634761999996</v>
      </c>
      <c r="C42" s="69"/>
    </row>
    <row r="43" spans="1:13" hidden="1">
      <c r="A43" s="74" t="s">
        <v>24</v>
      </c>
      <c r="B43" s="75">
        <f>'System Detail'!J29+'System Detail'!J30</f>
        <v>-17.73611111115315</v>
      </c>
      <c r="C43" s="69"/>
    </row>
    <row r="44" spans="1:13" hidden="1">
      <c r="A44" s="74" t="s">
        <v>25</v>
      </c>
      <c r="B44" s="75">
        <f>'System Detail'!I29+'System Detail'!I30</f>
        <v>-17.589721812899995</v>
      </c>
      <c r="C44" s="69"/>
    </row>
    <row r="45" spans="1:13" hidden="1">
      <c r="A45" s="74" t="s">
        <v>26</v>
      </c>
      <c r="B45" s="75">
        <f>'System Detail'!J34+'System Detail'!J35</f>
        <v>84.246527777977462</v>
      </c>
      <c r="C45" s="69"/>
    </row>
    <row r="46" spans="1:13" hidden="1">
      <c r="A46" s="74" t="s">
        <v>27</v>
      </c>
      <c r="B46" s="75">
        <f>'System Detail'!I34+'System Detail'!I35</f>
        <v>99.121992369999987</v>
      </c>
      <c r="C46" s="69"/>
    </row>
    <row r="47" spans="1:13" hidden="1">
      <c r="A47" s="74" t="s">
        <v>28</v>
      </c>
      <c r="B47" s="75">
        <f>'System Detail'!J58+'System Detail'!J59</f>
        <v>-20.396527777826122</v>
      </c>
    </row>
    <row r="48" spans="1:13" hidden="1">
      <c r="A48" s="74" t="s">
        <v>29</v>
      </c>
      <c r="B48" s="75">
        <f>'System Detail'!I58+'System Detail'!I59</f>
        <v>-10.145754301999999</v>
      </c>
    </row>
    <row r="49" spans="1:4" hidden="1">
      <c r="A49" s="74" t="s">
        <v>30</v>
      </c>
      <c r="B49" s="75">
        <f>_sch16151+_sch16354</f>
        <v>167.75079930595314</v>
      </c>
    </row>
    <row r="50" spans="1:4" hidden="1">
      <c r="A50" s="74" t="s">
        <v>31</v>
      </c>
      <c r="B50" s="75">
        <f>_act16151+_act16354</f>
        <v>125.58318661954922</v>
      </c>
    </row>
    <row r="51" spans="1:4" hidden="1">
      <c r="A51" s="74" t="s">
        <v>32</v>
      </c>
      <c r="B51" s="75">
        <f>_sch26150+_sch26106</f>
        <v>-62.076388889036025</v>
      </c>
    </row>
    <row r="52" spans="1:4" hidden="1">
      <c r="A52" s="74" t="s">
        <v>33</v>
      </c>
      <c r="B52" s="75">
        <f>_act26150+_act26106</f>
        <v>-49.952229475525066</v>
      </c>
    </row>
    <row r="53" spans="1:4" hidden="1">
      <c r="A53" s="74" t="s">
        <v>34</v>
      </c>
      <c r="B53" s="75">
        <f>'System Detail'!J221+'System Detail'!J222</f>
        <v>0</v>
      </c>
    </row>
    <row r="54" spans="1:4" hidden="1">
      <c r="A54" s="74" t="s">
        <v>35</v>
      </c>
      <c r="B54" s="75">
        <f>'System Detail'!I221+'System Detail'!I222</f>
        <v>0</v>
      </c>
    </row>
    <row r="55" spans="1:4" hidden="1">
      <c r="A55" s="74" t="s">
        <v>36</v>
      </c>
      <c r="B55" s="75">
        <f>SUM('System Detail'!J127:J164)</f>
        <v>-331.18728958411833</v>
      </c>
    </row>
    <row r="56" spans="1:4" hidden="1">
      <c r="A56" s="74" t="s">
        <v>37</v>
      </c>
      <c r="B56" s="75">
        <f>SUM('System Detail'!I127:I164)</f>
        <v>-354.79615939570562</v>
      </c>
    </row>
    <row r="58" spans="1:4">
      <c r="D58" s="76"/>
    </row>
    <row r="59" spans="1:4">
      <c r="D59" s="76"/>
    </row>
    <row r="60" spans="1:4">
      <c r="D60" s="76"/>
    </row>
  </sheetData>
  <sheetProtection password="C0E5" sheet="1" objects="1" scenarios="1"/>
  <mergeCells count="1">
    <mergeCell ref="B6:C6"/>
  </mergeCells>
  <printOptions horizontalCentered="1" verticalCentered="1"/>
  <pageMargins left="0.2" right="0.46" top="0.25" bottom="0.45" header="0" footer="0.25"/>
  <pageSetup scale="85" orientation="landscape" horizontalDpi="300" verticalDpi="300" r:id="rId1"/>
  <headerFooter alignWithMargins="0">
    <oddFooter xml:space="preserve">&amp;L&amp;D  &amp;T&amp;C&amp;F&amp;R&amp;"Times New Roman,Bold Italic"&amp;14OPERATIONS PLANNING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1" r:id="rId4" name="checkboxSaveDailyData">
              <controlPr defaultSize="0" print="0" autoFill="0" autoLine="0" autoPict="0">
                <anchor>
                  <from>
                    <xdr:col>12</xdr:col>
                    <xdr:colOff>320040</xdr:colOff>
                    <xdr:row>34</xdr:row>
                    <xdr:rowOff>160020</xdr:rowOff>
                  </from>
                  <to>
                    <xdr:col>12</xdr:col>
                    <xdr:colOff>685800</xdr:colOff>
                    <xdr:row>35</xdr:row>
                    <xdr:rowOff>160020</xdr:rowOff>
                  </to>
                </anchor>
              </controlPr>
            </control>
          </mc:Choice>
        </mc:AlternateContent>
        <mc:AlternateContent xmlns:mc="http://schemas.openxmlformats.org/markup-compatibility/2006">
          <mc:Choice Requires="x14">
            <control shapeId="1318" r:id="rId5" name="Check Box 294">
              <controlPr defaultSize="0" print="0" autoFill="0" autoLine="0" autoPict="0">
                <anchor>
                  <from>
                    <xdr:col>0</xdr:col>
                    <xdr:colOff>38100</xdr:colOff>
                    <xdr:row>3</xdr:row>
                    <xdr:rowOff>68580</xdr:rowOff>
                  </from>
                  <to>
                    <xdr:col>0</xdr:col>
                    <xdr:colOff>1341120</xdr:colOff>
                    <xdr:row>4</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1">
    <pageSetUpPr fitToPage="1"/>
  </sheetPr>
  <dimension ref="A1:M58"/>
  <sheetViews>
    <sheetView showGridLines="0" showRowColHeaders="0" zoomScale="75" workbookViewId="0"/>
  </sheetViews>
  <sheetFormatPr defaultColWidth="12" defaultRowHeight="15.6"/>
  <cols>
    <col min="1" max="1" width="26" style="7" customWidth="1"/>
    <col min="2" max="16384" width="12" style="7"/>
  </cols>
  <sheetData>
    <row r="1" spans="1:13">
      <c r="A1" s="1"/>
      <c r="B1" s="2"/>
      <c r="C1" s="2"/>
      <c r="D1" s="2"/>
      <c r="E1" s="4" t="s">
        <v>38</v>
      </c>
      <c r="F1" s="4" t="s">
        <v>39</v>
      </c>
      <c r="G1" s="2"/>
      <c r="H1" s="2"/>
      <c r="I1" s="2"/>
      <c r="J1" s="2"/>
      <c r="K1" s="2"/>
      <c r="L1" s="2"/>
      <c r="M1" s="6"/>
    </row>
    <row r="2" spans="1:13">
      <c r="A2" s="8"/>
      <c r="B2" s="9"/>
      <c r="C2" s="23"/>
      <c r="D2" s="77" t="s">
        <v>40</v>
      </c>
      <c r="E2" s="78">
        <f>'System Detail'!N127</f>
        <v>-26.130118769999996</v>
      </c>
      <c r="F2" s="78">
        <f>'System Detail'!O127</f>
        <v>-25.717361111172067</v>
      </c>
      <c r="G2" s="79">
        <f>'System Detail'!P127</f>
        <v>-0.41275765882792825</v>
      </c>
      <c r="H2" s="9"/>
      <c r="I2" s="9"/>
      <c r="J2" s="9"/>
      <c r="K2" s="9"/>
      <c r="L2" s="9"/>
      <c r="M2" s="15"/>
    </row>
    <row r="3" spans="1:13">
      <c r="A3" s="8"/>
      <c r="B3" s="9"/>
      <c r="C3" s="9"/>
      <c r="D3" s="77" t="s">
        <v>41</v>
      </c>
      <c r="E3" s="78">
        <f>'System Detail'!I133</f>
        <v>-69.464177942499987</v>
      </c>
      <c r="F3" s="78">
        <f>'System Detail'!J133</f>
        <v>-64.736805555708997</v>
      </c>
      <c r="G3" s="79">
        <f>'System Detail'!K133</f>
        <v>-4.7273723867909894</v>
      </c>
      <c r="H3" s="9"/>
      <c r="I3" s="9"/>
      <c r="J3" s="9"/>
      <c r="K3" s="9"/>
      <c r="L3" s="9"/>
      <c r="M3" s="15"/>
    </row>
    <row r="4" spans="1:13">
      <c r="A4" s="8"/>
      <c r="B4" s="9"/>
      <c r="C4" s="9"/>
      <c r="D4" s="74" t="s">
        <v>42</v>
      </c>
      <c r="E4" s="78">
        <f>'System Detail'!I134</f>
        <v>-32.376272584999995</v>
      </c>
      <c r="F4" s="78">
        <f>'System Detail'!J134</f>
        <v>-31.038194444518012</v>
      </c>
      <c r="G4" s="79">
        <f>'System Detail'!K134</f>
        <v>-1.3380781404819828</v>
      </c>
      <c r="H4" s="9"/>
      <c r="I4" s="9"/>
      <c r="J4" s="9"/>
      <c r="K4" s="9"/>
      <c r="L4" s="9"/>
      <c r="M4" s="15"/>
    </row>
    <row r="5" spans="1:13">
      <c r="A5" s="19" t="s">
        <v>4</v>
      </c>
      <c r="B5" s="437">
        <f>'System Detail'!D2</f>
        <v>36795.375</v>
      </c>
      <c r="C5" s="437"/>
      <c r="D5" s="77" t="s">
        <v>43</v>
      </c>
      <c r="E5" s="78">
        <f>'System Detail'!I136</f>
        <v>-15.754273984999998</v>
      </c>
      <c r="F5" s="78">
        <f>'System Detail'!J136</f>
        <v>-15.075694444480177</v>
      </c>
      <c r="G5" s="79">
        <f>'System Detail'!K136</f>
        <v>-0.67857954051982006</v>
      </c>
      <c r="H5" s="9"/>
      <c r="I5" s="9"/>
      <c r="J5" s="9"/>
      <c r="K5" s="9"/>
      <c r="L5" s="9"/>
      <c r="M5" s="15"/>
    </row>
    <row r="6" spans="1:13">
      <c r="A6" s="19" t="s">
        <v>6</v>
      </c>
      <c r="B6" s="436">
        <f>'System Detail'!D3</f>
        <v>36796.261805555558</v>
      </c>
      <c r="C6" s="436"/>
      <c r="D6" s="77" t="s">
        <v>44</v>
      </c>
      <c r="E6" s="78">
        <f>'System Detail'!I158</f>
        <v>-37.136165385550676</v>
      </c>
      <c r="F6" s="78">
        <f>'System Detail'!J158</f>
        <v>-30.151388888960355</v>
      </c>
      <c r="G6" s="79">
        <f>'System Detail'!K158</f>
        <v>-6.984776496590321</v>
      </c>
      <c r="H6" s="9"/>
      <c r="I6" s="9"/>
      <c r="J6" s="9"/>
      <c r="K6" s="9"/>
      <c r="L6" s="9"/>
      <c r="M6" s="15"/>
    </row>
    <row r="7" spans="1:13">
      <c r="A7" s="24" t="str">
        <f>currentsetting</f>
        <v>Total Accumulated Volumes(mmbtu)</v>
      </c>
      <c r="B7" s="25"/>
      <c r="C7" s="25"/>
      <c r="D7" s="77" t="s">
        <v>45</v>
      </c>
      <c r="E7" s="78">
        <f>'System Detail'!N162</f>
        <v>0</v>
      </c>
      <c r="F7" s="78">
        <f>'System Detail'!O162</f>
        <v>0</v>
      </c>
      <c r="G7" s="79">
        <f>'System Detail'!P162</f>
        <v>0</v>
      </c>
      <c r="H7" s="9"/>
      <c r="I7" s="9"/>
      <c r="J7" s="9"/>
      <c r="K7" s="9"/>
      <c r="L7" s="9"/>
      <c r="M7" s="15"/>
    </row>
    <row r="8" spans="1:13" ht="16.5" customHeight="1" thickBot="1">
      <c r="A8" s="26" t="str">
        <f>IF(A7="Total Accumulated Volumes(mmbtu)",CONCATENATE("**Schedule values are prorated to ",TEXT([1]Extracts!I1,"0.0%")," of flow day"),"")</f>
        <v>**Schedule values are prorated to 88.7% of flow day</v>
      </c>
      <c r="B8" s="23"/>
      <c r="C8" s="27"/>
      <c r="D8" s="77" t="s">
        <v>46</v>
      </c>
      <c r="E8" s="78">
        <f>'System Detail'!N163</f>
        <v>0</v>
      </c>
      <c r="F8" s="78">
        <f>'System Detail'!O163</f>
        <v>0</v>
      </c>
      <c r="G8" s="79">
        <f>'System Detail'!P163</f>
        <v>0</v>
      </c>
      <c r="H8" s="9"/>
      <c r="I8" s="9"/>
      <c r="J8" s="9"/>
      <c r="K8" s="9"/>
      <c r="L8" s="9"/>
      <c r="M8" s="15"/>
    </row>
    <row r="9" spans="1:13" ht="16.2" thickBot="1">
      <c r="A9" s="28" t="str">
        <f>CONCATENATE("Count of Comm errors = ",DCOUNTA(masterlist,"Err",critcomm),"  ")</f>
        <v xml:space="preserve">Count of Comm errors = 4  </v>
      </c>
      <c r="B9" s="29"/>
      <c r="C9" s="30" t="str">
        <f>CONCATENATE("Vol= ",ROUND(DSUM(masterlist,"TTL Act",critcomm),1)," mm")</f>
        <v>Vol= 0 mm</v>
      </c>
      <c r="D9" s="77" t="s">
        <v>47</v>
      </c>
      <c r="E9" s="78">
        <f>'System Detail'!N164</f>
        <v>-8.9584719764999985</v>
      </c>
      <c r="F9" s="78">
        <f>'System Detail'!O164</f>
        <v>-7.9812500000189175</v>
      </c>
      <c r="G9" s="79">
        <f>'System Detail'!P164</f>
        <v>-0.977221976481081</v>
      </c>
      <c r="H9" s="9"/>
      <c r="I9" s="9"/>
      <c r="J9" s="9"/>
      <c r="K9" s="9"/>
      <c r="L9" s="9"/>
      <c r="M9" s="15"/>
    </row>
    <row r="10" spans="1:13">
      <c r="A10" s="32"/>
      <c r="B10" s="9"/>
      <c r="C10" s="9"/>
      <c r="D10" s="31"/>
      <c r="E10" s="80"/>
      <c r="F10" s="9"/>
      <c r="G10" s="23"/>
      <c r="H10" s="9"/>
      <c r="I10" s="9"/>
      <c r="J10" s="9"/>
      <c r="K10" s="9"/>
      <c r="L10" s="9"/>
      <c r="M10" s="15"/>
    </row>
    <row r="11" spans="1:13">
      <c r="A11" s="8"/>
      <c r="B11" s="33"/>
      <c r="C11" s="9"/>
      <c r="D11" s="9"/>
      <c r="E11" s="9"/>
      <c r="F11" s="9"/>
      <c r="G11" s="9"/>
      <c r="H11" s="9"/>
      <c r="I11" s="9"/>
      <c r="J11" s="9"/>
      <c r="K11" s="9"/>
      <c r="L11" s="9"/>
      <c r="M11" s="15"/>
    </row>
    <row r="12" spans="1:13">
      <c r="A12" s="8"/>
      <c r="B12" s="33"/>
      <c r="C12" s="9"/>
      <c r="D12" s="9"/>
      <c r="E12" s="9"/>
      <c r="F12" s="9"/>
      <c r="G12" s="9"/>
      <c r="H12" s="9"/>
      <c r="I12" s="9"/>
      <c r="J12" s="9"/>
      <c r="K12" s="9"/>
      <c r="L12" s="9"/>
      <c r="M12" s="15"/>
    </row>
    <row r="13" spans="1:13">
      <c r="A13" s="8"/>
      <c r="B13" s="33"/>
      <c r="C13" s="9"/>
      <c r="D13" s="9"/>
      <c r="E13" s="9"/>
      <c r="F13" s="9"/>
      <c r="G13" s="9"/>
      <c r="H13" s="9"/>
      <c r="I13" s="9"/>
      <c r="J13" s="9"/>
      <c r="K13" s="9"/>
      <c r="L13" s="9"/>
      <c r="M13" s="15"/>
    </row>
    <row r="14" spans="1:13">
      <c r="A14" s="8"/>
      <c r="B14" s="9"/>
      <c r="C14" s="9"/>
      <c r="D14" s="9"/>
      <c r="E14" s="9"/>
      <c r="F14" s="9"/>
      <c r="G14" s="9"/>
      <c r="H14" s="9"/>
      <c r="I14" s="9"/>
      <c r="J14" s="9"/>
      <c r="K14" s="9"/>
      <c r="L14" s="9"/>
      <c r="M14" s="15"/>
    </row>
    <row r="15" spans="1:13">
      <c r="A15" s="8"/>
      <c r="B15" s="9"/>
      <c r="C15" s="9"/>
      <c r="D15" s="9"/>
      <c r="E15" s="9"/>
      <c r="F15" s="9"/>
      <c r="G15" s="9"/>
      <c r="H15" s="9"/>
      <c r="I15" s="9"/>
      <c r="J15" s="9"/>
      <c r="K15" s="9"/>
      <c r="L15" s="9"/>
      <c r="M15" s="15"/>
    </row>
    <row r="16" spans="1:13">
      <c r="A16" s="8"/>
      <c r="B16" s="9"/>
      <c r="C16" s="9"/>
      <c r="D16" s="9"/>
      <c r="E16" s="9"/>
      <c r="F16" s="9"/>
      <c r="G16" s="9"/>
      <c r="H16" s="9"/>
      <c r="I16" s="9"/>
      <c r="J16" s="9"/>
      <c r="K16" s="9"/>
      <c r="L16" s="9"/>
      <c r="M16" s="15"/>
    </row>
    <row r="17" spans="1:13">
      <c r="A17" s="8"/>
      <c r="B17" s="9"/>
      <c r="C17" s="9"/>
      <c r="D17" s="9"/>
      <c r="E17" s="9"/>
      <c r="F17" s="9"/>
      <c r="G17" s="9"/>
      <c r="H17" s="9"/>
      <c r="I17" s="9"/>
      <c r="J17" s="9"/>
      <c r="K17" s="9"/>
      <c r="L17" s="9"/>
      <c r="M17" s="15"/>
    </row>
    <row r="18" spans="1:13">
      <c r="A18" s="8"/>
      <c r="B18" s="9"/>
      <c r="C18" s="9"/>
      <c r="D18" s="9"/>
      <c r="E18" s="9"/>
      <c r="F18" s="9"/>
      <c r="G18" s="9"/>
      <c r="H18" s="9"/>
      <c r="I18" s="9"/>
      <c r="J18" s="9"/>
      <c r="K18" s="9"/>
      <c r="L18" s="9"/>
      <c r="M18" s="15"/>
    </row>
    <row r="19" spans="1:13">
      <c r="A19" s="8"/>
      <c r="B19" s="9"/>
      <c r="C19" s="9"/>
      <c r="D19" s="9"/>
      <c r="E19" s="9"/>
      <c r="F19" s="9"/>
      <c r="G19" s="9"/>
      <c r="H19" s="9"/>
      <c r="I19" s="9"/>
      <c r="J19" s="9"/>
      <c r="K19" s="9"/>
      <c r="L19" s="9"/>
      <c r="M19" s="15"/>
    </row>
    <row r="20" spans="1:13">
      <c r="A20" s="8"/>
      <c r="B20" s="9"/>
      <c r="C20" s="9"/>
      <c r="D20" s="9"/>
      <c r="E20" s="9"/>
      <c r="F20" s="9"/>
      <c r="G20" s="9"/>
      <c r="H20" s="9"/>
      <c r="I20" s="9"/>
      <c r="J20" s="9"/>
      <c r="K20" s="9"/>
      <c r="L20" s="9"/>
      <c r="M20" s="15"/>
    </row>
    <row r="21" spans="1:13">
      <c r="A21" s="8"/>
      <c r="B21" s="9"/>
      <c r="C21" s="9"/>
      <c r="D21" s="9"/>
      <c r="E21" s="9"/>
      <c r="F21" s="9"/>
      <c r="G21" s="9"/>
      <c r="H21" s="9"/>
      <c r="I21" s="9"/>
      <c r="J21" s="9"/>
      <c r="K21" s="9"/>
      <c r="L21" s="9"/>
      <c r="M21" s="15"/>
    </row>
    <row r="22" spans="1:13">
      <c r="A22" s="8"/>
      <c r="B22" s="9"/>
      <c r="C22" s="9"/>
      <c r="D22" s="9"/>
      <c r="E22" s="9"/>
      <c r="F22" s="9"/>
      <c r="G22" s="9"/>
      <c r="H22" s="9"/>
      <c r="I22" s="9"/>
      <c r="J22" s="9"/>
      <c r="K22" s="9"/>
      <c r="L22" s="9"/>
      <c r="M22" s="15"/>
    </row>
    <row r="23" spans="1:13">
      <c r="A23" s="8"/>
      <c r="B23" s="9"/>
      <c r="C23" s="9"/>
      <c r="D23" s="9"/>
      <c r="E23" s="9"/>
      <c r="F23" s="9"/>
      <c r="G23" s="9"/>
      <c r="H23" s="9"/>
      <c r="I23" s="9"/>
      <c r="J23" s="9"/>
      <c r="K23" s="9"/>
      <c r="L23" s="9"/>
      <c r="M23" s="15"/>
    </row>
    <row r="24" spans="1:13">
      <c r="A24" s="8"/>
      <c r="B24" s="9"/>
      <c r="C24" s="9"/>
      <c r="D24" s="9"/>
      <c r="E24" s="9"/>
      <c r="F24" s="9"/>
      <c r="G24" s="9"/>
      <c r="H24" s="9"/>
      <c r="I24" s="9"/>
      <c r="J24" s="9"/>
      <c r="K24" s="9"/>
      <c r="L24" s="9"/>
      <c r="M24" s="15"/>
    </row>
    <row r="25" spans="1:13">
      <c r="A25" s="8"/>
      <c r="B25" s="9"/>
      <c r="C25" s="9"/>
      <c r="D25" s="9"/>
      <c r="E25" s="9"/>
      <c r="F25" s="9"/>
      <c r="G25" s="9"/>
      <c r="H25" s="23"/>
      <c r="I25" s="23"/>
      <c r="J25" s="34"/>
      <c r="K25" s="35"/>
      <c r="L25" s="36"/>
      <c r="M25" s="37"/>
    </row>
    <row r="26" spans="1:13">
      <c r="A26" s="8"/>
      <c r="B26" s="9"/>
      <c r="C26" s="9"/>
      <c r="D26" s="9"/>
      <c r="E26" s="9"/>
      <c r="F26" s="9"/>
      <c r="G26" s="9"/>
      <c r="H26" s="9"/>
      <c r="I26" s="23"/>
      <c r="J26" s="23"/>
      <c r="K26" s="9"/>
      <c r="L26" s="9"/>
      <c r="M26" s="15"/>
    </row>
    <row r="27" spans="1:13">
      <c r="A27" s="8"/>
      <c r="B27" s="9"/>
      <c r="C27" s="9"/>
      <c r="D27" s="9"/>
      <c r="E27" s="9"/>
      <c r="F27" s="9"/>
      <c r="G27" s="9"/>
      <c r="H27" s="23"/>
      <c r="I27" s="23"/>
      <c r="J27" s="23"/>
      <c r="K27" s="9"/>
      <c r="L27" s="9"/>
      <c r="M27" s="15"/>
    </row>
    <row r="28" spans="1:13">
      <c r="A28" s="8"/>
      <c r="B28" s="9"/>
      <c r="C28" s="9"/>
      <c r="D28" s="9"/>
      <c r="E28" s="9"/>
      <c r="F28" s="9"/>
      <c r="G28" s="9"/>
      <c r="H28" s="9"/>
      <c r="I28" s="23"/>
      <c r="J28" s="34"/>
      <c r="K28" s="35"/>
      <c r="L28" s="36"/>
      <c r="M28" s="37"/>
    </row>
    <row r="29" spans="1:13">
      <c r="A29" s="8"/>
      <c r="B29" s="9"/>
      <c r="C29" s="9"/>
      <c r="D29" s="9"/>
      <c r="E29" s="9"/>
      <c r="F29" s="9"/>
      <c r="G29" s="9"/>
      <c r="H29" s="9"/>
      <c r="I29" s="9"/>
      <c r="J29" s="9"/>
      <c r="K29" s="9"/>
      <c r="L29" s="9"/>
      <c r="M29" s="15"/>
    </row>
    <row r="30" spans="1:13">
      <c r="A30" s="8"/>
      <c r="B30" s="9"/>
      <c r="C30" s="9"/>
      <c r="D30" s="9"/>
      <c r="E30" s="9"/>
      <c r="F30" s="9"/>
      <c r="G30" s="38"/>
      <c r="H30" s="39" t="s">
        <v>7</v>
      </c>
      <c r="I30" s="39" t="s">
        <v>8</v>
      </c>
      <c r="J30" s="39" t="s">
        <v>9</v>
      </c>
      <c r="K30" s="39" t="s">
        <v>10</v>
      </c>
      <c r="L30" s="39" t="s">
        <v>11</v>
      </c>
      <c r="M30" s="40" t="s">
        <v>12</v>
      </c>
    </row>
    <row r="31" spans="1:13">
      <c r="A31" s="8"/>
      <c r="B31" s="9"/>
      <c r="C31" s="9"/>
      <c r="D31" s="9"/>
      <c r="E31" s="9"/>
      <c r="F31" s="9"/>
      <c r="G31" s="41" t="s">
        <v>13</v>
      </c>
      <c r="H31" s="42">
        <f>recttl</f>
        <v>713.85445987983076</v>
      </c>
      <c r="I31" s="43">
        <f>recttlsch</f>
        <v>715.36830555725089</v>
      </c>
      <c r="J31" s="42">
        <f>reccig</f>
        <v>392.57586582680386</v>
      </c>
      <c r="K31" s="44">
        <f>reccigsch</f>
        <v>396.67521944538476</v>
      </c>
      <c r="L31" s="42">
        <f>rechpl</f>
        <v>321.2785940530265</v>
      </c>
      <c r="M31" s="45">
        <f>rechplsch</f>
        <v>318.69308611186648</v>
      </c>
    </row>
    <row r="32" spans="1:13" ht="16.2" thickBot="1">
      <c r="A32" s="8"/>
      <c r="B32" s="9"/>
      <c r="C32" s="9"/>
      <c r="D32" s="9"/>
      <c r="E32" s="9"/>
      <c r="F32" s="9"/>
      <c r="G32" s="41" t="s">
        <v>14</v>
      </c>
      <c r="H32" s="46">
        <f>delttl</f>
        <v>-726.66305981572998</v>
      </c>
      <c r="I32" s="47">
        <f>delttlsch</f>
        <v>-720.18188611281823</v>
      </c>
      <c r="J32" s="48">
        <f>delcig</f>
        <v>-404.47565836943176</v>
      </c>
      <c r="K32" s="47">
        <f>delcigsch</f>
        <v>-401.4888000009517</v>
      </c>
      <c r="L32" s="48">
        <f>delhpl</f>
        <v>-322.18740144629834</v>
      </c>
      <c r="M32" s="45">
        <f>delhplsch</f>
        <v>-318.69308611186648</v>
      </c>
    </row>
    <row r="33" spans="1:13" ht="16.2" thickTop="1">
      <c r="A33" s="8"/>
      <c r="B33" s="9"/>
      <c r="C33" s="9"/>
      <c r="D33" s="9"/>
      <c r="E33" s="9"/>
      <c r="F33" s="9"/>
      <c r="G33" s="49" t="s">
        <v>15</v>
      </c>
      <c r="H33" s="50">
        <f t="shared" ref="H33:M33" si="0">H31+H32</f>
        <v>-12.808599935899224</v>
      </c>
      <c r="I33" s="42">
        <f t="shared" si="0"/>
        <v>-4.8135805555673414</v>
      </c>
      <c r="J33" s="42">
        <f t="shared" si="0"/>
        <v>-11.899792542627893</v>
      </c>
      <c r="K33" s="42">
        <f t="shared" si="0"/>
        <v>-4.8135805555669435</v>
      </c>
      <c r="L33" s="42">
        <f t="shared" si="0"/>
        <v>-0.90880739327184301</v>
      </c>
      <c r="M33" s="51">
        <f t="shared" si="0"/>
        <v>0</v>
      </c>
    </row>
    <row r="34" spans="1:13" ht="16.2" thickBot="1">
      <c r="A34" s="8"/>
      <c r="B34" s="9"/>
      <c r="C34" s="9"/>
      <c r="D34" s="9"/>
      <c r="E34" s="9"/>
      <c r="F34" s="9"/>
      <c r="G34" s="52"/>
      <c r="H34" s="53">
        <f>LPChange</f>
        <v>-7.0301949352685824</v>
      </c>
      <c r="I34" s="54" t="s">
        <v>16</v>
      </c>
      <c r="J34" s="42"/>
      <c r="K34" s="42"/>
      <c r="L34" s="42"/>
      <c r="M34" s="45"/>
    </row>
    <row r="35" spans="1:13" ht="16.8" thickTop="1" thickBot="1">
      <c r="A35" s="8"/>
      <c r="B35" s="9"/>
      <c r="C35" s="9"/>
      <c r="D35" s="9"/>
      <c r="E35" s="9"/>
      <c r="F35" s="9"/>
      <c r="G35" s="55" t="s">
        <v>17</v>
      </c>
      <c r="H35" s="56">
        <f>LAUF</f>
        <v>5.7784050006306416</v>
      </c>
      <c r="I35" s="57">
        <f>H35/H31</f>
        <v>8.094654198284857E-3</v>
      </c>
      <c r="J35" s="42"/>
      <c r="K35" s="58"/>
      <c r="L35" s="58"/>
      <c r="M35" s="45"/>
    </row>
    <row r="36" spans="1:13" ht="16.2" thickBot="1">
      <c r="A36" s="59"/>
      <c r="B36" s="60"/>
      <c r="C36" s="60"/>
      <c r="D36" s="60"/>
      <c r="E36" s="60"/>
      <c r="F36" s="61"/>
      <c r="G36" s="62" t="s">
        <v>18</v>
      </c>
      <c r="H36" s="63">
        <f>LPack</f>
        <v>430.34580506473139</v>
      </c>
      <c r="I36" s="64"/>
      <c r="J36" s="64"/>
      <c r="K36" s="64"/>
      <c r="L36" s="64"/>
      <c r="M36" s="65"/>
    </row>
    <row r="37" spans="1:13">
      <c r="A37" s="9"/>
      <c r="B37" s="9"/>
      <c r="C37" s="9"/>
      <c r="D37" s="9"/>
      <c r="E37" s="9"/>
      <c r="F37" s="9"/>
      <c r="G37" s="9"/>
      <c r="H37" s="9"/>
      <c r="I37" s="9"/>
      <c r="J37" s="9"/>
      <c r="K37" s="9"/>
      <c r="L37" s="9"/>
      <c r="M37" s="9"/>
    </row>
    <row r="38" spans="1:13" hidden="1">
      <c r="A38" s="7" t="s">
        <v>20</v>
      </c>
      <c r="B38" s="73">
        <f>'System Detail'!N179+'System Detail'!N180</f>
        <v>0</v>
      </c>
      <c r="C38" s="68"/>
      <c r="D38" s="69"/>
      <c r="E38" s="70"/>
      <c r="F38" s="71"/>
      <c r="G38" s="72"/>
      <c r="H38" s="72"/>
      <c r="I38" s="72"/>
      <c r="J38" s="72"/>
      <c r="K38" s="72"/>
      <c r="L38" s="72"/>
      <c r="M38" s="72"/>
    </row>
    <row r="39" spans="1:13" hidden="1">
      <c r="A39" s="7" t="s">
        <v>21</v>
      </c>
      <c r="B39" s="73">
        <f>'System Detail'!O179+'System Detail'!O180</f>
        <v>0</v>
      </c>
      <c r="C39" s="69"/>
    </row>
    <row r="40" spans="1:13" hidden="1">
      <c r="A40" s="74" t="s">
        <v>22</v>
      </c>
      <c r="B40" s="75">
        <f>'System Detail'!O32+'System Detail'!O33</f>
        <v>-0.38310000000090805</v>
      </c>
      <c r="C40" s="69"/>
    </row>
    <row r="41" spans="1:13" hidden="1">
      <c r="A41" s="74" t="s">
        <v>23</v>
      </c>
      <c r="B41" s="75">
        <f>'System Detail'!N32+'System Detail'!N33</f>
        <v>-0.38310000000090805</v>
      </c>
      <c r="C41" s="69"/>
    </row>
    <row r="42" spans="1:13" hidden="1">
      <c r="A42" s="74" t="s">
        <v>26</v>
      </c>
      <c r="B42" s="75">
        <f>'System Detail'!O34+'System Detail'!O35</f>
        <v>66.268318750157079</v>
      </c>
      <c r="C42" s="69"/>
    </row>
    <row r="43" spans="1:13" hidden="1">
      <c r="A43" s="74" t="s">
        <v>27</v>
      </c>
      <c r="B43" s="75">
        <f>'System Detail'!N34+'System Detail'!N35</f>
        <v>81.143783342179603</v>
      </c>
      <c r="C43" s="69"/>
    </row>
    <row r="44" spans="1:13" hidden="1">
      <c r="A44" s="74" t="s">
        <v>28</v>
      </c>
      <c r="B44" s="75">
        <f>'System Detail'!O58+'System Detail'!O59</f>
        <v>-20.396527777826122</v>
      </c>
      <c r="C44" s="69"/>
    </row>
    <row r="45" spans="1:13" hidden="1">
      <c r="A45" s="74" t="s">
        <v>29</v>
      </c>
      <c r="B45" s="75">
        <f>'System Detail'!N58+'System Detail'!N59</f>
        <v>-10.145754301999999</v>
      </c>
      <c r="C45" s="69"/>
    </row>
    <row r="46" spans="1:13" hidden="1">
      <c r="A46" s="74" t="s">
        <v>34</v>
      </c>
      <c r="B46" s="75">
        <f>'System Detail'!O221+'System Detail'!O222</f>
        <v>0</v>
      </c>
      <c r="C46" s="69"/>
    </row>
    <row r="47" spans="1:13" hidden="1">
      <c r="A47" s="74" t="s">
        <v>35</v>
      </c>
      <c r="B47" s="75">
        <f>'System Detail'!N221+'System Detail'!N222</f>
        <v>0</v>
      </c>
    </row>
    <row r="48" spans="1:13" hidden="1">
      <c r="A48" s="74" t="s">
        <v>36</v>
      </c>
      <c r="B48" s="75">
        <f>SUM('System Detail'!O127:O164)</f>
        <v>-174.80711111152544</v>
      </c>
    </row>
    <row r="49" spans="1:4" hidden="1">
      <c r="A49" s="74" t="s">
        <v>37</v>
      </c>
      <c r="B49" s="75">
        <f>SUM('System Detail'!N127:N164)</f>
        <v>-190.1660255125548</v>
      </c>
    </row>
    <row r="56" spans="1:4">
      <c r="D56" s="76"/>
    </row>
    <row r="57" spans="1:4">
      <c r="D57" s="76"/>
    </row>
    <row r="58" spans="1:4">
      <c r="D58" s="76"/>
    </row>
  </sheetData>
  <sheetProtection password="C0E5" sheet="1" objects="1" scenarios="1"/>
  <mergeCells count="2">
    <mergeCell ref="B6:C6"/>
    <mergeCell ref="B5:C5"/>
  </mergeCells>
  <printOptions horizontalCentered="1" verticalCentered="1"/>
  <pageMargins left="0.2" right="0.2" top="0.25" bottom="0.45" header="0" footer="0.25"/>
  <pageSetup scale="88" orientation="landscape" horizontalDpi="300" verticalDpi="300" r:id="rId1"/>
  <headerFooter alignWithMargins="0">
    <oddFooter xml:space="preserve">&amp;L&amp;D  &amp;T&amp;C&amp;F&amp;R&amp;"Times New Roman,Bold Italic"&amp;14OPERATIONS PLANNING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248" r:id="rId4" name="Check Box 200">
              <controlPr defaultSize="0" print="0" autoFill="0" autoLine="0" autoPict="0">
                <anchor>
                  <from>
                    <xdr:col>0</xdr:col>
                    <xdr:colOff>121920</xdr:colOff>
                    <xdr:row>6</xdr:row>
                    <xdr:rowOff>182880</xdr:rowOff>
                  </from>
                  <to>
                    <xdr:col>0</xdr:col>
                    <xdr:colOff>1432560</xdr:colOff>
                    <xdr:row>7</xdr:row>
                    <xdr:rowOff>198120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41"/>
  <sheetViews>
    <sheetView showGridLines="0" showRowColHeaders="0" topLeftCell="B1" workbookViewId="0">
      <selection activeCell="C2" sqref="C2:D2"/>
    </sheetView>
  </sheetViews>
  <sheetFormatPr defaultRowHeight="13.2"/>
  <cols>
    <col min="1" max="1" width="9.33203125" hidden="1" customWidth="1"/>
    <col min="2" max="2" width="21.77734375" bestFit="1" customWidth="1"/>
    <col min="3" max="4" width="10.77734375" customWidth="1"/>
    <col min="5" max="5" width="7" customWidth="1"/>
    <col min="6" max="6" width="6.33203125" customWidth="1"/>
    <col min="7" max="10" width="7" customWidth="1"/>
    <col min="11" max="12" width="6.33203125" customWidth="1"/>
    <col min="13" max="13" width="7" customWidth="1"/>
    <col min="14" max="14" width="5.77734375" customWidth="1"/>
  </cols>
  <sheetData>
    <row r="1" spans="1:15" ht="20.399999999999999">
      <c r="B1" s="81" t="s">
        <v>48</v>
      </c>
      <c r="C1" s="82"/>
      <c r="D1" s="82"/>
      <c r="E1" s="82"/>
      <c r="F1" s="82"/>
      <c r="G1" s="82"/>
      <c r="H1" s="82"/>
      <c r="I1" s="82"/>
      <c r="J1" s="82"/>
      <c r="K1" s="82"/>
      <c r="L1" s="82"/>
      <c r="M1" s="82"/>
      <c r="N1" s="83"/>
    </row>
    <row r="2" spans="1:15" ht="15.6">
      <c r="B2" s="19" t="s">
        <v>49</v>
      </c>
      <c r="C2" s="438">
        <f>flowDate</f>
        <v>36795.375</v>
      </c>
      <c r="D2" s="438"/>
      <c r="E2" s="84"/>
      <c r="F2" s="84"/>
      <c r="G2" s="84"/>
      <c r="H2" s="84"/>
      <c r="I2" s="84"/>
      <c r="J2" s="84"/>
      <c r="K2" s="84"/>
      <c r="L2" s="84"/>
      <c r="M2" s="84"/>
      <c r="N2" s="85"/>
    </row>
    <row r="3" spans="1:15" ht="15.6">
      <c r="B3" s="19" t="s">
        <v>50</v>
      </c>
      <c r="C3" s="436">
        <f>readingtime</f>
        <v>36796.261805555558</v>
      </c>
      <c r="D3" s="436"/>
      <c r="E3" s="84"/>
      <c r="F3" s="84"/>
      <c r="G3" s="84"/>
      <c r="H3" s="84"/>
      <c r="I3" s="84"/>
      <c r="J3" s="84"/>
      <c r="K3" s="84"/>
      <c r="L3" s="84"/>
      <c r="M3" s="84"/>
      <c r="N3" s="85"/>
    </row>
    <row r="4" spans="1:15" ht="15.6">
      <c r="B4" s="24" t="str">
        <f>currentsetting</f>
        <v>Total Accumulated Volumes(mmbtu)</v>
      </c>
      <c r="C4" s="25"/>
      <c r="D4" s="25"/>
      <c r="E4" s="84"/>
      <c r="F4" s="84"/>
      <c r="G4" s="84"/>
      <c r="H4" s="84"/>
      <c r="I4" s="84"/>
      <c r="J4" s="84"/>
      <c r="K4" s="84"/>
      <c r="L4" s="84"/>
      <c r="M4" s="84"/>
      <c r="N4" s="85"/>
    </row>
    <row r="5" spans="1:15" ht="30" customHeight="1" thickBot="1">
      <c r="B5" s="86"/>
      <c r="C5" s="87" t="s">
        <v>51</v>
      </c>
      <c r="D5" s="87" t="s">
        <v>52</v>
      </c>
      <c r="E5" s="87" t="s">
        <v>53</v>
      </c>
      <c r="F5" s="87" t="s">
        <v>54</v>
      </c>
      <c r="G5" s="87" t="s">
        <v>55</v>
      </c>
      <c r="H5" s="87" t="s">
        <v>56</v>
      </c>
      <c r="I5" s="87" t="s">
        <v>57</v>
      </c>
      <c r="J5" s="87" t="s">
        <v>58</v>
      </c>
      <c r="K5" s="87" t="s">
        <v>59</v>
      </c>
      <c r="L5" s="87" t="s">
        <v>60</v>
      </c>
      <c r="M5" s="87" t="s">
        <v>61</v>
      </c>
      <c r="N5" s="85"/>
    </row>
    <row r="6" spans="1:15">
      <c r="B6" s="86" t="s">
        <v>62</v>
      </c>
      <c r="C6" s="88"/>
      <c r="D6" s="89"/>
      <c r="E6" s="88">
        <f>actKR</f>
        <v>2.4901426000048508</v>
      </c>
      <c r="F6" s="89">
        <f>schKR</f>
        <v>0</v>
      </c>
      <c r="G6" s="90">
        <f t="shared" ref="G6:G15" si="0">E6-F6</f>
        <v>2.4901426000048508</v>
      </c>
      <c r="H6" s="91">
        <f>actkrhpl</f>
        <v>0</v>
      </c>
      <c r="I6" s="89">
        <f>schkrhpl</f>
        <v>0</v>
      </c>
      <c r="J6" s="92">
        <f t="shared" ref="J6:J15" si="1">H6-I6</f>
        <v>0</v>
      </c>
      <c r="K6" s="91">
        <f>actkrcig</f>
        <v>2.4901426000048508</v>
      </c>
      <c r="L6" s="89">
        <f>schkrcig</f>
        <v>0</v>
      </c>
      <c r="M6" s="93">
        <f t="shared" ref="M6:M15" si="2">K6-L6</f>
        <v>2.4901426000048508</v>
      </c>
      <c r="N6" s="85"/>
    </row>
    <row r="7" spans="1:15">
      <c r="B7" s="86" t="s">
        <v>63</v>
      </c>
      <c r="C7" s="94"/>
      <c r="D7" s="95"/>
      <c r="E7" s="94">
        <f>actST</f>
        <v>47.418991744699994</v>
      </c>
      <c r="F7" s="95">
        <f>schST</f>
        <v>24.731233333391952</v>
      </c>
      <c r="G7" s="96">
        <f t="shared" si="0"/>
        <v>22.687758411308042</v>
      </c>
      <c r="H7" s="97">
        <f>actSThpl</f>
        <v>0</v>
      </c>
      <c r="I7" s="95">
        <f>schSThpl</f>
        <v>0</v>
      </c>
      <c r="J7" s="98">
        <f t="shared" si="1"/>
        <v>0</v>
      </c>
      <c r="K7" s="97">
        <f>actSTcig</f>
        <v>47.418991744699994</v>
      </c>
      <c r="L7" s="95">
        <f>schSTcig</f>
        <v>24.731233333391952</v>
      </c>
      <c r="M7" s="99">
        <f t="shared" si="2"/>
        <v>22.687758411308042</v>
      </c>
      <c r="N7" s="85"/>
    </row>
    <row r="8" spans="1:15">
      <c r="A8">
        <v>99802</v>
      </c>
      <c r="B8" s="86" t="s">
        <v>64</v>
      </c>
      <c r="C8" s="94">
        <f>_LP802*BTUDefault</f>
        <v>45.297991968332269</v>
      </c>
      <c r="D8" s="95">
        <f>LP802b-VLOOKUP(A8,Cigsch,2,FALSE)</f>
        <v>-2.0480080316677274</v>
      </c>
      <c r="E8" s="94">
        <f>_act802</f>
        <v>290.64134442069309</v>
      </c>
      <c r="F8" s="95">
        <f>_sch802</f>
        <v>240.75972708390401</v>
      </c>
      <c r="G8" s="96">
        <f t="shared" si="0"/>
        <v>49.881617336789077</v>
      </c>
      <c r="H8" s="97">
        <f>act802hpl</f>
        <v>101.2961340232941</v>
      </c>
      <c r="I8" s="95">
        <f>sch802hpl</f>
        <v>86.134536805759723</v>
      </c>
      <c r="J8" s="98">
        <f t="shared" si="1"/>
        <v>15.161597217534379</v>
      </c>
      <c r="K8" s="97">
        <f>act802cig</f>
        <v>189.34521039739903</v>
      </c>
      <c r="L8" s="95">
        <f>sch802cig</f>
        <v>154.62519027814432</v>
      </c>
      <c r="M8" s="99">
        <f t="shared" si="2"/>
        <v>34.720020119254713</v>
      </c>
      <c r="N8" s="85"/>
    </row>
    <row r="9" spans="1:15">
      <c r="A9">
        <v>99804</v>
      </c>
      <c r="B9" s="86" t="s">
        <v>65</v>
      </c>
      <c r="C9" s="94">
        <f>_LP804*BTUDefault</f>
        <v>50.128071547202275</v>
      </c>
      <c r="D9" s="95">
        <f>LP804b-VLOOKUP(A9,Cigsch,2,FALSE)</f>
        <v>-2.314928452797723</v>
      </c>
      <c r="E9" s="94">
        <f>_act804</f>
        <v>280.17668716745732</v>
      </c>
      <c r="F9" s="95">
        <f>_sch804</f>
        <v>218.32265972273973</v>
      </c>
      <c r="G9" s="96">
        <f t="shared" si="0"/>
        <v>61.854027444717588</v>
      </c>
      <c r="H9" s="97">
        <f>act804hpl</f>
        <v>90.251651890137168</v>
      </c>
      <c r="I9" s="95">
        <f>sch804hpl</f>
        <v>63.077592361260628</v>
      </c>
      <c r="J9" s="98">
        <f t="shared" si="1"/>
        <v>27.174059528876541</v>
      </c>
      <c r="K9" s="97">
        <f>act804cig</f>
        <v>189.92503527732012</v>
      </c>
      <c r="L9" s="95">
        <f>sch804cig</f>
        <v>155.24506736147913</v>
      </c>
      <c r="M9" s="99">
        <f t="shared" si="2"/>
        <v>34.67996791584099</v>
      </c>
      <c r="N9" s="85"/>
    </row>
    <row r="10" spans="1:15">
      <c r="A10">
        <v>99806</v>
      </c>
      <c r="B10" s="86" t="s">
        <v>66</v>
      </c>
      <c r="C10" s="94">
        <f>_LP806*BTUDefault</f>
        <v>41.764310435083459</v>
      </c>
      <c r="D10" s="95">
        <f>LP806b-VLOOKUP(A10,Cigsch,2,FALSE)</f>
        <v>-1.4706895649165403</v>
      </c>
      <c r="E10" s="94">
        <f>_act806</f>
        <v>280.80844607991401</v>
      </c>
      <c r="F10" s="95">
        <f>_sch806</f>
        <v>215.81122638940045</v>
      </c>
      <c r="G10" s="96">
        <f t="shared" si="0"/>
        <v>64.99721969051356</v>
      </c>
      <c r="H10" s="97">
        <f>act806hpl</f>
        <v>86.830713328140348</v>
      </c>
      <c r="I10" s="95">
        <f>sch806hpl</f>
        <v>64.210929861263324</v>
      </c>
      <c r="J10" s="98">
        <f t="shared" si="1"/>
        <v>22.619783466877024</v>
      </c>
      <c r="K10" s="97">
        <f>act806cig</f>
        <v>193.97773275177363</v>
      </c>
      <c r="L10" s="95">
        <f>sch806cig</f>
        <v>151.60029652813716</v>
      </c>
      <c r="M10" s="99">
        <f t="shared" si="2"/>
        <v>42.377436223636465</v>
      </c>
      <c r="N10" s="85"/>
    </row>
    <row r="11" spans="1:15">
      <c r="A11">
        <v>99809</v>
      </c>
      <c r="B11" s="86" t="s">
        <v>67</v>
      </c>
      <c r="C11" s="94">
        <f>_LP809*BTUDefault</f>
        <v>74.610215144637721</v>
      </c>
      <c r="D11" s="95">
        <f>LP809b-VLOOKUP(A11,Cigsch,2,FALSE)</f>
        <v>-0.83078485536228186</v>
      </c>
      <c r="E11" s="94">
        <f>_act809</f>
        <v>347.63036499535218</v>
      </c>
      <c r="F11" s="95">
        <f>_sch809</f>
        <v>329.86594930633743</v>
      </c>
      <c r="G11" s="96">
        <f t="shared" si="0"/>
        <v>17.764415689014754</v>
      </c>
      <c r="H11" s="97">
        <f>act809hpl</f>
        <v>170.27994484411855</v>
      </c>
      <c r="I11" s="95">
        <f>sch809hpl</f>
        <v>139.25330277810784</v>
      </c>
      <c r="J11" s="98">
        <f t="shared" si="1"/>
        <v>31.026642066010709</v>
      </c>
      <c r="K11" s="97">
        <f>act809cig</f>
        <v>177.35042015123358</v>
      </c>
      <c r="L11" s="95">
        <f>sch809cig</f>
        <v>190.61264652822962</v>
      </c>
      <c r="M11" s="99">
        <f t="shared" si="2"/>
        <v>-13.26222637699604</v>
      </c>
      <c r="N11" s="85"/>
    </row>
    <row r="12" spans="1:15">
      <c r="A12">
        <v>99812</v>
      </c>
      <c r="B12" s="86" t="s">
        <v>68</v>
      </c>
      <c r="C12" s="94">
        <f>_LP812*BTUDefault</f>
        <v>74.72076112868541</v>
      </c>
      <c r="D12" s="95">
        <f>LP812b-VLOOKUP(A12,Cigsch,2,FALSE)</f>
        <v>-0.20323887131459628</v>
      </c>
      <c r="E12" s="94">
        <f>_act812</f>
        <v>339.30315472134669</v>
      </c>
      <c r="F12" s="95">
        <f>_sch812</f>
        <v>310.71981736184756</v>
      </c>
      <c r="G12" s="96">
        <f t="shared" si="0"/>
        <v>28.583337359499126</v>
      </c>
      <c r="H12" s="97">
        <f>act812hpl</f>
        <v>166.22776007391153</v>
      </c>
      <c r="I12" s="95">
        <f>sch812hpl</f>
        <v>138.31151527810562</v>
      </c>
      <c r="J12" s="98">
        <f t="shared" si="1"/>
        <v>27.916244795805909</v>
      </c>
      <c r="K12" s="97">
        <f>act812cig</f>
        <v>173.07539464743505</v>
      </c>
      <c r="L12" s="95">
        <f>sch812cig</f>
        <v>172.40830208374203</v>
      </c>
      <c r="M12" s="99">
        <f t="shared" si="2"/>
        <v>0.66709256369301784</v>
      </c>
      <c r="N12" s="85"/>
    </row>
    <row r="13" spans="1:15">
      <c r="B13" s="86" t="s">
        <v>69</v>
      </c>
      <c r="C13" s="100"/>
      <c r="D13" s="101"/>
      <c r="E13" s="94">
        <f>_act813</f>
        <v>339.12913568152169</v>
      </c>
      <c r="F13" s="95">
        <f>_sch813</f>
        <v>310.71981736184756</v>
      </c>
      <c r="G13" s="96">
        <f t="shared" si="0"/>
        <v>28.409318319674128</v>
      </c>
      <c r="H13" s="97">
        <f>act813hpl</f>
        <v>166.05374103408653</v>
      </c>
      <c r="I13" s="95">
        <f>sch813hpl</f>
        <v>138.31151527810562</v>
      </c>
      <c r="J13" s="98">
        <f t="shared" si="1"/>
        <v>27.742225755980911</v>
      </c>
      <c r="K13" s="97">
        <f>act813cig</f>
        <v>173.07539464743505</v>
      </c>
      <c r="L13" s="95">
        <f>sch813cig</f>
        <v>172.40830208374203</v>
      </c>
      <c r="M13" s="99">
        <f t="shared" si="2"/>
        <v>0.66709256369301784</v>
      </c>
      <c r="N13" s="85"/>
    </row>
    <row r="14" spans="1:15">
      <c r="A14">
        <v>99814</v>
      </c>
      <c r="B14" s="86" t="s">
        <v>70</v>
      </c>
      <c r="C14" s="102">
        <f>LP8141A*BTUDefault</f>
        <v>34.860543620570716</v>
      </c>
      <c r="D14" s="103">
        <f>LP8141Ab-VLOOKUP(A14,Cigsch,2,FALSE)</f>
        <v>7.6543620570717508E-2</v>
      </c>
      <c r="E14" s="94">
        <f>act8141a</f>
        <v>57.389878074641111</v>
      </c>
      <c r="F14" s="95">
        <f>sch8141a</f>
        <v>56.196868055688725</v>
      </c>
      <c r="G14" s="96">
        <f t="shared" si="0"/>
        <v>1.1930100189523856</v>
      </c>
      <c r="H14" s="97">
        <f>act8141ahpl</f>
        <v>-10.774356642849616</v>
      </c>
      <c r="I14" s="95">
        <f>sch8141ahpl</f>
        <v>-23.300815972277434</v>
      </c>
      <c r="J14" s="98">
        <f t="shared" si="1"/>
        <v>12.526459329427817</v>
      </c>
      <c r="K14" s="97">
        <f>act8141acig</f>
        <v>68.164234717490586</v>
      </c>
      <c r="L14" s="95">
        <f>sch8141acig</f>
        <v>79.497684027966244</v>
      </c>
      <c r="M14" s="99">
        <f t="shared" si="2"/>
        <v>-11.333449310475658</v>
      </c>
      <c r="N14" s="85"/>
    </row>
    <row r="15" spans="1:15" ht="13.8" thickBot="1">
      <c r="A15">
        <v>99820</v>
      </c>
      <c r="B15" s="86" t="s">
        <v>71</v>
      </c>
      <c r="C15" s="104">
        <f>(_LP820+LPSabine)*BTUDefault</f>
        <v>108.96391122021957</v>
      </c>
      <c r="D15" s="105">
        <f>LPsabineb-VLOOKUP(A15,Cigsch,2,FALSE)</f>
        <v>-0.23908877978043108</v>
      </c>
      <c r="E15" s="104">
        <f>_act820</f>
        <v>-12.120250687849373</v>
      </c>
      <c r="F15" s="106">
        <f>_sch820</f>
        <v>-4.8135805555670013</v>
      </c>
      <c r="G15" s="107">
        <f t="shared" si="0"/>
        <v>-7.3066701322823713</v>
      </c>
      <c r="H15" s="108">
        <f>act820hpl</f>
        <v>-0.59900771972465883</v>
      </c>
      <c r="I15" s="106">
        <f>sch820hpl</f>
        <v>1.4349632593280148E-14</v>
      </c>
      <c r="J15" s="109">
        <f t="shared" si="1"/>
        <v>-0.59900771972467315</v>
      </c>
      <c r="K15" s="108">
        <f>act820cig</f>
        <v>-11.521242968124856</v>
      </c>
      <c r="L15" s="106">
        <f>sch820cig</f>
        <v>-4.8135805555669293</v>
      </c>
      <c r="M15" s="110">
        <f t="shared" si="2"/>
        <v>-6.7076624125579265</v>
      </c>
      <c r="N15" s="85"/>
    </row>
    <row r="16" spans="1:15" ht="13.8" thickBot="1">
      <c r="B16" s="111" t="s">
        <v>72</v>
      </c>
      <c r="C16" s="108">
        <f>SUM(C8:C15)</f>
        <v>430.34580506473139</v>
      </c>
      <c r="D16" s="108">
        <f>SUM(D8:D15)</f>
        <v>-7.0301949352685824</v>
      </c>
      <c r="E16" s="108"/>
      <c r="F16" s="108"/>
      <c r="G16" s="108"/>
      <c r="H16" s="108"/>
      <c r="I16" s="108"/>
      <c r="J16" s="108"/>
      <c r="K16" s="108"/>
      <c r="L16" s="108"/>
      <c r="M16" s="108"/>
      <c r="N16" s="112"/>
      <c r="O16" s="113"/>
    </row>
    <row r="17" spans="2:15">
      <c r="B17" s="114" t="s">
        <v>73</v>
      </c>
      <c r="C17" s="114" t="s">
        <v>74</v>
      </c>
      <c r="D17" s="114" t="s">
        <v>75</v>
      </c>
      <c r="E17" s="114" t="s">
        <v>76</v>
      </c>
      <c r="F17" s="114"/>
      <c r="G17" s="114"/>
      <c r="H17" s="114"/>
      <c r="I17" s="114"/>
      <c r="J17" s="114"/>
      <c r="K17" s="114"/>
      <c r="L17" s="114"/>
      <c r="M17" s="114"/>
      <c r="N17" s="114"/>
      <c r="O17" s="113"/>
    </row>
    <row r="18" spans="2:15">
      <c r="B18" s="115">
        <v>800</v>
      </c>
      <c r="C18" s="116">
        <f>PDAD</f>
        <v>823.84533699999997</v>
      </c>
      <c r="D18" s="116">
        <v>750</v>
      </c>
      <c r="E18" s="84">
        <v>925</v>
      </c>
      <c r="F18" s="84"/>
      <c r="G18" s="84"/>
      <c r="H18" s="84"/>
      <c r="I18" s="84"/>
      <c r="J18" s="84"/>
      <c r="K18" s="84"/>
      <c r="L18" s="84"/>
      <c r="M18" s="84"/>
      <c r="N18" s="84"/>
      <c r="O18" s="113"/>
    </row>
    <row r="19" spans="2:15">
      <c r="B19" s="115" t="s">
        <v>77</v>
      </c>
      <c r="C19" s="116">
        <f>_PS802</f>
        <v>786.78839100000005</v>
      </c>
      <c r="D19" s="116">
        <v>750</v>
      </c>
      <c r="E19" s="84">
        <v>936</v>
      </c>
      <c r="F19" s="84"/>
      <c r="G19" s="84"/>
      <c r="H19" s="84"/>
      <c r="I19" s="84"/>
      <c r="J19" s="84"/>
      <c r="K19" s="84"/>
      <c r="L19" s="84"/>
      <c r="M19" s="84"/>
      <c r="N19" s="84"/>
      <c r="O19" s="113"/>
    </row>
    <row r="20" spans="2:15">
      <c r="B20" s="117" t="s">
        <v>78</v>
      </c>
      <c r="C20" s="118">
        <f>_PD802</f>
        <v>787.05694600000004</v>
      </c>
      <c r="D20" s="118"/>
      <c r="E20" s="119">
        <v>936</v>
      </c>
      <c r="F20" s="119"/>
      <c r="G20" s="119"/>
      <c r="H20" s="119"/>
      <c r="I20" s="119"/>
      <c r="J20" s="119"/>
      <c r="K20" s="119"/>
      <c r="L20" s="119"/>
      <c r="M20" s="119"/>
      <c r="N20" s="119"/>
    </row>
    <row r="21" spans="2:15">
      <c r="B21" s="117" t="s">
        <v>79</v>
      </c>
      <c r="C21" s="118">
        <f>_PS804</f>
        <v>738</v>
      </c>
      <c r="D21" s="118"/>
      <c r="E21" s="119">
        <v>936</v>
      </c>
      <c r="F21" s="119"/>
      <c r="G21" s="119"/>
      <c r="H21" s="119"/>
      <c r="I21" s="119"/>
      <c r="J21" s="119"/>
      <c r="K21" s="119"/>
      <c r="L21" s="119"/>
      <c r="M21" s="119"/>
      <c r="N21" s="119"/>
    </row>
    <row r="22" spans="2:15">
      <c r="B22" s="117" t="s">
        <v>80</v>
      </c>
      <c r="C22" s="118">
        <f>_PD804</f>
        <v>736</v>
      </c>
      <c r="D22" s="118">
        <v>600</v>
      </c>
      <c r="E22" s="119">
        <v>936</v>
      </c>
      <c r="F22" s="119"/>
      <c r="G22" s="119"/>
      <c r="H22" s="119"/>
      <c r="I22" s="119"/>
      <c r="J22" s="119"/>
      <c r="K22" s="119"/>
      <c r="L22" s="119"/>
      <c r="M22" s="119"/>
      <c r="N22" s="119"/>
    </row>
    <row r="23" spans="2:15">
      <c r="B23" s="117" t="s">
        <v>81</v>
      </c>
      <c r="C23" s="118">
        <f>_PS806</f>
        <v>699.99401899999998</v>
      </c>
      <c r="D23" s="118">
        <v>600</v>
      </c>
      <c r="E23" s="119">
        <v>936</v>
      </c>
      <c r="F23" s="119"/>
      <c r="G23" s="119"/>
      <c r="H23" s="119"/>
      <c r="I23" s="119"/>
      <c r="J23" s="119"/>
      <c r="K23" s="119"/>
      <c r="L23" s="119"/>
      <c r="M23" s="119"/>
      <c r="N23" s="119"/>
    </row>
    <row r="24" spans="2:15">
      <c r="B24" s="117" t="s">
        <v>82</v>
      </c>
      <c r="C24" s="118">
        <f>_PD806</f>
        <v>888.78698699999995</v>
      </c>
      <c r="D24" s="118"/>
      <c r="E24" s="119">
        <v>926</v>
      </c>
      <c r="F24" s="119"/>
      <c r="G24" s="119"/>
      <c r="H24" s="119"/>
      <c r="I24" s="119"/>
      <c r="J24" s="119"/>
      <c r="K24" s="119"/>
      <c r="L24" s="119"/>
      <c r="M24" s="119"/>
      <c r="N24" s="119"/>
    </row>
    <row r="25" spans="2:15">
      <c r="B25" s="117" t="s">
        <v>83</v>
      </c>
      <c r="C25" s="118">
        <f>PDBLESS</f>
        <v>843.25457800000004</v>
      </c>
      <c r="D25" s="118"/>
      <c r="E25" s="119">
        <v>926</v>
      </c>
      <c r="F25" s="119"/>
      <c r="G25" s="119"/>
      <c r="H25" s="119"/>
      <c r="I25" s="119"/>
      <c r="J25" s="119"/>
      <c r="K25" s="119"/>
      <c r="L25" s="119"/>
      <c r="M25" s="119"/>
      <c r="N25" s="119"/>
    </row>
    <row r="26" spans="2:15">
      <c r="B26" s="117" t="s">
        <v>84</v>
      </c>
      <c r="C26" s="118">
        <f>_PS809</f>
        <v>806.078979</v>
      </c>
      <c r="D26" s="118"/>
      <c r="E26" s="119">
        <v>926</v>
      </c>
      <c r="F26" s="119"/>
      <c r="G26" s="119"/>
      <c r="H26" s="119"/>
      <c r="I26" s="119"/>
      <c r="J26" s="119"/>
      <c r="K26" s="119"/>
      <c r="L26" s="119"/>
      <c r="M26" s="119"/>
      <c r="N26" s="119"/>
    </row>
    <row r="27" spans="2:15">
      <c r="B27" s="117" t="s">
        <v>85</v>
      </c>
      <c r="C27" s="118">
        <f>_PD809</f>
        <v>803.942993</v>
      </c>
      <c r="D27" s="118"/>
      <c r="E27" s="119">
        <v>936</v>
      </c>
      <c r="F27" s="119"/>
      <c r="G27" s="119"/>
      <c r="H27" s="119"/>
      <c r="I27" s="119"/>
      <c r="J27" s="119"/>
      <c r="K27" s="119"/>
      <c r="L27" s="119"/>
      <c r="M27" s="119"/>
      <c r="N27" s="119"/>
    </row>
    <row r="28" spans="2:15">
      <c r="B28" s="117" t="s">
        <v>86</v>
      </c>
      <c r="C28" s="118">
        <f>PS8121A</f>
        <v>729.591858</v>
      </c>
      <c r="D28" s="118"/>
      <c r="E28" s="119">
        <v>936</v>
      </c>
      <c r="F28" s="119"/>
      <c r="G28" s="119"/>
      <c r="H28" s="119"/>
      <c r="I28" s="119"/>
      <c r="J28" s="119"/>
      <c r="K28" s="119"/>
      <c r="L28" s="119"/>
      <c r="M28" s="119"/>
      <c r="N28" s="119"/>
    </row>
    <row r="29" spans="2:15">
      <c r="B29" s="117" t="s">
        <v>87</v>
      </c>
      <c r="C29" s="118">
        <f>PD8121A</f>
        <v>722.07299799999998</v>
      </c>
      <c r="D29" s="118"/>
      <c r="E29" s="119">
        <v>936</v>
      </c>
      <c r="F29" s="119"/>
      <c r="G29" s="119"/>
      <c r="H29" s="119"/>
      <c r="I29" s="119"/>
      <c r="J29" s="119"/>
      <c r="K29" s="119"/>
      <c r="L29" s="119"/>
      <c r="M29" s="119"/>
      <c r="N29" s="119"/>
    </row>
    <row r="30" spans="2:15">
      <c r="B30" s="117" t="s">
        <v>88</v>
      </c>
      <c r="C30" s="118">
        <f>_PD812</f>
        <v>719.11926300000005</v>
      </c>
      <c r="D30" s="118"/>
      <c r="E30" s="119">
        <v>936</v>
      </c>
      <c r="F30" s="119"/>
      <c r="G30" s="119"/>
      <c r="H30" s="119"/>
      <c r="I30" s="119"/>
      <c r="J30" s="119"/>
      <c r="K30" s="119"/>
      <c r="L30" s="119"/>
      <c r="M30" s="119"/>
      <c r="N30" s="119"/>
    </row>
    <row r="31" spans="2:15">
      <c r="B31" s="117">
        <v>813</v>
      </c>
      <c r="C31" s="118">
        <f>_PD813</f>
        <v>703.54455600000006</v>
      </c>
      <c r="D31" s="118"/>
      <c r="E31" s="119">
        <v>715</v>
      </c>
      <c r="F31" s="119"/>
      <c r="G31" s="119"/>
      <c r="H31" s="119"/>
      <c r="I31" s="119"/>
      <c r="J31" s="119"/>
      <c r="K31" s="119"/>
      <c r="L31" s="119"/>
      <c r="M31" s="119"/>
      <c r="N31" s="119"/>
    </row>
    <row r="32" spans="2:15">
      <c r="B32" s="117">
        <v>814.1</v>
      </c>
      <c r="C32" s="118">
        <f>PSLomax</f>
        <v>632.78735400000005</v>
      </c>
      <c r="D32" s="118">
        <v>535</v>
      </c>
      <c r="E32" s="119">
        <v>715</v>
      </c>
      <c r="F32" s="119"/>
      <c r="G32" s="119"/>
      <c r="H32" s="119"/>
      <c r="I32" s="119"/>
      <c r="J32" s="119"/>
      <c r="K32" s="119"/>
      <c r="L32" s="119"/>
      <c r="M32" s="119"/>
      <c r="N32" s="119"/>
    </row>
    <row r="33" spans="2:14">
      <c r="B33" s="117">
        <v>820</v>
      </c>
      <c r="C33" s="118">
        <f>_PD26167</f>
        <v>634.80127000000005</v>
      </c>
      <c r="D33" s="118">
        <v>530</v>
      </c>
      <c r="E33" s="119">
        <v>936</v>
      </c>
      <c r="F33" s="119"/>
      <c r="G33" s="119"/>
      <c r="H33" s="119"/>
      <c r="I33" s="119"/>
      <c r="J33" s="119"/>
      <c r="K33" s="119"/>
      <c r="L33" s="119"/>
      <c r="M33" s="119"/>
      <c r="N33" s="119"/>
    </row>
    <row r="34" spans="2:14">
      <c r="B34" s="119"/>
      <c r="C34" s="119"/>
      <c r="D34" s="119"/>
      <c r="E34" s="119"/>
      <c r="F34" s="119"/>
      <c r="G34" s="119"/>
      <c r="H34" s="119"/>
      <c r="I34" s="119"/>
      <c r="J34" s="119"/>
      <c r="K34" s="119"/>
      <c r="L34" s="119"/>
      <c r="M34" s="119"/>
      <c r="N34" s="119"/>
    </row>
    <row r="35" spans="2:14">
      <c r="B35" s="119"/>
      <c r="C35" s="119"/>
      <c r="D35" s="119"/>
      <c r="E35" s="119"/>
      <c r="F35" s="119"/>
      <c r="G35" s="119"/>
      <c r="H35" s="119"/>
      <c r="I35" s="119"/>
      <c r="J35" s="119"/>
      <c r="K35" s="119"/>
      <c r="L35" s="119"/>
      <c r="M35" s="119"/>
      <c r="N35" s="119"/>
    </row>
    <row r="36" spans="2:14">
      <c r="B36" s="119"/>
      <c r="C36" s="119"/>
      <c r="D36" s="119"/>
      <c r="E36" s="119"/>
      <c r="F36" s="119"/>
      <c r="G36" s="119"/>
      <c r="H36" s="119"/>
      <c r="I36" s="119"/>
      <c r="J36" s="119"/>
      <c r="K36" s="119"/>
      <c r="L36" s="119"/>
      <c r="M36" s="119"/>
      <c r="N36" s="119"/>
    </row>
    <row r="37" spans="2:14">
      <c r="B37" s="119"/>
      <c r="C37" s="119"/>
      <c r="D37" s="119"/>
      <c r="E37" s="119"/>
      <c r="F37" s="119"/>
      <c r="G37" s="119"/>
      <c r="H37" s="119"/>
      <c r="I37" s="119"/>
      <c r="J37" s="119"/>
      <c r="K37" s="119"/>
      <c r="L37" s="119"/>
      <c r="M37" s="119"/>
      <c r="N37" s="119"/>
    </row>
    <row r="38" spans="2:14">
      <c r="B38" s="119"/>
      <c r="C38" s="119"/>
      <c r="D38" s="119"/>
      <c r="E38" s="119"/>
      <c r="F38" s="119"/>
      <c r="G38" s="119"/>
      <c r="H38" s="119"/>
      <c r="I38" s="119"/>
      <c r="J38" s="119"/>
      <c r="K38" s="119"/>
      <c r="L38" s="119"/>
      <c r="M38" s="119"/>
      <c r="N38" s="119"/>
    </row>
    <row r="39" spans="2:14">
      <c r="B39" s="119"/>
      <c r="C39" s="119"/>
      <c r="D39" s="119"/>
      <c r="E39" s="119"/>
      <c r="F39" s="119"/>
      <c r="G39" s="119"/>
      <c r="H39" s="119"/>
      <c r="I39" s="119"/>
      <c r="J39" s="119"/>
      <c r="K39" s="119"/>
      <c r="L39" s="119"/>
      <c r="M39" s="119"/>
      <c r="N39" s="119"/>
    </row>
    <row r="40" spans="2:14">
      <c r="B40" s="119"/>
      <c r="C40" s="119"/>
      <c r="D40" s="119"/>
      <c r="E40" s="119"/>
      <c r="F40" s="119"/>
      <c r="G40" s="119"/>
      <c r="H40" s="119"/>
      <c r="I40" s="119"/>
      <c r="J40" s="119"/>
      <c r="K40" s="119"/>
      <c r="L40" s="119"/>
      <c r="M40" s="119"/>
      <c r="N40" s="119"/>
    </row>
    <row r="41" spans="2:14">
      <c r="B41" s="119"/>
      <c r="C41" s="119"/>
      <c r="D41" s="119"/>
      <c r="E41" s="119"/>
      <c r="F41" s="119"/>
      <c r="G41" s="119"/>
      <c r="H41" s="119"/>
      <c r="I41" s="119"/>
      <c r="J41" s="119"/>
      <c r="K41" s="119"/>
      <c r="L41" s="119"/>
      <c r="M41" s="119"/>
      <c r="N41" s="119"/>
    </row>
  </sheetData>
  <sheetProtection password="C0E5" sheet="1" objects="1" scenarios="1"/>
  <mergeCells count="2">
    <mergeCell ref="C2:D2"/>
    <mergeCell ref="C3:D3"/>
  </mergeCells>
  <pageMargins left="0.25" right="0.25" top="0.51" bottom="0.56000000000000005" header="0.2" footer="0.21"/>
  <pageSetup orientation="portrait" horizontalDpi="4294967292" verticalDpi="300" r:id="rId1"/>
  <headerFooter alignWithMargins="0">
    <oddHeader>&amp;C&amp;"Times New Roman,Bold"&amp;18Pressure &amp; Volume Summary</oddHeader>
    <oddFooter>&amp;L&amp;D  &amp;T&amp;C&amp;F&amp;R&amp;"Times New Roman,Bold Italic"&amp;14OPERATIONS PLANNING</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Check Box 2">
              <controlPr defaultSize="0" print="0" autoFill="0" autoLine="0" autoPict="0">
                <anchor>
                  <from>
                    <xdr:col>5</xdr:col>
                    <xdr:colOff>83820</xdr:colOff>
                    <xdr:row>0</xdr:row>
                    <xdr:rowOff>144780</xdr:rowOff>
                  </from>
                  <to>
                    <xdr:col>7</xdr:col>
                    <xdr:colOff>472440</xdr:colOff>
                    <xdr:row>1</xdr:row>
                    <xdr:rowOff>106680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1"/>
  <dimension ref="A1:AC383"/>
  <sheetViews>
    <sheetView showGridLines="0" showRowColHeaders="0" showZeros="0" zoomScale="90" workbookViewId="0">
      <pane xSplit="8" ySplit="4" topLeftCell="I5" activePane="bottomRight" state="frozen"/>
      <selection pane="topRight"/>
      <selection pane="bottomLeft"/>
      <selection pane="bottomRight"/>
    </sheetView>
  </sheetViews>
  <sheetFormatPr defaultColWidth="9.33203125" defaultRowHeight="13.2"/>
  <cols>
    <col min="1" max="1" width="6.33203125" style="429" customWidth="1"/>
    <col min="2" max="2" width="7" style="426" customWidth="1"/>
    <col min="3" max="3" width="6" style="427" customWidth="1"/>
    <col min="4" max="4" width="31.6640625" style="433" customWidth="1"/>
    <col min="5" max="5" width="4.77734375" style="426" customWidth="1"/>
    <col min="6" max="6" width="5.44140625" style="125" customWidth="1"/>
    <col min="7" max="7" width="6.33203125" style="125" customWidth="1"/>
    <col min="8" max="8" width="9" style="426" customWidth="1"/>
    <col min="9" max="9" width="9" style="133" customWidth="1"/>
    <col min="10" max="10" width="9.44140625" style="133" customWidth="1"/>
    <col min="11" max="11" width="9" style="133" bestFit="1" customWidth="1"/>
    <col min="12" max="12" width="10.33203125" style="133" bestFit="1" customWidth="1"/>
    <col min="13" max="13" width="10.33203125" style="133" customWidth="1"/>
    <col min="14" max="14" width="9.109375" style="133" customWidth="1"/>
    <col min="15" max="15" width="9.44140625" style="133" customWidth="1"/>
    <col min="16" max="16" width="8.109375" style="133" customWidth="1"/>
    <col min="17" max="17" width="10.33203125" style="133" customWidth="1"/>
    <col min="18" max="18" width="10.33203125" style="428" customWidth="1"/>
    <col min="19" max="19" width="8.77734375" style="133" customWidth="1"/>
    <col min="20" max="20" width="9.77734375" style="133" customWidth="1"/>
    <col min="21" max="21" width="8.44140625" style="133" customWidth="1"/>
    <col min="22" max="22" width="9.77734375" style="133" customWidth="1"/>
    <col min="23" max="23" width="10.6640625" style="133" customWidth="1"/>
    <col min="24" max="24" width="9.33203125" style="133"/>
    <col min="25" max="25" width="9.109375" style="133" customWidth="1"/>
    <col min="26" max="16384" width="9.33203125" style="135"/>
  </cols>
  <sheetData>
    <row r="1" spans="1:29" ht="35.25" customHeight="1" thickBot="1">
      <c r="A1" s="120"/>
      <c r="B1" s="121"/>
      <c r="C1" s="122"/>
      <c r="D1" s="123">
        <f>D2</f>
        <v>36795.375</v>
      </c>
      <c r="E1" s="124"/>
      <c r="G1" s="126"/>
      <c r="H1" s="127"/>
      <c r="I1" s="128"/>
      <c r="J1" s="129"/>
      <c r="K1" s="129"/>
      <c r="L1" s="130" t="str">
        <f>CONCATENATE("Count of Comm errors = ",DCOUNTA(masterlist,"Err",critcomm),"  ")</f>
        <v xml:space="preserve">Count of Comm errors = 4  </v>
      </c>
      <c r="M1" s="129"/>
      <c r="N1" s="131"/>
      <c r="O1" s="132" t="str">
        <f>CONCATENATE("Vol= ",ROUND(DSUM(masterlist,"TTL Act",critcomm),1)," mm")</f>
        <v>Vol= 0 mm</v>
      </c>
      <c r="R1" s="134"/>
      <c r="W1" s="134"/>
    </row>
    <row r="2" spans="1:29" ht="15" customHeight="1" thickBot="1">
      <c r="A2" s="136"/>
      <c r="B2" s="136"/>
      <c r="C2" s="137" t="s">
        <v>4</v>
      </c>
      <c r="D2" s="138">
        <f>IF(POLLHOUR&lt;=0.375,INT(D3-1)+0.375,INT(D3)+0.375)</f>
        <v>36795.375</v>
      </c>
      <c r="E2" s="139"/>
      <c r="F2" s="140"/>
      <c r="G2" s="141"/>
      <c r="H2" s="124"/>
      <c r="I2" s="142" t="s">
        <v>89</v>
      </c>
      <c r="M2" s="134"/>
      <c r="R2" s="134"/>
      <c r="W2" s="134"/>
    </row>
    <row r="3" spans="1:29" s="158" customFormat="1" ht="13.5" customHeight="1" thickTop="1">
      <c r="A3" s="143"/>
      <c r="B3" s="143"/>
      <c r="C3" s="137" t="s">
        <v>6</v>
      </c>
      <c r="D3" s="144">
        <f>VLOOKUP(6101,spotdata,4,FALSE)</f>
        <v>36796.261805555558</v>
      </c>
      <c r="E3" s="127"/>
      <c r="F3" s="140"/>
      <c r="G3" s="145"/>
      <c r="H3" s="146"/>
      <c r="I3" s="147" t="s">
        <v>90</v>
      </c>
      <c r="J3" s="148"/>
      <c r="K3" s="148"/>
      <c r="L3" s="148"/>
      <c r="M3" s="149"/>
      <c r="N3" s="150">
        <v>3942</v>
      </c>
      <c r="O3" s="150"/>
      <c r="P3" s="151" t="s">
        <v>91</v>
      </c>
      <c r="Q3" s="152"/>
      <c r="R3" s="153"/>
      <c r="S3" s="150"/>
      <c r="T3" s="152"/>
      <c r="U3" s="151" t="s">
        <v>92</v>
      </c>
      <c r="V3" s="154"/>
      <c r="W3" s="155"/>
      <c r="X3" s="156"/>
      <c r="Y3" s="157"/>
    </row>
    <row r="4" spans="1:29" ht="36.75" customHeight="1" thickBot="1">
      <c r="A4" s="159" t="s">
        <v>93</v>
      </c>
      <c r="B4" s="160" t="s">
        <v>94</v>
      </c>
      <c r="C4" s="161" t="s">
        <v>95</v>
      </c>
      <c r="D4" s="162" t="s">
        <v>73</v>
      </c>
      <c r="E4" s="160" t="s">
        <v>96</v>
      </c>
      <c r="F4" s="163" t="s">
        <v>97</v>
      </c>
      <c r="G4" s="163" t="s">
        <v>98</v>
      </c>
      <c r="H4" s="164" t="s">
        <v>99</v>
      </c>
      <c r="I4" s="165" t="s">
        <v>7</v>
      </c>
      <c r="J4" s="166" t="s">
        <v>100</v>
      </c>
      <c r="K4" s="166" t="s">
        <v>101</v>
      </c>
      <c r="L4" s="166" t="s">
        <v>102</v>
      </c>
      <c r="M4" s="167" t="s">
        <v>103</v>
      </c>
      <c r="N4" s="166" t="s">
        <v>11</v>
      </c>
      <c r="O4" s="166" t="s">
        <v>104</v>
      </c>
      <c r="P4" s="166" t="s">
        <v>105</v>
      </c>
      <c r="Q4" s="166" t="s">
        <v>106</v>
      </c>
      <c r="R4" s="168" t="s">
        <v>107</v>
      </c>
      <c r="S4" s="166" t="s">
        <v>9</v>
      </c>
      <c r="T4" s="166" t="s">
        <v>108</v>
      </c>
      <c r="U4" s="166" t="s">
        <v>109</v>
      </c>
      <c r="V4" s="166" t="s">
        <v>110</v>
      </c>
      <c r="W4" s="166" t="s">
        <v>111</v>
      </c>
      <c r="X4" s="169" t="s">
        <v>112</v>
      </c>
      <c r="Y4" s="170" t="s">
        <v>113</v>
      </c>
    </row>
    <row r="5" spans="1:29" ht="12.75" customHeight="1">
      <c r="A5" s="171" t="s">
        <v>114</v>
      </c>
      <c r="B5" s="172">
        <v>16361</v>
      </c>
      <c r="C5" s="171"/>
      <c r="D5" s="173" t="s">
        <v>115</v>
      </c>
      <c r="E5" s="173" t="s">
        <v>116</v>
      </c>
      <c r="F5" s="174" t="s">
        <v>116</v>
      </c>
      <c r="G5" s="175">
        <f t="shared" ref="G5:G14" si="0">VLOOKUP($B5,BTU,2,FALSE)/1000</f>
        <v>1.0249999999999999</v>
      </c>
      <c r="H5" s="176" t="str">
        <f t="shared" ref="H5:H26" si="1">VLOOKUP($B5,spotdata,3,FALSE)</f>
        <v>UNAV</v>
      </c>
      <c r="I5" s="177">
        <f t="shared" ref="I5:I12" si="2">IF(VLOOKUP($B5,errordata,3,FALSE)="UNAV",J5*POLLHOURSFLOWED,IF(LEFT(B5,1)="1",VLOOKUP($B5,totalvolume,2,FALSE)*G5/1000,VLOOKUP($B5,totalvolume,2,FALSE)*G5/1000*-1))</f>
        <v>0</v>
      </c>
      <c r="J5" s="178">
        <f t="shared" ref="J5:J26" si="3">O5+T5</f>
        <v>0</v>
      </c>
      <c r="K5" s="179">
        <f t="shared" ref="K5:K26" si="4">I5-J5</f>
        <v>0</v>
      </c>
      <c r="L5" s="180">
        <f>I5</f>
        <v>0</v>
      </c>
      <c r="M5" s="181">
        <f>J5</f>
        <v>0</v>
      </c>
      <c r="N5" s="180"/>
      <c r="O5" s="178"/>
      <c r="P5" s="179"/>
      <c r="Q5" s="180"/>
      <c r="R5" s="182"/>
      <c r="S5" s="183">
        <f t="shared" ref="S5:S26" si="5">I5-N5</f>
        <v>0</v>
      </c>
      <c r="T5" s="178">
        <f t="shared" ref="T5:T26" si="6">IF(LEFT(B5,1)="1",VLOOKUP(B5,Cigsch,2,FALSE)/1000,VLOOKUP(B5,Cigsch,2,FALSE)/1000*-1)*POLLHOURSFLOWED</f>
        <v>0</v>
      </c>
      <c r="U5" s="179">
        <f t="shared" ref="U5:U26" si="7">S5-T5</f>
        <v>0</v>
      </c>
      <c r="V5" s="184">
        <f>S5</f>
        <v>0</v>
      </c>
      <c r="W5" s="185">
        <f>T5</f>
        <v>0</v>
      </c>
      <c r="X5" s="186">
        <f t="shared" ref="X5:X26" si="8">S5-Y5</f>
        <v>0</v>
      </c>
      <c r="Y5" s="187">
        <f t="shared" ref="Y5:Y26" si="9">IF(F5="OBA",I5-J5,0)</f>
        <v>0</v>
      </c>
      <c r="AB5" s="188"/>
      <c r="AC5" s="189"/>
    </row>
    <row r="6" spans="1:29">
      <c r="A6" s="171" t="s">
        <v>114</v>
      </c>
      <c r="B6" s="173">
        <v>26213</v>
      </c>
      <c r="C6" s="171"/>
      <c r="D6" s="190" t="s">
        <v>117</v>
      </c>
      <c r="E6" s="173" t="s">
        <v>118</v>
      </c>
      <c r="F6" s="174" t="s">
        <v>116</v>
      </c>
      <c r="G6" s="175">
        <f t="shared" si="0"/>
        <v>1.119</v>
      </c>
      <c r="H6" s="176" t="str">
        <f t="shared" si="1"/>
        <v xml:space="preserve">    </v>
      </c>
      <c r="I6" s="191">
        <f t="shared" si="2"/>
        <v>0</v>
      </c>
      <c r="J6" s="192">
        <f t="shared" si="3"/>
        <v>-2.4670930555614032</v>
      </c>
      <c r="K6" s="193">
        <f t="shared" si="4"/>
        <v>2.4670930555614032</v>
      </c>
      <c r="L6" s="194">
        <f t="shared" ref="L6:L14" si="10">L5+I6</f>
        <v>0</v>
      </c>
      <c r="M6" s="195">
        <f t="shared" ref="M6:M14" si="11">M5+J6</f>
        <v>-2.4670930555614032</v>
      </c>
      <c r="N6" s="194"/>
      <c r="O6" s="192"/>
      <c r="P6" s="193"/>
      <c r="Q6" s="194"/>
      <c r="R6" s="196"/>
      <c r="S6" s="197">
        <f t="shared" si="5"/>
        <v>0</v>
      </c>
      <c r="T6" s="192">
        <f t="shared" si="6"/>
        <v>-2.4670930555614032</v>
      </c>
      <c r="U6" s="193">
        <f t="shared" si="7"/>
        <v>2.4670930555614032</v>
      </c>
      <c r="V6" s="198">
        <f t="shared" ref="V6:V14" si="12">V5+S6</f>
        <v>0</v>
      </c>
      <c r="W6" s="78">
        <f t="shared" ref="W6:W14" si="13">W5+T6</f>
        <v>-2.4670930555614032</v>
      </c>
      <c r="X6" s="186">
        <f t="shared" si="8"/>
        <v>0</v>
      </c>
      <c r="Y6" s="187">
        <f t="shared" si="9"/>
        <v>0</v>
      </c>
      <c r="AB6" s="188"/>
      <c r="AC6" s="188"/>
    </row>
    <row r="7" spans="1:29">
      <c r="A7" s="171" t="s">
        <v>114</v>
      </c>
      <c r="B7" s="173">
        <v>16105</v>
      </c>
      <c r="C7" s="171"/>
      <c r="D7" s="173" t="s">
        <v>119</v>
      </c>
      <c r="E7" s="173" t="s">
        <v>118</v>
      </c>
      <c r="F7" s="174" t="s">
        <v>116</v>
      </c>
      <c r="G7" s="175">
        <f t="shared" si="0"/>
        <v>1.0249999999999999</v>
      </c>
      <c r="H7" s="176" t="str">
        <f t="shared" si="1"/>
        <v>UNAV</v>
      </c>
      <c r="I7" s="199">
        <f t="shared" si="2"/>
        <v>0.47185445602075532</v>
      </c>
      <c r="J7" s="200">
        <f t="shared" si="3"/>
        <v>0.53208333333459445</v>
      </c>
      <c r="K7" s="201">
        <f t="shared" si="4"/>
        <v>-6.0228877313839135E-2</v>
      </c>
      <c r="L7" s="78">
        <f t="shared" si="10"/>
        <v>0.47185445602075532</v>
      </c>
      <c r="M7" s="195">
        <f t="shared" si="11"/>
        <v>-1.9350097222268088</v>
      </c>
      <c r="N7" s="78"/>
      <c r="O7" s="200"/>
      <c r="P7" s="201"/>
      <c r="Q7" s="78"/>
      <c r="R7" s="196"/>
      <c r="S7" s="202">
        <f t="shared" si="5"/>
        <v>0.47185445602075532</v>
      </c>
      <c r="T7" s="200">
        <f t="shared" si="6"/>
        <v>0.53208333333459445</v>
      </c>
      <c r="U7" s="201">
        <f t="shared" si="7"/>
        <v>-6.0228877313839135E-2</v>
      </c>
      <c r="V7" s="198">
        <f t="shared" si="12"/>
        <v>0.47185445602075532</v>
      </c>
      <c r="W7" s="78">
        <f t="shared" si="13"/>
        <v>-1.9350097222268088</v>
      </c>
      <c r="X7" s="203">
        <f t="shared" si="8"/>
        <v>0.47185445602075532</v>
      </c>
      <c r="Y7" s="204">
        <f t="shared" si="9"/>
        <v>0</v>
      </c>
      <c r="AB7" s="188"/>
      <c r="AC7" s="189"/>
    </row>
    <row r="8" spans="1:29">
      <c r="A8" s="171" t="s">
        <v>114</v>
      </c>
      <c r="B8" s="173">
        <v>16218</v>
      </c>
      <c r="C8" s="171"/>
      <c r="D8" s="173" t="s">
        <v>120</v>
      </c>
      <c r="E8" s="173" t="s">
        <v>118</v>
      </c>
      <c r="F8" s="174" t="s">
        <v>116</v>
      </c>
      <c r="G8" s="175">
        <f t="shared" si="0"/>
        <v>1.014</v>
      </c>
      <c r="H8" s="176" t="str">
        <f t="shared" si="1"/>
        <v xml:space="preserve">    </v>
      </c>
      <c r="I8" s="191">
        <f t="shared" si="2"/>
        <v>1.16737727496</v>
      </c>
      <c r="J8" s="200">
        <f t="shared" si="3"/>
        <v>0.97548611111342332</v>
      </c>
      <c r="K8" s="201">
        <f t="shared" si="4"/>
        <v>0.19189116384657667</v>
      </c>
      <c r="L8" s="78">
        <f t="shared" si="10"/>
        <v>1.6392317309807554</v>
      </c>
      <c r="M8" s="195">
        <f t="shared" si="11"/>
        <v>-0.95952361111338547</v>
      </c>
      <c r="N8" s="78"/>
      <c r="O8" s="200"/>
      <c r="P8" s="201"/>
      <c r="Q8" s="78"/>
      <c r="R8" s="196"/>
      <c r="S8" s="202">
        <f t="shared" si="5"/>
        <v>1.16737727496</v>
      </c>
      <c r="T8" s="200">
        <f t="shared" si="6"/>
        <v>0.97548611111342332</v>
      </c>
      <c r="U8" s="201">
        <f t="shared" si="7"/>
        <v>0.19189116384657667</v>
      </c>
      <c r="V8" s="198">
        <f t="shared" si="12"/>
        <v>1.6392317309807554</v>
      </c>
      <c r="W8" s="78">
        <f t="shared" si="13"/>
        <v>-0.95952361111338547</v>
      </c>
      <c r="X8" s="203">
        <f t="shared" si="8"/>
        <v>1.16737727496</v>
      </c>
      <c r="Y8" s="204">
        <f t="shared" si="9"/>
        <v>0</v>
      </c>
      <c r="AB8" s="188"/>
      <c r="AC8" s="188"/>
    </row>
    <row r="9" spans="1:29">
      <c r="A9" s="205" t="s">
        <v>114</v>
      </c>
      <c r="B9" s="206">
        <v>16314</v>
      </c>
      <c r="C9" s="205"/>
      <c r="D9" s="206" t="s">
        <v>121</v>
      </c>
      <c r="E9" s="206" t="s">
        <v>116</v>
      </c>
      <c r="F9" s="207" t="s">
        <v>116</v>
      </c>
      <c r="G9" s="208">
        <f t="shared" si="0"/>
        <v>1.0249999999999999</v>
      </c>
      <c r="H9" s="176" t="str">
        <f t="shared" si="1"/>
        <v>UNAV</v>
      </c>
      <c r="I9" s="199">
        <f t="shared" si="2"/>
        <v>7.8642409336792563E-2</v>
      </c>
      <c r="J9" s="200">
        <f t="shared" si="3"/>
        <v>8.8680555555765761E-2</v>
      </c>
      <c r="K9" s="201">
        <f t="shared" si="4"/>
        <v>-1.0038146218973198E-2</v>
      </c>
      <c r="L9" s="78">
        <f t="shared" si="10"/>
        <v>1.7178741403175479</v>
      </c>
      <c r="M9" s="195">
        <f t="shared" si="11"/>
        <v>-0.87084305555761965</v>
      </c>
      <c r="N9" s="78"/>
      <c r="O9" s="200"/>
      <c r="P9" s="201"/>
      <c r="Q9" s="78"/>
      <c r="R9" s="196"/>
      <c r="S9" s="202">
        <f t="shared" si="5"/>
        <v>7.8642409336792563E-2</v>
      </c>
      <c r="T9" s="200">
        <f t="shared" si="6"/>
        <v>8.8680555555765761E-2</v>
      </c>
      <c r="U9" s="201">
        <f t="shared" si="7"/>
        <v>-1.0038146218973198E-2</v>
      </c>
      <c r="V9" s="198">
        <f t="shared" si="12"/>
        <v>1.7178741403175479</v>
      </c>
      <c r="W9" s="78">
        <f t="shared" si="13"/>
        <v>-0.87084305555761965</v>
      </c>
      <c r="X9" s="203">
        <f t="shared" si="8"/>
        <v>7.8642409336792563E-2</v>
      </c>
      <c r="Y9" s="204">
        <f t="shared" si="9"/>
        <v>0</v>
      </c>
      <c r="AB9" s="188"/>
      <c r="AC9" s="188"/>
    </row>
    <row r="10" spans="1:29">
      <c r="A10" s="171" t="s">
        <v>114</v>
      </c>
      <c r="B10" s="173">
        <v>16167</v>
      </c>
      <c r="C10" s="171"/>
      <c r="D10" s="173" t="s">
        <v>122</v>
      </c>
      <c r="E10" s="173" t="s">
        <v>118</v>
      </c>
      <c r="F10" s="174" t="s">
        <v>116</v>
      </c>
      <c r="G10" s="175">
        <f t="shared" si="0"/>
        <v>1.0249999999999999</v>
      </c>
      <c r="H10" s="176" t="str">
        <f t="shared" si="1"/>
        <v>UNAV</v>
      </c>
      <c r="I10" s="199">
        <f t="shared" si="2"/>
        <v>5.976823109596234E-2</v>
      </c>
      <c r="J10" s="200">
        <f t="shared" si="3"/>
        <v>6.7397222222381967E-2</v>
      </c>
      <c r="K10" s="201">
        <f t="shared" si="4"/>
        <v>-7.6289911264196264E-3</v>
      </c>
      <c r="L10" s="78">
        <f t="shared" si="10"/>
        <v>1.7776423714135103</v>
      </c>
      <c r="M10" s="195">
        <f t="shared" si="11"/>
        <v>-0.80344583333523767</v>
      </c>
      <c r="N10" s="78"/>
      <c r="O10" s="200"/>
      <c r="P10" s="201"/>
      <c r="Q10" s="78"/>
      <c r="R10" s="196"/>
      <c r="S10" s="202">
        <f t="shared" si="5"/>
        <v>5.976823109596234E-2</v>
      </c>
      <c r="T10" s="200">
        <f t="shared" si="6"/>
        <v>6.7397222222381967E-2</v>
      </c>
      <c r="U10" s="201">
        <f t="shared" si="7"/>
        <v>-7.6289911264196264E-3</v>
      </c>
      <c r="V10" s="198">
        <f t="shared" si="12"/>
        <v>1.7776423714135103</v>
      </c>
      <c r="W10" s="78">
        <f t="shared" si="13"/>
        <v>-0.80344583333523767</v>
      </c>
      <c r="X10" s="203">
        <f t="shared" si="8"/>
        <v>5.976823109596234E-2</v>
      </c>
      <c r="Y10" s="204">
        <f t="shared" si="9"/>
        <v>0</v>
      </c>
      <c r="AB10" s="188"/>
      <c r="AC10" s="188"/>
    </row>
    <row r="11" spans="1:29">
      <c r="A11" s="171" t="s">
        <v>114</v>
      </c>
      <c r="B11" s="173">
        <v>16320</v>
      </c>
      <c r="C11" s="171"/>
      <c r="D11" s="173" t="s">
        <v>123</v>
      </c>
      <c r="E11" s="173" t="s">
        <v>116</v>
      </c>
      <c r="F11" s="174" t="s">
        <v>116</v>
      </c>
      <c r="G11" s="175">
        <f t="shared" si="0"/>
        <v>1.0249999999999999</v>
      </c>
      <c r="H11" s="176" t="str">
        <f t="shared" si="1"/>
        <v>UNAV</v>
      </c>
      <c r="I11" s="199">
        <f t="shared" si="2"/>
        <v>0.71250022859134055</v>
      </c>
      <c r="J11" s="200">
        <f t="shared" si="3"/>
        <v>0.80344583333523767</v>
      </c>
      <c r="K11" s="201">
        <f t="shared" si="4"/>
        <v>-9.0945604743897124E-2</v>
      </c>
      <c r="L11" s="78">
        <f t="shared" si="10"/>
        <v>2.4901426000048508</v>
      </c>
      <c r="M11" s="195">
        <f t="shared" si="11"/>
        <v>0</v>
      </c>
      <c r="N11" s="78"/>
      <c r="O11" s="200"/>
      <c r="P11" s="201"/>
      <c r="Q11" s="78"/>
      <c r="R11" s="196"/>
      <c r="S11" s="202">
        <f t="shared" si="5"/>
        <v>0.71250022859134055</v>
      </c>
      <c r="T11" s="200">
        <f t="shared" si="6"/>
        <v>0.80344583333523767</v>
      </c>
      <c r="U11" s="201">
        <f t="shared" si="7"/>
        <v>-9.0945604743897124E-2</v>
      </c>
      <c r="V11" s="198">
        <f t="shared" si="12"/>
        <v>2.4901426000048508</v>
      </c>
      <c r="W11" s="78">
        <f t="shared" si="13"/>
        <v>0</v>
      </c>
      <c r="X11" s="203">
        <f t="shared" si="8"/>
        <v>0.71250022859134055</v>
      </c>
      <c r="Y11" s="204">
        <f t="shared" si="9"/>
        <v>0</v>
      </c>
      <c r="AB11" s="188"/>
      <c r="AC11" s="188"/>
    </row>
    <row r="12" spans="1:29">
      <c r="A12" s="171" t="s">
        <v>114</v>
      </c>
      <c r="B12" s="209">
        <v>16347</v>
      </c>
      <c r="C12" s="171"/>
      <c r="D12" s="173" t="s">
        <v>124</v>
      </c>
      <c r="E12" s="173" t="s">
        <v>116</v>
      </c>
      <c r="F12" s="174" t="s">
        <v>116</v>
      </c>
      <c r="G12" s="175">
        <f t="shared" si="0"/>
        <v>1.0249999999999999</v>
      </c>
      <c r="H12" s="176" t="str">
        <f t="shared" si="1"/>
        <v xml:space="preserve">    </v>
      </c>
      <c r="I12" s="199">
        <f t="shared" si="2"/>
        <v>0</v>
      </c>
      <c r="J12" s="200">
        <f t="shared" si="3"/>
        <v>0</v>
      </c>
      <c r="K12" s="201">
        <f t="shared" si="4"/>
        <v>0</v>
      </c>
      <c r="L12" s="78">
        <f t="shared" si="10"/>
        <v>2.4901426000048508</v>
      </c>
      <c r="M12" s="195">
        <f t="shared" si="11"/>
        <v>0</v>
      </c>
      <c r="N12" s="78"/>
      <c r="O12" s="200"/>
      <c r="P12" s="201"/>
      <c r="Q12" s="78"/>
      <c r="R12" s="196"/>
      <c r="S12" s="202">
        <f t="shared" si="5"/>
        <v>0</v>
      </c>
      <c r="T12" s="200">
        <f t="shared" si="6"/>
        <v>0</v>
      </c>
      <c r="U12" s="201">
        <f t="shared" si="7"/>
        <v>0</v>
      </c>
      <c r="V12" s="198">
        <f t="shared" si="12"/>
        <v>2.4901426000048508</v>
      </c>
      <c r="W12" s="78">
        <f t="shared" si="13"/>
        <v>0</v>
      </c>
      <c r="X12" s="203">
        <f t="shared" si="8"/>
        <v>0</v>
      </c>
      <c r="Y12" s="204">
        <f t="shared" si="9"/>
        <v>0</v>
      </c>
      <c r="AB12" s="188"/>
      <c r="AC12" s="188"/>
    </row>
    <row r="13" spans="1:29">
      <c r="A13" s="171" t="s">
        <v>114</v>
      </c>
      <c r="B13" s="173">
        <v>26200</v>
      </c>
      <c r="C13" s="171"/>
      <c r="D13" s="173" t="s">
        <v>125</v>
      </c>
      <c r="E13" s="173" t="s">
        <v>118</v>
      </c>
      <c r="F13" s="174" t="s">
        <v>116</v>
      </c>
      <c r="G13" s="175">
        <f t="shared" si="0"/>
        <v>1.0249999999999999</v>
      </c>
      <c r="H13" s="176" t="str">
        <f t="shared" si="1"/>
        <v>UNAV</v>
      </c>
      <c r="I13" s="210">
        <f>I12*-1</f>
        <v>0</v>
      </c>
      <c r="J13" s="200">
        <f t="shared" si="3"/>
        <v>0</v>
      </c>
      <c r="K13" s="201">
        <f t="shared" si="4"/>
        <v>0</v>
      </c>
      <c r="L13" s="78">
        <f t="shared" si="10"/>
        <v>2.4901426000048508</v>
      </c>
      <c r="M13" s="195">
        <f t="shared" si="11"/>
        <v>0</v>
      </c>
      <c r="N13" s="78"/>
      <c r="O13" s="200"/>
      <c r="P13" s="201"/>
      <c r="Q13" s="78"/>
      <c r="R13" s="196"/>
      <c r="S13" s="202">
        <f t="shared" si="5"/>
        <v>0</v>
      </c>
      <c r="T13" s="200">
        <f t="shared" si="6"/>
        <v>0</v>
      </c>
      <c r="U13" s="201">
        <f t="shared" si="7"/>
        <v>0</v>
      </c>
      <c r="V13" s="198">
        <f t="shared" si="12"/>
        <v>2.4901426000048508</v>
      </c>
      <c r="W13" s="78">
        <f t="shared" si="13"/>
        <v>0</v>
      </c>
      <c r="X13" s="203">
        <f t="shared" si="8"/>
        <v>0</v>
      </c>
      <c r="Y13" s="204">
        <f t="shared" si="9"/>
        <v>0</v>
      </c>
      <c r="AB13" s="188"/>
      <c r="AC13" s="188"/>
    </row>
    <row r="14" spans="1:29" ht="13.8" thickBot="1">
      <c r="A14" s="211" t="s">
        <v>114</v>
      </c>
      <c r="B14" s="212">
        <v>26201</v>
      </c>
      <c r="C14" s="211"/>
      <c r="D14" s="212" t="s">
        <v>126</v>
      </c>
      <c r="E14" s="212" t="s">
        <v>116</v>
      </c>
      <c r="F14" s="213" t="s">
        <v>116</v>
      </c>
      <c r="G14" s="214">
        <f t="shared" si="0"/>
        <v>1.0249999999999999</v>
      </c>
      <c r="H14" s="215" t="str">
        <f t="shared" si="1"/>
        <v>UNAV</v>
      </c>
      <c r="I14" s="216">
        <f t="shared" ref="I14:I26" si="14">IF(VLOOKUP($B14,errordata,3,FALSE)="UNAV",J14*POLLHOURSFLOWED,IF(LEFT(B14,1)="1",VLOOKUP($B14,totalvolume,2,FALSE)*G14/1000,VLOOKUP($B14,totalvolume,2,FALSE)*G14/1000*-1))</f>
        <v>0</v>
      </c>
      <c r="J14" s="217">
        <f t="shared" si="3"/>
        <v>0</v>
      </c>
      <c r="K14" s="218">
        <f t="shared" si="4"/>
        <v>0</v>
      </c>
      <c r="L14" s="219">
        <f t="shared" si="10"/>
        <v>2.4901426000048508</v>
      </c>
      <c r="M14" s="220">
        <f t="shared" si="11"/>
        <v>0</v>
      </c>
      <c r="N14" s="219"/>
      <c r="O14" s="217"/>
      <c r="P14" s="218"/>
      <c r="Q14" s="219"/>
      <c r="R14" s="221"/>
      <c r="S14" s="222">
        <f t="shared" si="5"/>
        <v>0</v>
      </c>
      <c r="T14" s="217">
        <f t="shared" si="6"/>
        <v>0</v>
      </c>
      <c r="U14" s="218">
        <f t="shared" si="7"/>
        <v>0</v>
      </c>
      <c r="V14" s="223">
        <f t="shared" si="12"/>
        <v>2.4901426000048508</v>
      </c>
      <c r="W14" s="224">
        <f t="shared" si="13"/>
        <v>0</v>
      </c>
      <c r="X14" s="225">
        <f t="shared" si="8"/>
        <v>0</v>
      </c>
      <c r="Y14" s="226">
        <f t="shared" si="9"/>
        <v>0</v>
      </c>
      <c r="AB14" s="188"/>
      <c r="AC14" s="188"/>
    </row>
    <row r="15" spans="1:29" s="230" customFormat="1" ht="13.8" thickTop="1">
      <c r="A15" s="205" t="s">
        <v>127</v>
      </c>
      <c r="B15" s="206">
        <v>11922</v>
      </c>
      <c r="C15" s="205"/>
      <c r="D15" s="206" t="s">
        <v>128</v>
      </c>
      <c r="E15" s="206" t="s">
        <v>116</v>
      </c>
      <c r="F15" s="207" t="s">
        <v>116</v>
      </c>
      <c r="G15" s="227">
        <v>1.0249999999999999</v>
      </c>
      <c r="H15" s="228" t="str">
        <f t="shared" si="1"/>
        <v>UNAV</v>
      </c>
      <c r="I15" s="229">
        <f t="shared" si="14"/>
        <v>0.17694542100778327</v>
      </c>
      <c r="J15" s="200">
        <f t="shared" si="3"/>
        <v>0.19953125000047295</v>
      </c>
      <c r="K15" s="201">
        <f t="shared" si="4"/>
        <v>-2.2585828992689683E-2</v>
      </c>
      <c r="L15" s="78">
        <f>I15</f>
        <v>0.17694542100778327</v>
      </c>
      <c r="M15" s="195">
        <f>J15</f>
        <v>0.19953125000047295</v>
      </c>
      <c r="N15" s="78"/>
      <c r="O15" s="200"/>
      <c r="P15" s="201"/>
      <c r="Q15" s="78"/>
      <c r="R15" s="196"/>
      <c r="S15" s="202">
        <f t="shared" si="5"/>
        <v>0.17694542100778327</v>
      </c>
      <c r="T15" s="200">
        <f t="shared" si="6"/>
        <v>0.19953125000047295</v>
      </c>
      <c r="U15" s="201">
        <f t="shared" si="7"/>
        <v>-2.2585828992689683E-2</v>
      </c>
      <c r="V15" s="198">
        <f>S15</f>
        <v>0.17694542100778327</v>
      </c>
      <c r="W15" s="78">
        <f>T15</f>
        <v>0.19953125000047295</v>
      </c>
      <c r="X15" s="203">
        <f t="shared" si="8"/>
        <v>0.17694542100778327</v>
      </c>
      <c r="Y15" s="204">
        <f t="shared" si="9"/>
        <v>0</v>
      </c>
      <c r="AB15" s="231"/>
      <c r="AC15" s="231"/>
    </row>
    <row r="16" spans="1:29" s="230" customFormat="1">
      <c r="A16" s="171" t="s">
        <v>127</v>
      </c>
      <c r="B16" s="173">
        <v>10093</v>
      </c>
      <c r="C16" s="171"/>
      <c r="D16" s="190" t="s">
        <v>129</v>
      </c>
      <c r="E16" s="173" t="s">
        <v>116</v>
      </c>
      <c r="F16" s="174" t="s">
        <v>116</v>
      </c>
      <c r="G16" s="175">
        <f t="shared" ref="G16:G26" si="15">VLOOKUP($B16,BTU,2,FALSE)/1000</f>
        <v>1.1739999999999999</v>
      </c>
      <c r="H16" s="176" t="str">
        <f t="shared" si="1"/>
        <v xml:space="preserve">    </v>
      </c>
      <c r="I16" s="199">
        <f t="shared" si="14"/>
        <v>0.79388984056</v>
      </c>
      <c r="J16" s="200">
        <f t="shared" si="3"/>
        <v>0.53208333333459445</v>
      </c>
      <c r="K16" s="201">
        <f t="shared" si="4"/>
        <v>0.26180650722540555</v>
      </c>
      <c r="L16" s="78">
        <f t="shared" ref="L16:L26" si="16">L15+I16</f>
        <v>0.97083526156778333</v>
      </c>
      <c r="M16" s="195">
        <f t="shared" ref="M16:M26" si="17">M15+J16</f>
        <v>0.73161458333506735</v>
      </c>
      <c r="N16" s="78"/>
      <c r="O16" s="200"/>
      <c r="P16" s="201"/>
      <c r="Q16" s="78"/>
      <c r="R16" s="196"/>
      <c r="S16" s="202">
        <f t="shared" si="5"/>
        <v>0.79388984056</v>
      </c>
      <c r="T16" s="200">
        <f t="shared" si="6"/>
        <v>0.53208333333459445</v>
      </c>
      <c r="U16" s="201">
        <f t="shared" si="7"/>
        <v>0.26180650722540555</v>
      </c>
      <c r="V16" s="198">
        <f t="shared" ref="V16:V26" si="18">V15+S16</f>
        <v>0.97083526156778333</v>
      </c>
      <c r="W16" s="78">
        <f t="shared" ref="W16:W26" si="19">W15+T16</f>
        <v>0.73161458333506735</v>
      </c>
      <c r="X16" s="203">
        <f t="shared" si="8"/>
        <v>0.79388984056</v>
      </c>
      <c r="Y16" s="204">
        <f t="shared" si="9"/>
        <v>0</v>
      </c>
      <c r="AB16" s="231"/>
      <c r="AC16" s="231"/>
    </row>
    <row r="17" spans="1:29">
      <c r="A17" s="205" t="s">
        <v>127</v>
      </c>
      <c r="B17" s="206">
        <v>12207</v>
      </c>
      <c r="C17" s="205"/>
      <c r="D17" s="206" t="s">
        <v>130</v>
      </c>
      <c r="E17" s="206" t="s">
        <v>116</v>
      </c>
      <c r="F17" s="207" t="s">
        <v>116</v>
      </c>
      <c r="G17" s="208">
        <f t="shared" si="15"/>
        <v>1.0249999999999999</v>
      </c>
      <c r="H17" s="176" t="str">
        <f t="shared" si="1"/>
        <v>UNAV</v>
      </c>
      <c r="I17" s="199">
        <f t="shared" si="14"/>
        <v>8.2574529803632182E-2</v>
      </c>
      <c r="J17" s="200">
        <f t="shared" si="3"/>
        <v>9.3114583333554032E-2</v>
      </c>
      <c r="K17" s="201">
        <f t="shared" si="4"/>
        <v>-1.054005352992185E-2</v>
      </c>
      <c r="L17" s="78">
        <f t="shared" si="16"/>
        <v>1.0534097913714155</v>
      </c>
      <c r="M17" s="195">
        <f t="shared" si="17"/>
        <v>0.82472916666862139</v>
      </c>
      <c r="N17" s="78"/>
      <c r="O17" s="200"/>
      <c r="P17" s="201"/>
      <c r="Q17" s="78"/>
      <c r="R17" s="196"/>
      <c r="S17" s="202">
        <f t="shared" si="5"/>
        <v>8.2574529803632182E-2</v>
      </c>
      <c r="T17" s="200">
        <f t="shared" si="6"/>
        <v>9.3114583333554032E-2</v>
      </c>
      <c r="U17" s="201">
        <f t="shared" si="7"/>
        <v>-1.054005352992185E-2</v>
      </c>
      <c r="V17" s="198">
        <f t="shared" si="18"/>
        <v>1.0534097913714155</v>
      </c>
      <c r="W17" s="78">
        <f t="shared" si="19"/>
        <v>0.82472916666862139</v>
      </c>
      <c r="X17" s="203">
        <f t="shared" si="8"/>
        <v>8.2574529803632182E-2</v>
      </c>
      <c r="Y17" s="204">
        <f t="shared" si="9"/>
        <v>0</v>
      </c>
      <c r="AB17" s="188"/>
      <c r="AC17" s="188"/>
    </row>
    <row r="18" spans="1:29">
      <c r="A18" s="205" t="s">
        <v>127</v>
      </c>
      <c r="B18" s="206">
        <v>10061</v>
      </c>
      <c r="C18" s="205"/>
      <c r="D18" s="206" t="s">
        <v>131</v>
      </c>
      <c r="E18" s="206" t="s">
        <v>116</v>
      </c>
      <c r="F18" s="207" t="s">
        <v>116</v>
      </c>
      <c r="G18" s="208">
        <f t="shared" si="15"/>
        <v>1.111</v>
      </c>
      <c r="H18" s="176" t="str">
        <f t="shared" si="1"/>
        <v xml:space="preserve">    </v>
      </c>
      <c r="I18" s="199">
        <f t="shared" si="14"/>
        <v>1.6464215747099999</v>
      </c>
      <c r="J18" s="200">
        <f t="shared" si="3"/>
        <v>1.5075694444480177</v>
      </c>
      <c r="K18" s="201">
        <f t="shared" si="4"/>
        <v>0.13885213026198229</v>
      </c>
      <c r="L18" s="78">
        <f t="shared" si="16"/>
        <v>2.6998313660814155</v>
      </c>
      <c r="M18" s="195">
        <f t="shared" si="17"/>
        <v>2.3322986111166388</v>
      </c>
      <c r="N18" s="78"/>
      <c r="O18" s="200"/>
      <c r="P18" s="201"/>
      <c r="Q18" s="78"/>
      <c r="R18" s="196"/>
      <c r="S18" s="202">
        <f t="shared" si="5"/>
        <v>1.6464215747099999</v>
      </c>
      <c r="T18" s="200">
        <f t="shared" si="6"/>
        <v>1.5075694444480177</v>
      </c>
      <c r="U18" s="201">
        <f t="shared" si="7"/>
        <v>0.13885213026198229</v>
      </c>
      <c r="V18" s="198">
        <f t="shared" si="18"/>
        <v>2.6998313660814155</v>
      </c>
      <c r="W18" s="78">
        <f t="shared" si="19"/>
        <v>2.3322986111166388</v>
      </c>
      <c r="X18" s="203">
        <f t="shared" si="8"/>
        <v>1.6464215747099999</v>
      </c>
      <c r="Y18" s="204">
        <f t="shared" si="9"/>
        <v>0</v>
      </c>
      <c r="AB18" s="188"/>
      <c r="AC18" s="188"/>
    </row>
    <row r="19" spans="1:29" s="230" customFormat="1">
      <c r="A19" s="205" t="s">
        <v>127</v>
      </c>
      <c r="B19" s="206">
        <v>12377</v>
      </c>
      <c r="C19" s="205"/>
      <c r="D19" s="206" t="s">
        <v>132</v>
      </c>
      <c r="E19" s="206" t="s">
        <v>116</v>
      </c>
      <c r="F19" s="207" t="s">
        <v>116</v>
      </c>
      <c r="G19" s="208">
        <f t="shared" si="15"/>
        <v>1.099</v>
      </c>
      <c r="H19" s="176" t="str">
        <f t="shared" si="1"/>
        <v xml:space="preserve">    </v>
      </c>
      <c r="I19" s="199">
        <f t="shared" si="14"/>
        <v>0.30692680664099997</v>
      </c>
      <c r="J19" s="200">
        <f t="shared" si="3"/>
        <v>0.35472222222306304</v>
      </c>
      <c r="K19" s="201">
        <f t="shared" si="4"/>
        <v>-4.7795415582063072E-2</v>
      </c>
      <c r="L19" s="78">
        <f t="shared" si="16"/>
        <v>3.0067581727224155</v>
      </c>
      <c r="M19" s="195">
        <f t="shared" si="17"/>
        <v>2.6870208333397017</v>
      </c>
      <c r="N19" s="78"/>
      <c r="O19" s="200"/>
      <c r="P19" s="201"/>
      <c r="Q19" s="78"/>
      <c r="R19" s="196"/>
      <c r="S19" s="202">
        <f t="shared" si="5"/>
        <v>0.30692680664099997</v>
      </c>
      <c r="T19" s="200">
        <f t="shared" si="6"/>
        <v>0.35472222222306304</v>
      </c>
      <c r="U19" s="201">
        <f t="shared" si="7"/>
        <v>-4.7795415582063072E-2</v>
      </c>
      <c r="V19" s="198">
        <f t="shared" si="18"/>
        <v>3.0067581727224155</v>
      </c>
      <c r="W19" s="78">
        <f t="shared" si="19"/>
        <v>2.6870208333397017</v>
      </c>
      <c r="X19" s="203">
        <f t="shared" si="8"/>
        <v>0.30692680664099997</v>
      </c>
      <c r="Y19" s="204">
        <f t="shared" si="9"/>
        <v>0</v>
      </c>
      <c r="AB19" s="231"/>
      <c r="AC19" s="231"/>
    </row>
    <row r="20" spans="1:29" s="230" customFormat="1">
      <c r="A20" s="205" t="s">
        <v>127</v>
      </c>
      <c r="B20" s="206">
        <v>11889</v>
      </c>
      <c r="C20" s="205"/>
      <c r="D20" s="206" t="s">
        <v>133</v>
      </c>
      <c r="E20" s="206" t="s">
        <v>116</v>
      </c>
      <c r="F20" s="207" t="s">
        <v>116</v>
      </c>
      <c r="G20" s="208">
        <f t="shared" si="15"/>
        <v>1.0249999999999999</v>
      </c>
      <c r="H20" s="176" t="str">
        <f t="shared" si="1"/>
        <v>UNAV</v>
      </c>
      <c r="I20" s="199">
        <f t="shared" si="14"/>
        <v>0.27524843267877391</v>
      </c>
      <c r="J20" s="200">
        <f t="shared" si="3"/>
        <v>0.31038194444518008</v>
      </c>
      <c r="K20" s="201">
        <f t="shared" si="4"/>
        <v>-3.5133511766406167E-2</v>
      </c>
      <c r="L20" s="78">
        <f t="shared" si="16"/>
        <v>3.2820066054011896</v>
      </c>
      <c r="M20" s="195">
        <f t="shared" si="17"/>
        <v>2.997402777784882</v>
      </c>
      <c r="N20" s="78"/>
      <c r="O20" s="200"/>
      <c r="P20" s="201"/>
      <c r="Q20" s="78"/>
      <c r="R20" s="196"/>
      <c r="S20" s="202">
        <f t="shared" si="5"/>
        <v>0.27524843267877391</v>
      </c>
      <c r="T20" s="200">
        <f t="shared" si="6"/>
        <v>0.31038194444518008</v>
      </c>
      <c r="U20" s="201">
        <f t="shared" si="7"/>
        <v>-3.5133511766406167E-2</v>
      </c>
      <c r="V20" s="198">
        <f t="shared" si="18"/>
        <v>3.2820066054011896</v>
      </c>
      <c r="W20" s="78">
        <f t="shared" si="19"/>
        <v>2.997402777784882</v>
      </c>
      <c r="X20" s="203">
        <f t="shared" si="8"/>
        <v>0.27524843267877391</v>
      </c>
      <c r="Y20" s="204">
        <f t="shared" si="9"/>
        <v>0</v>
      </c>
      <c r="AB20" s="231"/>
      <c r="AC20" s="231"/>
    </row>
    <row r="21" spans="1:29">
      <c r="A21" s="205" t="s">
        <v>127</v>
      </c>
      <c r="B21" s="206">
        <v>11583</v>
      </c>
      <c r="C21" s="205"/>
      <c r="D21" s="206" t="s">
        <v>134</v>
      </c>
      <c r="E21" s="206" t="s">
        <v>116</v>
      </c>
      <c r="F21" s="207" t="s">
        <v>116</v>
      </c>
      <c r="G21" s="208">
        <f t="shared" si="15"/>
        <v>1.0249999999999999</v>
      </c>
      <c r="H21" s="176" t="str">
        <f t="shared" si="1"/>
        <v>UNAV</v>
      </c>
      <c r="I21" s="199">
        <f t="shared" si="14"/>
        <v>0.13762421633938696</v>
      </c>
      <c r="J21" s="200">
        <f t="shared" si="3"/>
        <v>0.15519097222259004</v>
      </c>
      <c r="K21" s="201">
        <f t="shared" si="4"/>
        <v>-1.7566755883203083E-2</v>
      </c>
      <c r="L21" s="78">
        <f t="shared" si="16"/>
        <v>3.4196308217405766</v>
      </c>
      <c r="M21" s="195">
        <f t="shared" si="17"/>
        <v>3.1525937500074721</v>
      </c>
      <c r="N21" s="78"/>
      <c r="O21" s="200"/>
      <c r="P21" s="201"/>
      <c r="Q21" s="78"/>
      <c r="R21" s="196"/>
      <c r="S21" s="202">
        <f t="shared" si="5"/>
        <v>0.13762421633938696</v>
      </c>
      <c r="T21" s="200">
        <f t="shared" si="6"/>
        <v>0.15519097222259004</v>
      </c>
      <c r="U21" s="201">
        <f t="shared" si="7"/>
        <v>-1.7566755883203083E-2</v>
      </c>
      <c r="V21" s="198">
        <f t="shared" si="18"/>
        <v>3.4196308217405766</v>
      </c>
      <c r="W21" s="78">
        <f t="shared" si="19"/>
        <v>3.1525937500074721</v>
      </c>
      <c r="X21" s="203">
        <f t="shared" si="8"/>
        <v>0.13762421633938696</v>
      </c>
      <c r="Y21" s="204">
        <f t="shared" si="9"/>
        <v>0</v>
      </c>
      <c r="AB21" s="188"/>
      <c r="AC21" s="188"/>
    </row>
    <row r="22" spans="1:29" s="230" customFormat="1">
      <c r="A22" s="205" t="s">
        <v>127</v>
      </c>
      <c r="B22" s="206">
        <v>11916</v>
      </c>
      <c r="C22" s="205"/>
      <c r="D22" s="206" t="s">
        <v>135</v>
      </c>
      <c r="E22" s="206" t="s">
        <v>116</v>
      </c>
      <c r="F22" s="207" t="s">
        <v>116</v>
      </c>
      <c r="G22" s="208">
        <f t="shared" si="15"/>
        <v>1.0249999999999999</v>
      </c>
      <c r="H22" s="176" t="str">
        <f t="shared" si="1"/>
        <v>UNAV</v>
      </c>
      <c r="I22" s="199">
        <f t="shared" si="14"/>
        <v>2.7524843267877398E-2</v>
      </c>
      <c r="J22" s="200">
        <f t="shared" si="3"/>
        <v>3.1038194444518014E-2</v>
      </c>
      <c r="K22" s="201">
        <f t="shared" si="4"/>
        <v>-3.5133511766406167E-3</v>
      </c>
      <c r="L22" s="78">
        <f t="shared" si="16"/>
        <v>3.4471556650084541</v>
      </c>
      <c r="M22" s="195">
        <f t="shared" si="17"/>
        <v>3.18363194445199</v>
      </c>
      <c r="N22" s="78"/>
      <c r="O22" s="200"/>
      <c r="P22" s="201"/>
      <c r="Q22" s="78"/>
      <c r="R22" s="196"/>
      <c r="S22" s="202">
        <f t="shared" si="5"/>
        <v>2.7524843267877398E-2</v>
      </c>
      <c r="T22" s="200">
        <f t="shared" si="6"/>
        <v>3.1038194444518014E-2</v>
      </c>
      <c r="U22" s="201">
        <f t="shared" si="7"/>
        <v>-3.5133511766406167E-3</v>
      </c>
      <c r="V22" s="198">
        <f t="shared" si="18"/>
        <v>3.4471556650084541</v>
      </c>
      <c r="W22" s="78">
        <f t="shared" si="19"/>
        <v>3.18363194445199</v>
      </c>
      <c r="X22" s="203">
        <f t="shared" si="8"/>
        <v>2.7524843267877398E-2</v>
      </c>
      <c r="Y22" s="204">
        <f t="shared" si="9"/>
        <v>0</v>
      </c>
      <c r="AB22" s="231"/>
      <c r="AC22" s="231"/>
    </row>
    <row r="23" spans="1:29" s="230" customFormat="1">
      <c r="A23" s="205" t="s">
        <v>127</v>
      </c>
      <c r="B23" s="206">
        <v>12323</v>
      </c>
      <c r="C23" s="205"/>
      <c r="D23" s="206" t="s">
        <v>136</v>
      </c>
      <c r="E23" s="206" t="s">
        <v>116</v>
      </c>
      <c r="F23" s="207" t="s">
        <v>116</v>
      </c>
      <c r="G23" s="208">
        <f t="shared" si="15"/>
        <v>1.0249999999999999</v>
      </c>
      <c r="H23" s="176" t="str">
        <f t="shared" si="1"/>
        <v>UNAV</v>
      </c>
      <c r="I23" s="199">
        <f t="shared" si="14"/>
        <v>0.10616725260466996</v>
      </c>
      <c r="J23" s="200">
        <f t="shared" si="3"/>
        <v>0.11971875000028377</v>
      </c>
      <c r="K23" s="201">
        <f t="shared" si="4"/>
        <v>-1.3551497395613815E-2</v>
      </c>
      <c r="L23" s="78">
        <f t="shared" si="16"/>
        <v>3.5533229176131238</v>
      </c>
      <c r="M23" s="195">
        <f t="shared" si="17"/>
        <v>3.3033506944522739</v>
      </c>
      <c r="N23" s="78"/>
      <c r="O23" s="200"/>
      <c r="P23" s="201"/>
      <c r="Q23" s="78"/>
      <c r="R23" s="196"/>
      <c r="S23" s="202">
        <f t="shared" si="5"/>
        <v>0.10616725260466996</v>
      </c>
      <c r="T23" s="200">
        <f t="shared" si="6"/>
        <v>0.11971875000028377</v>
      </c>
      <c r="U23" s="201">
        <f t="shared" si="7"/>
        <v>-1.3551497395613815E-2</v>
      </c>
      <c r="V23" s="198">
        <f t="shared" si="18"/>
        <v>3.5533229176131238</v>
      </c>
      <c r="W23" s="78">
        <f t="shared" si="19"/>
        <v>3.3033506944522739</v>
      </c>
      <c r="X23" s="203">
        <f t="shared" si="8"/>
        <v>0.10616725260466996</v>
      </c>
      <c r="Y23" s="204">
        <f t="shared" si="9"/>
        <v>0</v>
      </c>
      <c r="AB23" s="231"/>
      <c r="AC23" s="231"/>
    </row>
    <row r="24" spans="1:29" s="230" customFormat="1">
      <c r="A24" s="205" t="s">
        <v>127</v>
      </c>
      <c r="B24" s="206">
        <v>12408</v>
      </c>
      <c r="C24" s="205"/>
      <c r="D24" s="206" t="s">
        <v>137</v>
      </c>
      <c r="E24" s="206" t="s">
        <v>116</v>
      </c>
      <c r="F24" s="207" t="s">
        <v>116</v>
      </c>
      <c r="G24" s="208">
        <f t="shared" si="15"/>
        <v>1.0249999999999999</v>
      </c>
      <c r="H24" s="176" t="str">
        <f t="shared" si="1"/>
        <v>UNAV</v>
      </c>
      <c r="I24" s="199">
        <f t="shared" si="14"/>
        <v>7.8642409336792563E-2</v>
      </c>
      <c r="J24" s="200">
        <f t="shared" si="3"/>
        <v>8.8680555555765761E-2</v>
      </c>
      <c r="K24" s="201">
        <f t="shared" si="4"/>
        <v>-1.0038146218973198E-2</v>
      </c>
      <c r="L24" s="78">
        <f t="shared" si="16"/>
        <v>3.6319653269499161</v>
      </c>
      <c r="M24" s="195">
        <f t="shared" si="17"/>
        <v>3.3920312500080398</v>
      </c>
      <c r="N24" s="78"/>
      <c r="O24" s="200"/>
      <c r="P24" s="201"/>
      <c r="Q24" s="78"/>
      <c r="R24" s="196"/>
      <c r="S24" s="202">
        <f t="shared" si="5"/>
        <v>7.8642409336792563E-2</v>
      </c>
      <c r="T24" s="200">
        <f t="shared" si="6"/>
        <v>8.8680555555765761E-2</v>
      </c>
      <c r="U24" s="201">
        <f t="shared" si="7"/>
        <v>-1.0038146218973198E-2</v>
      </c>
      <c r="V24" s="198">
        <f t="shared" si="18"/>
        <v>3.6319653269499161</v>
      </c>
      <c r="W24" s="78">
        <f t="shared" si="19"/>
        <v>3.3920312500080398</v>
      </c>
      <c r="X24" s="203">
        <f t="shared" si="8"/>
        <v>7.8642409336792563E-2</v>
      </c>
      <c r="Y24" s="204">
        <f t="shared" si="9"/>
        <v>0</v>
      </c>
      <c r="AB24" s="231"/>
      <c r="AC24" s="231"/>
    </row>
    <row r="25" spans="1:29" s="230" customFormat="1">
      <c r="A25" s="205" t="s">
        <v>127</v>
      </c>
      <c r="B25" s="206">
        <v>11241</v>
      </c>
      <c r="C25" s="205"/>
      <c r="D25" s="206" t="s">
        <v>138</v>
      </c>
      <c r="E25" s="206" t="s">
        <v>116</v>
      </c>
      <c r="F25" s="207" t="s">
        <v>116</v>
      </c>
      <c r="G25" s="208">
        <f t="shared" si="15"/>
        <v>1.0249999999999999</v>
      </c>
      <c r="H25" s="176" t="str">
        <f t="shared" si="1"/>
        <v>UNAV</v>
      </c>
      <c r="I25" s="199">
        <f t="shared" si="14"/>
        <v>3.9321204668396285E-3</v>
      </c>
      <c r="J25" s="200">
        <f t="shared" si="3"/>
        <v>4.4340277777882879E-3</v>
      </c>
      <c r="K25" s="201">
        <f t="shared" si="4"/>
        <v>-5.019073109486594E-4</v>
      </c>
      <c r="L25" s="78">
        <f t="shared" si="16"/>
        <v>3.6358974474167556</v>
      </c>
      <c r="M25" s="195">
        <f t="shared" si="17"/>
        <v>3.3964652777858282</v>
      </c>
      <c r="N25" s="78"/>
      <c r="O25" s="200"/>
      <c r="P25" s="201"/>
      <c r="Q25" s="78"/>
      <c r="R25" s="196"/>
      <c r="S25" s="202">
        <f t="shared" si="5"/>
        <v>3.9321204668396285E-3</v>
      </c>
      <c r="T25" s="200">
        <f t="shared" si="6"/>
        <v>4.4340277777882879E-3</v>
      </c>
      <c r="U25" s="201">
        <f t="shared" si="7"/>
        <v>-5.019073109486594E-4</v>
      </c>
      <c r="V25" s="198">
        <f t="shared" si="18"/>
        <v>3.6358974474167556</v>
      </c>
      <c r="W25" s="78">
        <f t="shared" si="19"/>
        <v>3.3964652777858282</v>
      </c>
      <c r="X25" s="203">
        <f t="shared" si="8"/>
        <v>3.9321204668396285E-3</v>
      </c>
      <c r="Y25" s="204">
        <f t="shared" si="9"/>
        <v>0</v>
      </c>
      <c r="AB25" s="231"/>
      <c r="AC25" s="231"/>
    </row>
    <row r="26" spans="1:29" s="230" customFormat="1" ht="13.8" thickBot="1">
      <c r="A26" s="211" t="s">
        <v>127</v>
      </c>
      <c r="B26" s="212">
        <v>26218</v>
      </c>
      <c r="C26" s="211"/>
      <c r="D26" s="212" t="s">
        <v>139</v>
      </c>
      <c r="E26" s="212" t="s">
        <v>116</v>
      </c>
      <c r="F26" s="213" t="s">
        <v>116</v>
      </c>
      <c r="G26" s="214">
        <f t="shared" si="15"/>
        <v>1.0249999999999999</v>
      </c>
      <c r="H26" s="215" t="str">
        <f t="shared" si="1"/>
        <v>UNAV</v>
      </c>
      <c r="I26" s="216">
        <f t="shared" si="14"/>
        <v>-2.544081942045239</v>
      </c>
      <c r="J26" s="217">
        <f t="shared" si="3"/>
        <v>-2.8688159722290218</v>
      </c>
      <c r="K26" s="218">
        <f t="shared" si="4"/>
        <v>0.32473403018378288</v>
      </c>
      <c r="L26" s="219">
        <f t="shared" si="16"/>
        <v>1.0918155053715166</v>
      </c>
      <c r="M26" s="220">
        <f t="shared" si="17"/>
        <v>0.52764930555680634</v>
      </c>
      <c r="N26" s="219"/>
      <c r="O26" s="217"/>
      <c r="P26" s="218"/>
      <c r="Q26" s="219"/>
      <c r="R26" s="221"/>
      <c r="S26" s="222">
        <f t="shared" si="5"/>
        <v>-2.544081942045239</v>
      </c>
      <c r="T26" s="217">
        <f t="shared" si="6"/>
        <v>-2.8688159722290218</v>
      </c>
      <c r="U26" s="218">
        <f t="shared" si="7"/>
        <v>0.32473403018378288</v>
      </c>
      <c r="V26" s="223">
        <f t="shared" si="18"/>
        <v>1.0918155053715166</v>
      </c>
      <c r="W26" s="224">
        <f t="shared" si="19"/>
        <v>0.52764930555680634</v>
      </c>
      <c r="X26" s="225">
        <f t="shared" si="8"/>
        <v>-2.544081942045239</v>
      </c>
      <c r="Y26" s="226">
        <f t="shared" si="9"/>
        <v>0</v>
      </c>
      <c r="AB26" s="231"/>
      <c r="AC26" s="231"/>
    </row>
    <row r="27" spans="1:29" ht="36.75" hidden="1" customHeight="1" thickTop="1" thickBot="1">
      <c r="A27" s="159" t="s">
        <v>93</v>
      </c>
      <c r="B27" s="160" t="s">
        <v>94</v>
      </c>
      <c r="C27" s="161" t="s">
        <v>95</v>
      </c>
      <c r="D27" s="162" t="s">
        <v>73</v>
      </c>
      <c r="E27" s="160" t="s">
        <v>96</v>
      </c>
      <c r="F27" s="163" t="s">
        <v>97</v>
      </c>
      <c r="G27" s="163" t="s">
        <v>98</v>
      </c>
      <c r="H27" s="164" t="s">
        <v>99</v>
      </c>
      <c r="I27" s="165" t="s">
        <v>7</v>
      </c>
      <c r="J27" s="166" t="s">
        <v>100</v>
      </c>
      <c r="K27" s="166" t="s">
        <v>101</v>
      </c>
      <c r="L27" s="166" t="s">
        <v>102</v>
      </c>
      <c r="M27" s="167" t="s">
        <v>103</v>
      </c>
      <c r="N27" s="166" t="s">
        <v>11</v>
      </c>
      <c r="O27" s="166" t="s">
        <v>104</v>
      </c>
      <c r="P27" s="166" t="s">
        <v>105</v>
      </c>
      <c r="Q27" s="166" t="s">
        <v>106</v>
      </c>
      <c r="R27" s="168" t="s">
        <v>107</v>
      </c>
      <c r="S27" s="166" t="s">
        <v>9</v>
      </c>
      <c r="T27" s="166" t="s">
        <v>108</v>
      </c>
      <c r="U27" s="166" t="s">
        <v>109</v>
      </c>
      <c r="V27" s="166" t="s">
        <v>110</v>
      </c>
      <c r="W27" s="166" t="s">
        <v>111</v>
      </c>
      <c r="X27" s="169" t="s">
        <v>112</v>
      </c>
      <c r="Y27" s="170" t="s">
        <v>113</v>
      </c>
    </row>
    <row r="28" spans="1:29" s="230" customFormat="1" ht="13.8" thickTop="1">
      <c r="A28" s="171" t="s">
        <v>140</v>
      </c>
      <c r="B28" s="173">
        <v>16127</v>
      </c>
      <c r="C28" s="171"/>
      <c r="D28" s="232" t="s">
        <v>141</v>
      </c>
      <c r="E28" s="173" t="s">
        <v>118</v>
      </c>
      <c r="F28" s="174" t="s">
        <v>142</v>
      </c>
      <c r="G28" s="175">
        <f>VLOOKUP($B28,BTU,2,FALSE)/1000</f>
        <v>1.0149999999999999</v>
      </c>
      <c r="H28" s="176" t="str">
        <f>VLOOKUP($B28,spotdata,3,FALSE)</f>
        <v xml:space="preserve">    </v>
      </c>
      <c r="I28" s="199">
        <f>IF(VLOOKUP($B28,errordata,3,FALSE)="UNAV",J28*POLLHOURSFLOWED,IF(LEFT(B28,1)="1",VLOOKUP($B28,totalvolume,2,FALSE)*G28/1000,VLOOKUP($B28,totalvolume,2,FALSE)*G28/1000*-1))</f>
        <v>40.003449583999995</v>
      </c>
      <c r="J28" s="200">
        <f t="shared" ref="J28:J59" si="20">O28+T28</f>
        <v>18.493443055599389</v>
      </c>
      <c r="K28" s="201">
        <f t="shared" ref="K28:K59" si="21">I28-J28</f>
        <v>21.510006528400606</v>
      </c>
      <c r="L28" s="78">
        <f>I28</f>
        <v>40.003449583999995</v>
      </c>
      <c r="M28" s="195">
        <f>J28</f>
        <v>18.493443055599389</v>
      </c>
      <c r="N28" s="78"/>
      <c r="O28" s="200"/>
      <c r="P28" s="201"/>
      <c r="Q28" s="78">
        <f>N28</f>
        <v>0</v>
      </c>
      <c r="R28" s="196">
        <f>O28</f>
        <v>0</v>
      </c>
      <c r="S28" s="202">
        <f t="shared" ref="S28:S59" si="22">I28-N28</f>
        <v>40.003449583999995</v>
      </c>
      <c r="T28" s="200">
        <f t="shared" ref="T28:T59" si="23">IF(LEFT(B28,1)="1",VLOOKUP(B28,Cigsch,2,FALSE)/1000,VLOOKUP(B28,Cigsch,2,FALSE)/1000*-1)*POLLHOURSFLOWED</f>
        <v>18.493443055599389</v>
      </c>
      <c r="U28" s="201">
        <f t="shared" ref="U28:U59" si="24">S28-T28</f>
        <v>21.510006528400606</v>
      </c>
      <c r="V28" s="198">
        <f>S28</f>
        <v>40.003449583999995</v>
      </c>
      <c r="W28" s="78">
        <f>T28</f>
        <v>18.493443055599389</v>
      </c>
      <c r="X28" s="203">
        <f t="shared" ref="X28:X59" si="25">S28-Y28</f>
        <v>18.493443055599389</v>
      </c>
      <c r="Y28" s="204">
        <f t="shared" ref="Y28:Y59" si="26">IF(F28="OBA",I28-J28,0)</f>
        <v>21.510006528400606</v>
      </c>
      <c r="AB28" s="231"/>
      <c r="AC28" s="231"/>
    </row>
    <row r="29" spans="1:29">
      <c r="A29" s="205" t="s">
        <v>140</v>
      </c>
      <c r="B29" s="206">
        <v>26071</v>
      </c>
      <c r="C29" s="205"/>
      <c r="D29" s="206" t="s">
        <v>143</v>
      </c>
      <c r="E29" s="206" t="s">
        <v>116</v>
      </c>
      <c r="F29" s="207" t="s">
        <v>116</v>
      </c>
      <c r="G29" s="208">
        <f>VLOOKUP($B29,BTU,2,FALSE)/1000</f>
        <v>1.0569999999999999</v>
      </c>
      <c r="H29" s="176" t="str">
        <f>VLOOKUP($B29,spotdata,3,FALSE)</f>
        <v xml:space="preserve">    </v>
      </c>
      <c r="I29" s="199">
        <f>IF(VLOOKUP($B29,errordata,3,FALSE)="UNAV",J29*POLLHOURSFLOWED,IF(LEFT(B29,1)="1",VLOOKUP($B29,totalvolume,2,FALSE)*G29/1000,VLOOKUP($B29,totalvolume,2,FALSE)*G29/1000*-1))</f>
        <v>0</v>
      </c>
      <c r="J29" s="200">
        <f t="shared" si="20"/>
        <v>0</v>
      </c>
      <c r="K29" s="201">
        <f t="shared" si="21"/>
        <v>0</v>
      </c>
      <c r="L29" s="78">
        <f t="shared" ref="L29:L60" si="27">L28+I29</f>
        <v>40.003449583999995</v>
      </c>
      <c r="M29" s="195">
        <f t="shared" ref="M29:M60" si="28">M28+J29</f>
        <v>18.493443055599389</v>
      </c>
      <c r="N29" s="78"/>
      <c r="O29" s="200"/>
      <c r="P29" s="201"/>
      <c r="Q29" s="78">
        <f t="shared" ref="Q29:Q60" si="29">Q28+N29</f>
        <v>0</v>
      </c>
      <c r="R29" s="196">
        <f t="shared" ref="R29:R60" si="30">R28+O29</f>
        <v>0</v>
      </c>
      <c r="S29" s="202">
        <f t="shared" si="22"/>
        <v>0</v>
      </c>
      <c r="T29" s="200">
        <f t="shared" si="23"/>
        <v>0</v>
      </c>
      <c r="U29" s="201">
        <f t="shared" si="24"/>
        <v>0</v>
      </c>
      <c r="V29" s="198">
        <f t="shared" ref="V29:V60" si="31">V28+S29</f>
        <v>40.003449583999995</v>
      </c>
      <c r="W29" s="78">
        <f t="shared" ref="W29:W60" si="32">W28+T29</f>
        <v>18.493443055599389</v>
      </c>
      <c r="X29" s="203">
        <f t="shared" si="25"/>
        <v>0</v>
      </c>
      <c r="Y29" s="204">
        <f t="shared" si="26"/>
        <v>0</v>
      </c>
      <c r="AB29" s="188"/>
      <c r="AC29" s="188"/>
    </row>
    <row r="30" spans="1:29" s="230" customFormat="1">
      <c r="A30" s="205" t="s">
        <v>140</v>
      </c>
      <c r="B30" s="206">
        <v>26091</v>
      </c>
      <c r="C30" s="205"/>
      <c r="D30" s="206" t="s">
        <v>144</v>
      </c>
      <c r="E30" s="206" t="s">
        <v>116</v>
      </c>
      <c r="F30" s="207" t="s">
        <v>116</v>
      </c>
      <c r="G30" s="208">
        <f>VLOOKUP($B30,BTU,2,FALSE)/1000</f>
        <v>1.0309999999999999</v>
      </c>
      <c r="H30" s="176" t="str">
        <f>VLOOKUP($B30,spotdata,3,FALSE)</f>
        <v xml:space="preserve">    </v>
      </c>
      <c r="I30" s="199">
        <f>IF(VLOOKUP($B30,errordata,3,FALSE)="UNAV",J30*POLLHOURSFLOWED,IF(LEFT(B30,1)="1",VLOOKUP($B30,totalvolume,2,FALSE)*G30/1000,VLOOKUP($B30,totalvolume,2,FALSE)*G30/1000*-1))</f>
        <v>-17.589721812899995</v>
      </c>
      <c r="J30" s="200">
        <f t="shared" si="20"/>
        <v>-17.73611111115315</v>
      </c>
      <c r="K30" s="201">
        <f t="shared" si="21"/>
        <v>0.14638929825315472</v>
      </c>
      <c r="L30" s="78">
        <f t="shared" si="27"/>
        <v>22.4137277711</v>
      </c>
      <c r="M30" s="195">
        <f t="shared" si="28"/>
        <v>0.75733194444623919</v>
      </c>
      <c r="N30" s="78"/>
      <c r="O30" s="200"/>
      <c r="P30" s="201"/>
      <c r="Q30" s="78">
        <f t="shared" si="29"/>
        <v>0</v>
      </c>
      <c r="R30" s="196">
        <f t="shared" si="30"/>
        <v>0</v>
      </c>
      <c r="S30" s="202">
        <f t="shared" si="22"/>
        <v>-17.589721812899995</v>
      </c>
      <c r="T30" s="200">
        <f t="shared" si="23"/>
        <v>-17.73611111115315</v>
      </c>
      <c r="U30" s="201">
        <f t="shared" si="24"/>
        <v>0.14638929825315472</v>
      </c>
      <c r="V30" s="198">
        <f t="shared" si="31"/>
        <v>22.4137277711</v>
      </c>
      <c r="W30" s="78">
        <f t="shared" si="32"/>
        <v>0.75733194444623919</v>
      </c>
      <c r="X30" s="203">
        <f t="shared" si="25"/>
        <v>-17.589721812899995</v>
      </c>
      <c r="Y30" s="204">
        <f t="shared" si="26"/>
        <v>0</v>
      </c>
      <c r="AB30" s="231"/>
      <c r="AC30" s="231"/>
    </row>
    <row r="31" spans="1:29" s="230" customFormat="1" ht="13.8" thickBot="1">
      <c r="A31" s="233" t="s">
        <v>140</v>
      </c>
      <c r="B31" s="234">
        <v>16066</v>
      </c>
      <c r="C31" s="233"/>
      <c r="D31" s="234" t="s">
        <v>145</v>
      </c>
      <c r="E31" s="234" t="s">
        <v>118</v>
      </c>
      <c r="F31" s="235" t="s">
        <v>116</v>
      </c>
      <c r="G31" s="236">
        <f>VLOOKUP($B31,BTU,2,FALSE)/1000</f>
        <v>1.0129999999999999</v>
      </c>
      <c r="H31" s="237" t="str">
        <f>VLOOKUP($B31,spotdata,3,FALSE)</f>
        <v xml:space="preserve">    </v>
      </c>
      <c r="I31" s="238">
        <f>IF(VLOOKUP($B31,errordata,3,FALSE)="UNAV",J31*POLLHOURSFLOWED,IF(LEFT(B31,1)="1",VLOOKUP($B31,totalvolume,2,FALSE)*G31/1000,VLOOKUP($B31,totalvolume,2,FALSE)*G31/1000*-1))</f>
        <v>25.005263973599998</v>
      </c>
      <c r="J31" s="239">
        <f t="shared" si="20"/>
        <v>23.973901388945713</v>
      </c>
      <c r="K31" s="240">
        <f t="shared" si="21"/>
        <v>1.0313625846542855</v>
      </c>
      <c r="L31" s="241">
        <f t="shared" si="27"/>
        <v>47.418991744699994</v>
      </c>
      <c r="M31" s="242">
        <f t="shared" si="28"/>
        <v>24.731233333391952</v>
      </c>
      <c r="N31" s="241"/>
      <c r="O31" s="239"/>
      <c r="P31" s="240"/>
      <c r="Q31" s="241">
        <f t="shared" si="29"/>
        <v>0</v>
      </c>
      <c r="R31" s="243">
        <f t="shared" si="30"/>
        <v>0</v>
      </c>
      <c r="S31" s="244">
        <f t="shared" si="22"/>
        <v>25.005263973599998</v>
      </c>
      <c r="T31" s="239">
        <f t="shared" si="23"/>
        <v>23.973901388945713</v>
      </c>
      <c r="U31" s="240">
        <f t="shared" si="24"/>
        <v>1.0313625846542855</v>
      </c>
      <c r="V31" s="245">
        <f t="shared" si="31"/>
        <v>47.418991744699994</v>
      </c>
      <c r="W31" s="241">
        <f t="shared" si="32"/>
        <v>24.731233333391952</v>
      </c>
      <c r="X31" s="246">
        <f t="shared" si="25"/>
        <v>25.005263973599998</v>
      </c>
      <c r="Y31" s="247">
        <f t="shared" si="26"/>
        <v>0</v>
      </c>
      <c r="AB31" s="231"/>
      <c r="AC31" s="231"/>
    </row>
    <row r="32" spans="1:29">
      <c r="A32" s="248">
        <v>801</v>
      </c>
      <c r="B32" s="209">
        <v>16281</v>
      </c>
      <c r="C32" s="171"/>
      <c r="D32" s="232" t="s">
        <v>146</v>
      </c>
      <c r="E32" s="173" t="s">
        <v>116</v>
      </c>
      <c r="F32" s="174" t="s">
        <v>142</v>
      </c>
      <c r="G32" s="249">
        <f>VLOOKUP(20679,BTU,2,FALSE)/1000</f>
        <v>1.05</v>
      </c>
      <c r="H32" s="250" t="str">
        <f>VLOOKUP(20679,spotdata,3,FALSE)</f>
        <v xml:space="preserve">    </v>
      </c>
      <c r="I32" s="210">
        <f>IF(VLOOKUP(20679,errordata,3,FALSE)="UNAV",J32*POLLHOURSFLOWED,IF(LEFT(B32,1)="1",VLOOKUP(20679,totalvolume,2,FALSE)*G32/1000,VLOOKUP(20679,totalvolume,2,FALSE)*G32/1000*-1))</f>
        <v>0</v>
      </c>
      <c r="J32" s="200">
        <f t="shared" si="20"/>
        <v>0</v>
      </c>
      <c r="K32" s="201">
        <f t="shared" si="21"/>
        <v>0</v>
      </c>
      <c r="L32" s="78">
        <f t="shared" si="27"/>
        <v>47.418991744699994</v>
      </c>
      <c r="M32" s="195">
        <f t="shared" si="28"/>
        <v>24.731233333391952</v>
      </c>
      <c r="N32" s="78">
        <f t="shared" ref="N32:N63" si="33">IF(F32="CIG",O32,IF(F32="OBA",O32,IF(F32="HPL",I32-T32,IF(ISERR((O32/$J32)*$I32),0,IF(F32="TP",(O32/$J32)*$I32)))))</f>
        <v>0</v>
      </c>
      <c r="O32" s="200">
        <f t="shared" ref="O32:O63" si="34">IF(LEFT(B32,1)="1",VLOOKUP(B32,Cigsch,3,FALSE)/1000,VLOOKUP(B32,Cigsch,3,FALSE)/1000*-1)*POLLHOURSFLOWED</f>
        <v>0</v>
      </c>
      <c r="P32" s="201">
        <f t="shared" ref="P32:P63" si="35">N32-O32</f>
        <v>0</v>
      </c>
      <c r="Q32" s="78">
        <f t="shared" si="29"/>
        <v>0</v>
      </c>
      <c r="R32" s="196">
        <f t="shared" si="30"/>
        <v>0</v>
      </c>
      <c r="S32" s="202">
        <f t="shared" si="22"/>
        <v>0</v>
      </c>
      <c r="T32" s="200">
        <f t="shared" si="23"/>
        <v>0</v>
      </c>
      <c r="U32" s="201">
        <f t="shared" si="24"/>
        <v>0</v>
      </c>
      <c r="V32" s="198">
        <f t="shared" si="31"/>
        <v>47.418991744699994</v>
      </c>
      <c r="W32" s="78">
        <f t="shared" si="32"/>
        <v>24.731233333391952</v>
      </c>
      <c r="X32" s="203">
        <f t="shared" si="25"/>
        <v>0</v>
      </c>
      <c r="Y32" s="204">
        <f t="shared" si="26"/>
        <v>0</v>
      </c>
      <c r="AB32" s="188"/>
      <c r="AC32" s="188"/>
    </row>
    <row r="33" spans="1:29">
      <c r="A33" s="248">
        <v>801</v>
      </c>
      <c r="B33" s="209">
        <v>26081</v>
      </c>
      <c r="C33" s="171">
        <v>694</v>
      </c>
      <c r="D33" s="232" t="s">
        <v>147</v>
      </c>
      <c r="E33" s="173" t="s">
        <v>116</v>
      </c>
      <c r="F33" s="174" t="s">
        <v>142</v>
      </c>
      <c r="G33" s="175">
        <f t="shared" ref="G33:G64" si="36">VLOOKUP($B33,BTU,2,FALSE)/1000</f>
        <v>1.018</v>
      </c>
      <c r="H33" s="176" t="str">
        <f t="shared" ref="H33:H64" si="37">VLOOKUP($B33,spotdata,3,FALSE)</f>
        <v xml:space="preserve">    </v>
      </c>
      <c r="I33" s="199">
        <f t="shared" ref="I33:I64" si="38">IF(VLOOKUP($B33,errordata,3,FALSE)="UNAV",J33*POLLHOURSFLOWED,IF(LEFT(B33,1)="1",VLOOKUP($B33,totalvolume,2,FALSE)*G33/1000,VLOOKUP($B33,totalvolume,2,FALSE)*G33/1000*-1))</f>
        <v>-8.0502634761999996</v>
      </c>
      <c r="J33" s="200">
        <f t="shared" si="20"/>
        <v>-1.1333375000026864</v>
      </c>
      <c r="K33" s="201">
        <f t="shared" si="21"/>
        <v>-6.9169259761973132</v>
      </c>
      <c r="L33" s="78">
        <f t="shared" si="27"/>
        <v>39.368728268499993</v>
      </c>
      <c r="M33" s="195">
        <f t="shared" si="28"/>
        <v>23.597895833389266</v>
      </c>
      <c r="N33" s="78">
        <f t="shared" si="33"/>
        <v>-0.38310000000090805</v>
      </c>
      <c r="O33" s="200">
        <f t="shared" si="34"/>
        <v>-0.38310000000090805</v>
      </c>
      <c r="P33" s="201">
        <f t="shared" si="35"/>
        <v>0</v>
      </c>
      <c r="Q33" s="78">
        <f t="shared" si="29"/>
        <v>-0.38310000000090805</v>
      </c>
      <c r="R33" s="196">
        <f t="shared" si="30"/>
        <v>-0.38310000000090805</v>
      </c>
      <c r="S33" s="202">
        <f t="shared" si="22"/>
        <v>-7.6671634761990912</v>
      </c>
      <c r="T33" s="200">
        <f t="shared" si="23"/>
        <v>-0.75023750000177825</v>
      </c>
      <c r="U33" s="201">
        <f t="shared" si="24"/>
        <v>-6.9169259761973132</v>
      </c>
      <c r="V33" s="198">
        <f t="shared" si="31"/>
        <v>39.751828268500901</v>
      </c>
      <c r="W33" s="78">
        <f t="shared" si="32"/>
        <v>23.980995833390175</v>
      </c>
      <c r="X33" s="203">
        <f t="shared" si="25"/>
        <v>-0.75023750000177802</v>
      </c>
      <c r="Y33" s="204">
        <f t="shared" si="26"/>
        <v>-6.9169259761973132</v>
      </c>
      <c r="AB33" s="188"/>
      <c r="AC33" s="188"/>
    </row>
    <row r="34" spans="1:29">
      <c r="A34" s="248">
        <v>801</v>
      </c>
      <c r="B34" s="173">
        <v>16032</v>
      </c>
      <c r="C34" s="171">
        <v>3500</v>
      </c>
      <c r="D34" s="173" t="s">
        <v>148</v>
      </c>
      <c r="E34" s="173" t="s">
        <v>149</v>
      </c>
      <c r="F34" s="174" t="s">
        <v>149</v>
      </c>
      <c r="G34" s="175">
        <f t="shared" si="36"/>
        <v>1.0249999999999999</v>
      </c>
      <c r="H34" s="176" t="str">
        <f t="shared" si="37"/>
        <v xml:space="preserve">    </v>
      </c>
      <c r="I34" s="199">
        <f t="shared" si="38"/>
        <v>99.121992369999987</v>
      </c>
      <c r="J34" s="200">
        <f t="shared" si="20"/>
        <v>84.246527777977462</v>
      </c>
      <c r="K34" s="201">
        <f t="shared" si="21"/>
        <v>14.875464592022524</v>
      </c>
      <c r="L34" s="78">
        <f t="shared" si="27"/>
        <v>138.49072063849997</v>
      </c>
      <c r="M34" s="195">
        <f t="shared" si="28"/>
        <v>107.84442361136672</v>
      </c>
      <c r="N34" s="78">
        <f t="shared" si="33"/>
        <v>81.143783342179603</v>
      </c>
      <c r="O34" s="200">
        <f t="shared" si="34"/>
        <v>66.268318750157079</v>
      </c>
      <c r="P34" s="201">
        <f t="shared" si="35"/>
        <v>14.875464592022524</v>
      </c>
      <c r="Q34" s="78">
        <f t="shared" si="29"/>
        <v>80.760683342178694</v>
      </c>
      <c r="R34" s="196">
        <f t="shared" si="30"/>
        <v>65.88521875015617</v>
      </c>
      <c r="S34" s="202">
        <f t="shared" si="22"/>
        <v>17.978209027820384</v>
      </c>
      <c r="T34" s="200">
        <f t="shared" si="23"/>
        <v>17.978209027820391</v>
      </c>
      <c r="U34" s="201">
        <f t="shared" si="24"/>
        <v>0</v>
      </c>
      <c r="V34" s="198">
        <f t="shared" si="31"/>
        <v>57.730037296321285</v>
      </c>
      <c r="W34" s="78">
        <f t="shared" si="32"/>
        <v>41.959204861210566</v>
      </c>
      <c r="X34" s="203">
        <f t="shared" si="25"/>
        <v>17.978209027820384</v>
      </c>
      <c r="Y34" s="204">
        <f t="shared" si="26"/>
        <v>0</v>
      </c>
      <c r="AB34" s="188"/>
      <c r="AC34" s="188"/>
    </row>
    <row r="35" spans="1:29">
      <c r="A35" s="248">
        <v>801</v>
      </c>
      <c r="B35" s="173">
        <v>26205</v>
      </c>
      <c r="C35" s="171">
        <v>3561</v>
      </c>
      <c r="D35" s="173" t="s">
        <v>150</v>
      </c>
      <c r="E35" s="173" t="s">
        <v>149</v>
      </c>
      <c r="F35" s="174" t="s">
        <v>149</v>
      </c>
      <c r="G35" s="175">
        <f t="shared" si="36"/>
        <v>1.0249999999999999</v>
      </c>
      <c r="H35" s="176" t="str">
        <f t="shared" si="37"/>
        <v xml:space="preserve">    </v>
      </c>
      <c r="I35" s="199">
        <f t="shared" si="38"/>
        <v>0</v>
      </c>
      <c r="J35" s="200">
        <f t="shared" si="20"/>
        <v>0</v>
      </c>
      <c r="K35" s="201">
        <f t="shared" si="21"/>
        <v>0</v>
      </c>
      <c r="L35" s="78">
        <f t="shared" si="27"/>
        <v>138.49072063849997</v>
      </c>
      <c r="M35" s="195">
        <f t="shared" si="28"/>
        <v>107.84442361136672</v>
      </c>
      <c r="N35" s="78">
        <f t="shared" si="33"/>
        <v>0</v>
      </c>
      <c r="O35" s="200">
        <f t="shared" si="34"/>
        <v>0</v>
      </c>
      <c r="P35" s="201">
        <f t="shared" si="35"/>
        <v>0</v>
      </c>
      <c r="Q35" s="78">
        <f t="shared" si="29"/>
        <v>80.760683342178694</v>
      </c>
      <c r="R35" s="196">
        <f t="shared" si="30"/>
        <v>65.88521875015617</v>
      </c>
      <c r="S35" s="202">
        <f t="shared" si="22"/>
        <v>0</v>
      </c>
      <c r="T35" s="200">
        <f t="shared" si="23"/>
        <v>0</v>
      </c>
      <c r="U35" s="201">
        <f t="shared" si="24"/>
        <v>0</v>
      </c>
      <c r="V35" s="198">
        <f t="shared" si="31"/>
        <v>57.730037296321285</v>
      </c>
      <c r="W35" s="78">
        <f t="shared" si="32"/>
        <v>41.959204861210566</v>
      </c>
      <c r="X35" s="203">
        <f t="shared" si="25"/>
        <v>0</v>
      </c>
      <c r="Y35" s="204">
        <f t="shared" si="26"/>
        <v>0</v>
      </c>
      <c r="AB35" s="188"/>
      <c r="AC35" s="188"/>
    </row>
    <row r="36" spans="1:29">
      <c r="A36" s="248">
        <v>801</v>
      </c>
      <c r="B36" s="173">
        <v>16244</v>
      </c>
      <c r="C36" s="171">
        <v>7038</v>
      </c>
      <c r="D36" s="232" t="s">
        <v>151</v>
      </c>
      <c r="E36" s="173" t="s">
        <v>118</v>
      </c>
      <c r="F36" s="174" t="s">
        <v>142</v>
      </c>
      <c r="G36" s="175">
        <f t="shared" si="36"/>
        <v>1.0189999999999999</v>
      </c>
      <c r="H36" s="176" t="str">
        <f t="shared" si="37"/>
        <v xml:space="preserve">    </v>
      </c>
      <c r="I36" s="199">
        <f t="shared" si="38"/>
        <v>78.765658896399998</v>
      </c>
      <c r="J36" s="200">
        <f t="shared" si="20"/>
        <v>75.112430555733596</v>
      </c>
      <c r="K36" s="201">
        <f t="shared" si="21"/>
        <v>3.6532283406664021</v>
      </c>
      <c r="L36" s="78">
        <f t="shared" si="27"/>
        <v>217.25637953489996</v>
      </c>
      <c r="M36" s="195">
        <f t="shared" si="28"/>
        <v>182.95685416710032</v>
      </c>
      <c r="N36" s="78">
        <f t="shared" si="33"/>
        <v>3.54722222223063</v>
      </c>
      <c r="O36" s="200">
        <f t="shared" si="34"/>
        <v>3.54722222223063</v>
      </c>
      <c r="P36" s="201">
        <f t="shared" si="35"/>
        <v>0</v>
      </c>
      <c r="Q36" s="78">
        <f t="shared" si="29"/>
        <v>84.307905564409324</v>
      </c>
      <c r="R36" s="196">
        <f t="shared" si="30"/>
        <v>69.4324409723868</v>
      </c>
      <c r="S36" s="202">
        <f t="shared" si="22"/>
        <v>75.218436674169368</v>
      </c>
      <c r="T36" s="200">
        <f t="shared" si="23"/>
        <v>71.565208333502966</v>
      </c>
      <c r="U36" s="201">
        <f t="shared" si="24"/>
        <v>3.6532283406664021</v>
      </c>
      <c r="V36" s="198">
        <f t="shared" si="31"/>
        <v>132.94847397049065</v>
      </c>
      <c r="W36" s="78">
        <f t="shared" si="32"/>
        <v>113.52441319471353</v>
      </c>
      <c r="X36" s="203">
        <f t="shared" si="25"/>
        <v>71.565208333502966</v>
      </c>
      <c r="Y36" s="204">
        <f t="shared" si="26"/>
        <v>3.6532283406664021</v>
      </c>
      <c r="AB36" s="188"/>
      <c r="AC36" s="188"/>
    </row>
    <row r="37" spans="1:29">
      <c r="A37" s="248">
        <v>801</v>
      </c>
      <c r="B37" s="173">
        <v>16130</v>
      </c>
      <c r="C37" s="171">
        <v>584</v>
      </c>
      <c r="D37" s="232" t="s">
        <v>152</v>
      </c>
      <c r="E37" s="173" t="s">
        <v>118</v>
      </c>
      <c r="F37" s="174" t="s">
        <v>142</v>
      </c>
      <c r="G37" s="175">
        <f t="shared" si="36"/>
        <v>1.0049999999999999</v>
      </c>
      <c r="H37" s="176" t="str">
        <f t="shared" si="37"/>
        <v xml:space="preserve">    </v>
      </c>
      <c r="I37" s="199">
        <f t="shared" si="38"/>
        <v>65.500176223499992</v>
      </c>
      <c r="J37" s="200">
        <f t="shared" si="20"/>
        <v>56.681063889023235</v>
      </c>
      <c r="K37" s="201">
        <f t="shared" si="21"/>
        <v>8.8191123344767561</v>
      </c>
      <c r="L37" s="78">
        <f t="shared" si="27"/>
        <v>282.75655575839994</v>
      </c>
      <c r="M37" s="195">
        <f t="shared" si="28"/>
        <v>239.63791805612357</v>
      </c>
      <c r="N37" s="78">
        <f t="shared" si="33"/>
        <v>6.9259513889053048</v>
      </c>
      <c r="O37" s="200">
        <f t="shared" si="34"/>
        <v>6.9259513889053048</v>
      </c>
      <c r="P37" s="201">
        <f t="shared" si="35"/>
        <v>0</v>
      </c>
      <c r="Q37" s="78">
        <f t="shared" si="29"/>
        <v>91.233856953314628</v>
      </c>
      <c r="R37" s="196">
        <f t="shared" si="30"/>
        <v>76.358392361292104</v>
      </c>
      <c r="S37" s="202">
        <f t="shared" si="22"/>
        <v>58.574224834594688</v>
      </c>
      <c r="T37" s="200">
        <f t="shared" si="23"/>
        <v>49.755112500117932</v>
      </c>
      <c r="U37" s="201">
        <f t="shared" si="24"/>
        <v>8.8191123344767561</v>
      </c>
      <c r="V37" s="198">
        <f t="shared" si="31"/>
        <v>191.52269880508533</v>
      </c>
      <c r="W37" s="78">
        <f t="shared" si="32"/>
        <v>163.27952569483148</v>
      </c>
      <c r="X37" s="203">
        <f t="shared" si="25"/>
        <v>49.755112500117932</v>
      </c>
      <c r="Y37" s="204">
        <f t="shared" si="26"/>
        <v>8.8191123344767561</v>
      </c>
      <c r="AB37" s="188"/>
      <c r="AC37" s="188"/>
    </row>
    <row r="38" spans="1:29">
      <c r="A38" s="248">
        <v>801</v>
      </c>
      <c r="B38" s="173">
        <v>16291</v>
      </c>
      <c r="C38" s="171"/>
      <c r="D38" s="173" t="s">
        <v>153</v>
      </c>
      <c r="E38" s="173" t="s">
        <v>118</v>
      </c>
      <c r="F38" s="174" t="s">
        <v>149</v>
      </c>
      <c r="G38" s="175">
        <f t="shared" si="36"/>
        <v>1.014</v>
      </c>
      <c r="H38" s="176" t="str">
        <f t="shared" si="37"/>
        <v xml:space="preserve">    </v>
      </c>
      <c r="I38" s="199">
        <f t="shared" si="38"/>
        <v>0</v>
      </c>
      <c r="J38" s="200">
        <f t="shared" si="20"/>
        <v>0.8868055555576575</v>
      </c>
      <c r="K38" s="201">
        <f t="shared" si="21"/>
        <v>-0.8868055555576575</v>
      </c>
      <c r="L38" s="78">
        <f t="shared" si="27"/>
        <v>282.75655575839994</v>
      </c>
      <c r="M38" s="195">
        <f t="shared" si="28"/>
        <v>240.52472361168122</v>
      </c>
      <c r="N38" s="78">
        <f t="shared" si="33"/>
        <v>-0.8868055555576575</v>
      </c>
      <c r="O38" s="200">
        <f t="shared" si="34"/>
        <v>0</v>
      </c>
      <c r="P38" s="201">
        <f t="shared" si="35"/>
        <v>-0.8868055555576575</v>
      </c>
      <c r="Q38" s="78">
        <f t="shared" si="29"/>
        <v>90.347051397756971</v>
      </c>
      <c r="R38" s="196">
        <f t="shared" si="30"/>
        <v>76.358392361292104</v>
      </c>
      <c r="S38" s="202">
        <f t="shared" si="22"/>
        <v>0.8868055555576575</v>
      </c>
      <c r="T38" s="200">
        <f t="shared" si="23"/>
        <v>0.8868055555576575</v>
      </c>
      <c r="U38" s="201">
        <f t="shared" si="24"/>
        <v>0</v>
      </c>
      <c r="V38" s="198">
        <f t="shared" si="31"/>
        <v>192.40950436064298</v>
      </c>
      <c r="W38" s="78">
        <f t="shared" si="32"/>
        <v>164.16633125038913</v>
      </c>
      <c r="X38" s="203">
        <f t="shared" si="25"/>
        <v>0.8868055555576575</v>
      </c>
      <c r="Y38" s="204">
        <f t="shared" si="26"/>
        <v>0</v>
      </c>
      <c r="AB38" s="188"/>
      <c r="AC38" s="188"/>
    </row>
    <row r="39" spans="1:29">
      <c r="A39" s="248">
        <v>801</v>
      </c>
      <c r="B39" s="173">
        <v>26176</v>
      </c>
      <c r="C39" s="171"/>
      <c r="D39" s="173" t="s">
        <v>154</v>
      </c>
      <c r="E39" s="173" t="s">
        <v>118</v>
      </c>
      <c r="F39" s="174" t="s">
        <v>149</v>
      </c>
      <c r="G39" s="175">
        <f t="shared" si="36"/>
        <v>1.014</v>
      </c>
      <c r="H39" s="176" t="str">
        <f t="shared" si="37"/>
        <v xml:space="preserve">    </v>
      </c>
      <c r="I39" s="199">
        <f t="shared" si="38"/>
        <v>0</v>
      </c>
      <c r="J39" s="200">
        <f t="shared" si="20"/>
        <v>0</v>
      </c>
      <c r="K39" s="201">
        <f t="shared" si="21"/>
        <v>0</v>
      </c>
      <c r="L39" s="78">
        <f t="shared" si="27"/>
        <v>282.75655575839994</v>
      </c>
      <c r="M39" s="195">
        <f t="shared" si="28"/>
        <v>240.52472361168122</v>
      </c>
      <c r="N39" s="78">
        <f t="shared" si="33"/>
        <v>0</v>
      </c>
      <c r="O39" s="200">
        <f t="shared" si="34"/>
        <v>0</v>
      </c>
      <c r="P39" s="201">
        <f t="shared" si="35"/>
        <v>0</v>
      </c>
      <c r="Q39" s="78">
        <f t="shared" si="29"/>
        <v>90.347051397756971</v>
      </c>
      <c r="R39" s="196">
        <f t="shared" si="30"/>
        <v>76.358392361292104</v>
      </c>
      <c r="S39" s="202">
        <f t="shared" si="22"/>
        <v>0</v>
      </c>
      <c r="T39" s="200">
        <f t="shared" si="23"/>
        <v>0</v>
      </c>
      <c r="U39" s="201">
        <f t="shared" si="24"/>
        <v>0</v>
      </c>
      <c r="V39" s="198">
        <f t="shared" si="31"/>
        <v>192.40950436064298</v>
      </c>
      <c r="W39" s="78">
        <f t="shared" si="32"/>
        <v>164.16633125038913</v>
      </c>
      <c r="X39" s="203">
        <f t="shared" si="25"/>
        <v>0</v>
      </c>
      <c r="Y39" s="204">
        <f t="shared" si="26"/>
        <v>0</v>
      </c>
      <c r="AB39" s="188"/>
      <c r="AC39" s="188"/>
    </row>
    <row r="40" spans="1:29">
      <c r="A40" s="248">
        <v>801</v>
      </c>
      <c r="B40" s="173">
        <v>16107</v>
      </c>
      <c r="C40" s="171"/>
      <c r="D40" s="173" t="s">
        <v>155</v>
      </c>
      <c r="E40" s="173" t="s">
        <v>118</v>
      </c>
      <c r="F40" s="174" t="s">
        <v>156</v>
      </c>
      <c r="G40" s="175">
        <f t="shared" si="36"/>
        <v>1.0249999999999999</v>
      </c>
      <c r="H40" s="176" t="str">
        <f t="shared" si="37"/>
        <v>UNAV</v>
      </c>
      <c r="I40" s="199">
        <f t="shared" si="38"/>
        <v>0</v>
      </c>
      <c r="J40" s="200">
        <f t="shared" si="20"/>
        <v>0</v>
      </c>
      <c r="K40" s="201">
        <f t="shared" si="21"/>
        <v>0</v>
      </c>
      <c r="L40" s="78">
        <f t="shared" si="27"/>
        <v>282.75655575839994</v>
      </c>
      <c r="M40" s="195">
        <f t="shared" si="28"/>
        <v>240.52472361168122</v>
      </c>
      <c r="N40" s="78">
        <f t="shared" si="33"/>
        <v>0</v>
      </c>
      <c r="O40" s="200">
        <f t="shared" si="34"/>
        <v>0</v>
      </c>
      <c r="P40" s="201">
        <f t="shared" si="35"/>
        <v>0</v>
      </c>
      <c r="Q40" s="78">
        <f t="shared" si="29"/>
        <v>90.347051397756971</v>
      </c>
      <c r="R40" s="196">
        <f t="shared" si="30"/>
        <v>76.358392361292104</v>
      </c>
      <c r="S40" s="202">
        <f t="shared" si="22"/>
        <v>0</v>
      </c>
      <c r="T40" s="200">
        <f t="shared" si="23"/>
        <v>0</v>
      </c>
      <c r="U40" s="201">
        <f t="shared" si="24"/>
        <v>0</v>
      </c>
      <c r="V40" s="198">
        <f t="shared" si="31"/>
        <v>192.40950436064298</v>
      </c>
      <c r="W40" s="78">
        <f t="shared" si="32"/>
        <v>164.16633125038913</v>
      </c>
      <c r="X40" s="203">
        <f t="shared" si="25"/>
        <v>0</v>
      </c>
      <c r="Y40" s="204">
        <f t="shared" si="26"/>
        <v>0</v>
      </c>
      <c r="AB40" s="188"/>
      <c r="AC40" s="188"/>
    </row>
    <row r="41" spans="1:29">
      <c r="A41" s="248">
        <v>801</v>
      </c>
      <c r="B41" s="173">
        <v>26043</v>
      </c>
      <c r="C41" s="171"/>
      <c r="D41" s="173" t="s">
        <v>157</v>
      </c>
      <c r="E41" s="173" t="s">
        <v>116</v>
      </c>
      <c r="F41" s="174" t="s">
        <v>116</v>
      </c>
      <c r="G41" s="175">
        <f t="shared" si="36"/>
        <v>1.0249999999999999</v>
      </c>
      <c r="H41" s="176" t="str">
        <f t="shared" si="37"/>
        <v>UNAV</v>
      </c>
      <c r="I41" s="199">
        <f t="shared" si="38"/>
        <v>0</v>
      </c>
      <c r="J41" s="200">
        <f t="shared" si="20"/>
        <v>0</v>
      </c>
      <c r="K41" s="201">
        <f t="shared" si="21"/>
        <v>0</v>
      </c>
      <c r="L41" s="78">
        <f t="shared" si="27"/>
        <v>282.75655575839994</v>
      </c>
      <c r="M41" s="195">
        <f t="shared" si="28"/>
        <v>240.52472361168122</v>
      </c>
      <c r="N41" s="78">
        <f t="shared" si="33"/>
        <v>0</v>
      </c>
      <c r="O41" s="200">
        <f t="shared" si="34"/>
        <v>0</v>
      </c>
      <c r="P41" s="201">
        <f t="shared" si="35"/>
        <v>0</v>
      </c>
      <c r="Q41" s="78">
        <f t="shared" si="29"/>
        <v>90.347051397756971</v>
      </c>
      <c r="R41" s="196">
        <f t="shared" si="30"/>
        <v>76.358392361292104</v>
      </c>
      <c r="S41" s="202">
        <f t="shared" si="22"/>
        <v>0</v>
      </c>
      <c r="T41" s="200">
        <f t="shared" si="23"/>
        <v>0</v>
      </c>
      <c r="U41" s="201">
        <f t="shared" si="24"/>
        <v>0</v>
      </c>
      <c r="V41" s="198">
        <f t="shared" si="31"/>
        <v>192.40950436064298</v>
      </c>
      <c r="W41" s="78">
        <f t="shared" si="32"/>
        <v>164.16633125038913</v>
      </c>
      <c r="X41" s="203">
        <f t="shared" si="25"/>
        <v>0</v>
      </c>
      <c r="Y41" s="204">
        <f t="shared" si="26"/>
        <v>0</v>
      </c>
      <c r="AB41" s="188"/>
      <c r="AC41" s="188"/>
    </row>
    <row r="42" spans="1:29">
      <c r="A42" s="248">
        <v>801</v>
      </c>
      <c r="B42" s="173">
        <v>16182</v>
      </c>
      <c r="C42" s="171"/>
      <c r="D42" s="173" t="s">
        <v>158</v>
      </c>
      <c r="E42" s="173" t="s">
        <v>118</v>
      </c>
      <c r="F42" s="174" t="s">
        <v>116</v>
      </c>
      <c r="G42" s="175">
        <f t="shared" si="36"/>
        <v>1.0249999999999999</v>
      </c>
      <c r="H42" s="176" t="str">
        <f t="shared" si="37"/>
        <v>UNAV</v>
      </c>
      <c r="I42" s="199">
        <f t="shared" si="38"/>
        <v>0.19660602334198138</v>
      </c>
      <c r="J42" s="200">
        <f t="shared" si="20"/>
        <v>0.22170138888941437</v>
      </c>
      <c r="K42" s="201">
        <f t="shared" si="21"/>
        <v>-2.5095365547432996E-2</v>
      </c>
      <c r="L42" s="78">
        <f t="shared" si="27"/>
        <v>282.95316178174193</v>
      </c>
      <c r="M42" s="195">
        <f t="shared" si="28"/>
        <v>240.74642500057064</v>
      </c>
      <c r="N42" s="78">
        <f t="shared" si="33"/>
        <v>0</v>
      </c>
      <c r="O42" s="200">
        <f t="shared" si="34"/>
        <v>0</v>
      </c>
      <c r="P42" s="201">
        <f t="shared" si="35"/>
        <v>0</v>
      </c>
      <c r="Q42" s="78">
        <f t="shared" si="29"/>
        <v>90.347051397756971</v>
      </c>
      <c r="R42" s="196">
        <f t="shared" si="30"/>
        <v>76.358392361292104</v>
      </c>
      <c r="S42" s="202">
        <f t="shared" si="22"/>
        <v>0.19660602334198138</v>
      </c>
      <c r="T42" s="200">
        <f t="shared" si="23"/>
        <v>0.22170138888941437</v>
      </c>
      <c r="U42" s="201">
        <f t="shared" si="24"/>
        <v>-2.5095365547432996E-2</v>
      </c>
      <c r="V42" s="198">
        <f t="shared" si="31"/>
        <v>192.60611038398497</v>
      </c>
      <c r="W42" s="78">
        <f t="shared" si="32"/>
        <v>164.38803263927855</v>
      </c>
      <c r="X42" s="203">
        <f t="shared" si="25"/>
        <v>0.19660602334198138</v>
      </c>
      <c r="Y42" s="204">
        <f t="shared" si="26"/>
        <v>0</v>
      </c>
      <c r="AB42" s="188"/>
      <c r="AC42" s="188"/>
    </row>
    <row r="43" spans="1:29">
      <c r="A43" s="248">
        <v>801</v>
      </c>
      <c r="B43" s="173">
        <v>16161</v>
      </c>
      <c r="C43" s="171"/>
      <c r="D43" s="173" t="s">
        <v>159</v>
      </c>
      <c r="E43" s="173" t="s">
        <v>118</v>
      </c>
      <c r="F43" s="174" t="s">
        <v>116</v>
      </c>
      <c r="G43" s="175">
        <f t="shared" si="36"/>
        <v>1.0249999999999999</v>
      </c>
      <c r="H43" s="176" t="str">
        <f t="shared" si="37"/>
        <v>UNAV</v>
      </c>
      <c r="I43" s="199">
        <f t="shared" si="38"/>
        <v>0.17773184510115117</v>
      </c>
      <c r="J43" s="200">
        <f t="shared" si="20"/>
        <v>0.20041805555603059</v>
      </c>
      <c r="K43" s="201">
        <f t="shared" si="21"/>
        <v>-2.2686210454879424E-2</v>
      </c>
      <c r="L43" s="78">
        <f t="shared" si="27"/>
        <v>283.13089362684309</v>
      </c>
      <c r="M43" s="195">
        <f t="shared" si="28"/>
        <v>240.94684305612668</v>
      </c>
      <c r="N43" s="78">
        <f t="shared" si="33"/>
        <v>0</v>
      </c>
      <c r="O43" s="200">
        <f t="shared" si="34"/>
        <v>0</v>
      </c>
      <c r="P43" s="201">
        <f t="shared" si="35"/>
        <v>0</v>
      </c>
      <c r="Q43" s="78">
        <f t="shared" si="29"/>
        <v>90.347051397756971</v>
      </c>
      <c r="R43" s="196">
        <f t="shared" si="30"/>
        <v>76.358392361292104</v>
      </c>
      <c r="S43" s="202">
        <f t="shared" si="22"/>
        <v>0.17773184510115117</v>
      </c>
      <c r="T43" s="200">
        <f t="shared" si="23"/>
        <v>0.20041805555603059</v>
      </c>
      <c r="U43" s="201">
        <f t="shared" si="24"/>
        <v>-2.2686210454879424E-2</v>
      </c>
      <c r="V43" s="198">
        <f t="shared" si="31"/>
        <v>192.78384222908613</v>
      </c>
      <c r="W43" s="78">
        <f t="shared" si="32"/>
        <v>164.58845069483459</v>
      </c>
      <c r="X43" s="203">
        <f t="shared" si="25"/>
        <v>0.17773184510115117</v>
      </c>
      <c r="Y43" s="204">
        <f t="shared" si="26"/>
        <v>0</v>
      </c>
      <c r="AB43" s="188"/>
      <c r="AC43" s="188"/>
    </row>
    <row r="44" spans="1:29">
      <c r="A44" s="248">
        <v>801</v>
      </c>
      <c r="B44" s="173">
        <v>26107</v>
      </c>
      <c r="C44" s="171">
        <v>3545</v>
      </c>
      <c r="D44" s="173" t="s">
        <v>160</v>
      </c>
      <c r="E44" s="173" t="s">
        <v>149</v>
      </c>
      <c r="F44" s="174" t="s">
        <v>149</v>
      </c>
      <c r="G44" s="175">
        <f t="shared" si="36"/>
        <v>1.0249999999999999</v>
      </c>
      <c r="H44" s="176" t="str">
        <f t="shared" si="37"/>
        <v xml:space="preserve">    </v>
      </c>
      <c r="I44" s="199">
        <f t="shared" si="38"/>
        <v>0</v>
      </c>
      <c r="J44" s="200">
        <f t="shared" si="20"/>
        <v>-0.8868055555576575</v>
      </c>
      <c r="K44" s="201">
        <f t="shared" si="21"/>
        <v>0.8868055555576575</v>
      </c>
      <c r="L44" s="78">
        <f t="shared" si="27"/>
        <v>283.13089362684309</v>
      </c>
      <c r="M44" s="195">
        <f t="shared" si="28"/>
        <v>240.06003750056902</v>
      </c>
      <c r="N44" s="78">
        <f t="shared" si="33"/>
        <v>0</v>
      </c>
      <c r="O44" s="200">
        <f t="shared" si="34"/>
        <v>-0.8868055555576575</v>
      </c>
      <c r="P44" s="201">
        <f t="shared" si="35"/>
        <v>0.8868055555576575</v>
      </c>
      <c r="Q44" s="78">
        <f t="shared" si="29"/>
        <v>90.347051397756971</v>
      </c>
      <c r="R44" s="196">
        <f t="shared" si="30"/>
        <v>75.471586805734447</v>
      </c>
      <c r="S44" s="202">
        <f t="shared" si="22"/>
        <v>0</v>
      </c>
      <c r="T44" s="200">
        <f t="shared" si="23"/>
        <v>0</v>
      </c>
      <c r="U44" s="201">
        <f t="shared" si="24"/>
        <v>0</v>
      </c>
      <c r="V44" s="198">
        <f t="shared" si="31"/>
        <v>192.78384222908613</v>
      </c>
      <c r="W44" s="78">
        <f t="shared" si="32"/>
        <v>164.58845069483459</v>
      </c>
      <c r="X44" s="203">
        <f t="shared" si="25"/>
        <v>0</v>
      </c>
      <c r="Y44" s="204">
        <f t="shared" si="26"/>
        <v>0</v>
      </c>
      <c r="AB44" s="188"/>
      <c r="AC44" s="188"/>
    </row>
    <row r="45" spans="1:29">
      <c r="A45" s="248">
        <v>801</v>
      </c>
      <c r="B45" s="209">
        <v>26123</v>
      </c>
      <c r="C45" s="171"/>
      <c r="D45" s="173" t="s">
        <v>161</v>
      </c>
      <c r="E45" s="173" t="s">
        <v>116</v>
      </c>
      <c r="F45" s="174" t="s">
        <v>116</v>
      </c>
      <c r="G45" s="175">
        <f t="shared" si="36"/>
        <v>1.0169999999999999</v>
      </c>
      <c r="H45" s="176" t="str">
        <f t="shared" si="37"/>
        <v xml:space="preserve">    </v>
      </c>
      <c r="I45" s="199">
        <f t="shared" si="38"/>
        <v>0</v>
      </c>
      <c r="J45" s="200">
        <f t="shared" si="20"/>
        <v>0</v>
      </c>
      <c r="K45" s="201">
        <f t="shared" si="21"/>
        <v>0</v>
      </c>
      <c r="L45" s="78">
        <f t="shared" si="27"/>
        <v>283.13089362684309</v>
      </c>
      <c r="M45" s="195">
        <f t="shared" si="28"/>
        <v>240.06003750056902</v>
      </c>
      <c r="N45" s="78">
        <f t="shared" si="33"/>
        <v>0</v>
      </c>
      <c r="O45" s="200">
        <f t="shared" si="34"/>
        <v>0</v>
      </c>
      <c r="P45" s="201">
        <f t="shared" si="35"/>
        <v>0</v>
      </c>
      <c r="Q45" s="78">
        <f t="shared" si="29"/>
        <v>90.347051397756971</v>
      </c>
      <c r="R45" s="196">
        <f t="shared" si="30"/>
        <v>75.471586805734447</v>
      </c>
      <c r="S45" s="202">
        <f t="shared" si="22"/>
        <v>0</v>
      </c>
      <c r="T45" s="200">
        <f t="shared" si="23"/>
        <v>0</v>
      </c>
      <c r="U45" s="201">
        <f t="shared" si="24"/>
        <v>0</v>
      </c>
      <c r="V45" s="198">
        <f t="shared" si="31"/>
        <v>192.78384222908613</v>
      </c>
      <c r="W45" s="78">
        <f t="shared" si="32"/>
        <v>164.58845069483459</v>
      </c>
      <c r="X45" s="203">
        <f t="shared" si="25"/>
        <v>0</v>
      </c>
      <c r="Y45" s="204">
        <f t="shared" si="26"/>
        <v>0</v>
      </c>
      <c r="AB45" s="188"/>
      <c r="AC45" s="188"/>
    </row>
    <row r="46" spans="1:29">
      <c r="A46" s="248">
        <v>801</v>
      </c>
      <c r="B46" s="173">
        <v>26083</v>
      </c>
      <c r="C46" s="171"/>
      <c r="D46" s="173" t="s">
        <v>162</v>
      </c>
      <c r="E46" s="173" t="s">
        <v>116</v>
      </c>
      <c r="F46" s="174" t="s">
        <v>116</v>
      </c>
      <c r="G46" s="175">
        <f t="shared" si="36"/>
        <v>1.018</v>
      </c>
      <c r="H46" s="176" t="str">
        <f t="shared" si="37"/>
        <v xml:space="preserve">    </v>
      </c>
      <c r="I46" s="199">
        <f t="shared" si="38"/>
        <v>-4.4202196249999997</v>
      </c>
      <c r="J46" s="200">
        <f t="shared" si="20"/>
        <v>-4.4340277777882875</v>
      </c>
      <c r="K46" s="201">
        <f t="shared" si="21"/>
        <v>1.3808152788287842E-2</v>
      </c>
      <c r="L46" s="78">
        <f t="shared" si="27"/>
        <v>278.71067400184307</v>
      </c>
      <c r="M46" s="195">
        <f t="shared" si="28"/>
        <v>235.62600972278074</v>
      </c>
      <c r="N46" s="78">
        <f t="shared" si="33"/>
        <v>0</v>
      </c>
      <c r="O46" s="200">
        <f t="shared" si="34"/>
        <v>0</v>
      </c>
      <c r="P46" s="201">
        <f t="shared" si="35"/>
        <v>0</v>
      </c>
      <c r="Q46" s="78">
        <f t="shared" si="29"/>
        <v>90.347051397756971</v>
      </c>
      <c r="R46" s="196">
        <f t="shared" si="30"/>
        <v>75.471586805734447</v>
      </c>
      <c r="S46" s="202">
        <f t="shared" si="22"/>
        <v>-4.4202196249999997</v>
      </c>
      <c r="T46" s="200">
        <f t="shared" si="23"/>
        <v>-4.4340277777882875</v>
      </c>
      <c r="U46" s="201">
        <f t="shared" si="24"/>
        <v>1.3808152788287842E-2</v>
      </c>
      <c r="V46" s="198">
        <f t="shared" si="31"/>
        <v>188.36362260408615</v>
      </c>
      <c r="W46" s="78">
        <f t="shared" si="32"/>
        <v>160.1544229170463</v>
      </c>
      <c r="X46" s="203">
        <f t="shared" si="25"/>
        <v>-4.4202196249999997</v>
      </c>
      <c r="Y46" s="204">
        <f t="shared" si="26"/>
        <v>0</v>
      </c>
      <c r="AB46" s="188"/>
      <c r="AC46" s="188"/>
    </row>
    <row r="47" spans="1:29">
      <c r="A47" s="248">
        <v>801</v>
      </c>
      <c r="B47" s="173">
        <v>26124</v>
      </c>
      <c r="C47" s="171"/>
      <c r="D47" s="173" t="s">
        <v>163</v>
      </c>
      <c r="E47" s="173" t="s">
        <v>116</v>
      </c>
      <c r="F47" s="174" t="s">
        <v>116</v>
      </c>
      <c r="G47" s="175">
        <f t="shared" si="36"/>
        <v>1.0149999999999999</v>
      </c>
      <c r="H47" s="176" t="str">
        <f t="shared" si="37"/>
        <v xml:space="preserve">    </v>
      </c>
      <c r="I47" s="199">
        <f t="shared" si="38"/>
        <v>-6.7912629011499996</v>
      </c>
      <c r="J47" s="200">
        <f t="shared" si="20"/>
        <v>-13.302083333364862</v>
      </c>
      <c r="K47" s="201">
        <f t="shared" si="21"/>
        <v>6.5108204322148628</v>
      </c>
      <c r="L47" s="78">
        <f t="shared" si="27"/>
        <v>271.91941110069308</v>
      </c>
      <c r="M47" s="195">
        <f t="shared" si="28"/>
        <v>222.32392638941587</v>
      </c>
      <c r="N47" s="78">
        <f t="shared" si="33"/>
        <v>0</v>
      </c>
      <c r="O47" s="200">
        <f t="shared" si="34"/>
        <v>0</v>
      </c>
      <c r="P47" s="201">
        <f t="shared" si="35"/>
        <v>0</v>
      </c>
      <c r="Q47" s="78">
        <f t="shared" si="29"/>
        <v>90.347051397756971</v>
      </c>
      <c r="R47" s="196">
        <f t="shared" si="30"/>
        <v>75.471586805734447</v>
      </c>
      <c r="S47" s="202">
        <f t="shared" si="22"/>
        <v>-6.7912629011499996</v>
      </c>
      <c r="T47" s="200">
        <f t="shared" si="23"/>
        <v>-13.302083333364862</v>
      </c>
      <c r="U47" s="201">
        <f t="shared" si="24"/>
        <v>6.5108204322148628</v>
      </c>
      <c r="V47" s="198">
        <f t="shared" si="31"/>
        <v>181.57235970293615</v>
      </c>
      <c r="W47" s="78">
        <f t="shared" si="32"/>
        <v>146.85233958368144</v>
      </c>
      <c r="X47" s="203">
        <f t="shared" si="25"/>
        <v>-6.7912629011499996</v>
      </c>
      <c r="Y47" s="204">
        <f t="shared" si="26"/>
        <v>0</v>
      </c>
      <c r="AB47" s="188"/>
      <c r="AC47" s="188"/>
    </row>
    <row r="48" spans="1:29">
      <c r="A48" s="248">
        <v>801</v>
      </c>
      <c r="B48" s="173">
        <v>26101</v>
      </c>
      <c r="C48" s="171">
        <v>3543</v>
      </c>
      <c r="D48" s="173" t="s">
        <v>164</v>
      </c>
      <c r="E48" s="173" t="s">
        <v>149</v>
      </c>
      <c r="F48" s="174" t="s">
        <v>149</v>
      </c>
      <c r="G48" s="175">
        <f t="shared" si="36"/>
        <v>1.016</v>
      </c>
      <c r="H48" s="176" t="str">
        <f t="shared" si="37"/>
        <v xml:space="preserve">    </v>
      </c>
      <c r="I48" s="199">
        <f t="shared" si="38"/>
        <v>0</v>
      </c>
      <c r="J48" s="200">
        <f t="shared" si="20"/>
        <v>0</v>
      </c>
      <c r="K48" s="201">
        <f t="shared" si="21"/>
        <v>0</v>
      </c>
      <c r="L48" s="78">
        <f t="shared" si="27"/>
        <v>271.91941110069308</v>
      </c>
      <c r="M48" s="195">
        <f t="shared" si="28"/>
        <v>222.32392638941587</v>
      </c>
      <c r="N48" s="78">
        <f t="shared" si="33"/>
        <v>0</v>
      </c>
      <c r="O48" s="200">
        <f t="shared" si="34"/>
        <v>0</v>
      </c>
      <c r="P48" s="201">
        <f t="shared" si="35"/>
        <v>0</v>
      </c>
      <c r="Q48" s="78">
        <f t="shared" si="29"/>
        <v>90.347051397756971</v>
      </c>
      <c r="R48" s="196">
        <f t="shared" si="30"/>
        <v>75.471586805734447</v>
      </c>
      <c r="S48" s="202">
        <f t="shared" si="22"/>
        <v>0</v>
      </c>
      <c r="T48" s="200">
        <f t="shared" si="23"/>
        <v>0</v>
      </c>
      <c r="U48" s="201">
        <f t="shared" si="24"/>
        <v>0</v>
      </c>
      <c r="V48" s="198">
        <f t="shared" si="31"/>
        <v>181.57235970293615</v>
      </c>
      <c r="W48" s="78">
        <f t="shared" si="32"/>
        <v>146.85233958368144</v>
      </c>
      <c r="X48" s="203">
        <f t="shared" si="25"/>
        <v>0</v>
      </c>
      <c r="Y48" s="204">
        <f t="shared" si="26"/>
        <v>0</v>
      </c>
      <c r="AB48" s="188"/>
      <c r="AC48" s="188"/>
    </row>
    <row r="49" spans="1:29" s="230" customFormat="1">
      <c r="A49" s="251">
        <v>801</v>
      </c>
      <c r="B49" s="252">
        <v>16222</v>
      </c>
      <c r="C49" s="253">
        <v>6040</v>
      </c>
      <c r="D49" s="254" t="s">
        <v>165</v>
      </c>
      <c r="E49" s="252" t="s">
        <v>149</v>
      </c>
      <c r="F49" s="255" t="s">
        <v>149</v>
      </c>
      <c r="G49" s="256">
        <f t="shared" si="36"/>
        <v>1.0249999999999999</v>
      </c>
      <c r="H49" s="257" t="str">
        <f t="shared" si="37"/>
        <v xml:space="preserve">    </v>
      </c>
      <c r="I49" s="258">
        <f t="shared" si="38"/>
        <v>18.721933320000002</v>
      </c>
      <c r="J49" s="259">
        <f t="shared" si="20"/>
        <v>18.43580069448814</v>
      </c>
      <c r="K49" s="260">
        <f t="shared" si="21"/>
        <v>0.28613262551186125</v>
      </c>
      <c r="L49" s="261">
        <f t="shared" si="27"/>
        <v>290.64134442069309</v>
      </c>
      <c r="M49" s="262">
        <f t="shared" si="28"/>
        <v>240.75972708390401</v>
      </c>
      <c r="N49" s="261">
        <f t="shared" si="33"/>
        <v>10.949082625537134</v>
      </c>
      <c r="O49" s="259">
        <f t="shared" si="34"/>
        <v>10.662950000025273</v>
      </c>
      <c r="P49" s="260">
        <f t="shared" si="35"/>
        <v>0.28613262551186125</v>
      </c>
      <c r="Q49" s="261">
        <f t="shared" si="29"/>
        <v>101.2961340232941</v>
      </c>
      <c r="R49" s="263">
        <f t="shared" si="30"/>
        <v>86.134536805759723</v>
      </c>
      <c r="S49" s="264">
        <f t="shared" si="22"/>
        <v>7.7728506944628677</v>
      </c>
      <c r="T49" s="259">
        <f t="shared" si="23"/>
        <v>7.7728506944628686</v>
      </c>
      <c r="U49" s="260">
        <f t="shared" si="24"/>
        <v>0</v>
      </c>
      <c r="V49" s="265">
        <f t="shared" si="31"/>
        <v>189.34521039739903</v>
      </c>
      <c r="W49" s="261">
        <f t="shared" si="32"/>
        <v>154.62519027814432</v>
      </c>
      <c r="X49" s="266">
        <f t="shared" si="25"/>
        <v>7.7728506944628677</v>
      </c>
      <c r="Y49" s="267">
        <f t="shared" si="26"/>
        <v>0</v>
      </c>
      <c r="AB49" s="231"/>
      <c r="AC49" s="231"/>
    </row>
    <row r="50" spans="1:29">
      <c r="A50" s="268">
        <v>802</v>
      </c>
      <c r="B50" s="206">
        <v>16069</v>
      </c>
      <c r="C50" s="205">
        <v>3525</v>
      </c>
      <c r="D50" s="206" t="s">
        <v>166</v>
      </c>
      <c r="E50" s="206" t="s">
        <v>149</v>
      </c>
      <c r="F50" s="207" t="s">
        <v>149</v>
      </c>
      <c r="G50" s="208">
        <f t="shared" si="36"/>
        <v>1.0249999999999999</v>
      </c>
      <c r="H50" s="176" t="str">
        <f t="shared" si="37"/>
        <v xml:space="preserve">    </v>
      </c>
      <c r="I50" s="199">
        <f t="shared" si="38"/>
        <v>0</v>
      </c>
      <c r="J50" s="200">
        <f t="shared" si="20"/>
        <v>0</v>
      </c>
      <c r="K50" s="201">
        <f t="shared" si="21"/>
        <v>0</v>
      </c>
      <c r="L50" s="78">
        <f t="shared" si="27"/>
        <v>290.64134442069309</v>
      </c>
      <c r="M50" s="195">
        <f t="shared" si="28"/>
        <v>240.75972708390401</v>
      </c>
      <c r="N50" s="78">
        <f t="shared" si="33"/>
        <v>0</v>
      </c>
      <c r="O50" s="200">
        <f t="shared" si="34"/>
        <v>0</v>
      </c>
      <c r="P50" s="201">
        <f t="shared" si="35"/>
        <v>0</v>
      </c>
      <c r="Q50" s="78">
        <f t="shared" si="29"/>
        <v>101.2961340232941</v>
      </c>
      <c r="R50" s="196">
        <f t="shared" si="30"/>
        <v>86.134536805759723</v>
      </c>
      <c r="S50" s="202">
        <f t="shared" si="22"/>
        <v>0</v>
      </c>
      <c r="T50" s="200">
        <f t="shared" si="23"/>
        <v>0</v>
      </c>
      <c r="U50" s="201">
        <f t="shared" si="24"/>
        <v>0</v>
      </c>
      <c r="V50" s="198">
        <f t="shared" si="31"/>
        <v>189.34521039739903</v>
      </c>
      <c r="W50" s="78">
        <f t="shared" si="32"/>
        <v>154.62519027814432</v>
      </c>
      <c r="X50" s="203">
        <f t="shared" si="25"/>
        <v>0</v>
      </c>
      <c r="Y50" s="204">
        <f t="shared" si="26"/>
        <v>0</v>
      </c>
      <c r="AB50" s="188"/>
      <c r="AC50" s="188"/>
    </row>
    <row r="51" spans="1:29" ht="13.8" thickBot="1">
      <c r="A51" s="269">
        <v>802</v>
      </c>
      <c r="B51" s="234">
        <v>26093</v>
      </c>
      <c r="C51" s="233"/>
      <c r="D51" s="234" t="s">
        <v>167</v>
      </c>
      <c r="E51" s="234" t="s">
        <v>149</v>
      </c>
      <c r="F51" s="235" t="s">
        <v>149</v>
      </c>
      <c r="G51" s="236">
        <f t="shared" si="36"/>
        <v>1.0249999999999999</v>
      </c>
      <c r="H51" s="237" t="str">
        <f t="shared" si="37"/>
        <v xml:space="preserve">    </v>
      </c>
      <c r="I51" s="238">
        <f t="shared" si="38"/>
        <v>0</v>
      </c>
      <c r="J51" s="239">
        <f t="shared" si="20"/>
        <v>0</v>
      </c>
      <c r="K51" s="240">
        <f t="shared" si="21"/>
        <v>0</v>
      </c>
      <c r="L51" s="241">
        <f t="shared" si="27"/>
        <v>290.64134442069309</v>
      </c>
      <c r="M51" s="242">
        <f t="shared" si="28"/>
        <v>240.75972708390401</v>
      </c>
      <c r="N51" s="241">
        <f t="shared" si="33"/>
        <v>0</v>
      </c>
      <c r="O51" s="239">
        <f t="shared" si="34"/>
        <v>0</v>
      </c>
      <c r="P51" s="240">
        <f t="shared" si="35"/>
        <v>0</v>
      </c>
      <c r="Q51" s="241">
        <f t="shared" si="29"/>
        <v>101.2961340232941</v>
      </c>
      <c r="R51" s="243">
        <f t="shared" si="30"/>
        <v>86.134536805759723</v>
      </c>
      <c r="S51" s="244">
        <f t="shared" si="22"/>
        <v>0</v>
      </c>
      <c r="T51" s="239">
        <f t="shared" si="23"/>
        <v>0</v>
      </c>
      <c r="U51" s="240">
        <f t="shared" si="24"/>
        <v>0</v>
      </c>
      <c r="V51" s="245">
        <f t="shared" si="31"/>
        <v>189.34521039739903</v>
      </c>
      <c r="W51" s="241">
        <f t="shared" si="32"/>
        <v>154.62519027814432</v>
      </c>
      <c r="X51" s="246">
        <f t="shared" si="25"/>
        <v>0</v>
      </c>
      <c r="Y51" s="247">
        <f t="shared" si="26"/>
        <v>0</v>
      </c>
      <c r="AB51" s="188"/>
      <c r="AC51" s="188"/>
    </row>
    <row r="52" spans="1:29">
      <c r="A52" s="248">
        <v>803</v>
      </c>
      <c r="B52" s="209">
        <v>26046</v>
      </c>
      <c r="C52" s="171"/>
      <c r="D52" s="173" t="s">
        <v>168</v>
      </c>
      <c r="E52" s="173" t="s">
        <v>116</v>
      </c>
      <c r="F52" s="174" t="s">
        <v>116</v>
      </c>
      <c r="G52" s="175">
        <f t="shared" si="36"/>
        <v>1.0169999999999999</v>
      </c>
      <c r="H52" s="176" t="str">
        <f t="shared" si="37"/>
        <v xml:space="preserve">    </v>
      </c>
      <c r="I52" s="199">
        <f t="shared" si="38"/>
        <v>0</v>
      </c>
      <c r="J52" s="200">
        <f t="shared" si="20"/>
        <v>0</v>
      </c>
      <c r="K52" s="201">
        <f t="shared" si="21"/>
        <v>0</v>
      </c>
      <c r="L52" s="78">
        <f t="shared" si="27"/>
        <v>290.64134442069309</v>
      </c>
      <c r="M52" s="195">
        <f t="shared" si="28"/>
        <v>240.75972708390401</v>
      </c>
      <c r="N52" s="78">
        <f t="shared" si="33"/>
        <v>0</v>
      </c>
      <c r="O52" s="200">
        <f t="shared" si="34"/>
        <v>0</v>
      </c>
      <c r="P52" s="201">
        <f t="shared" si="35"/>
        <v>0</v>
      </c>
      <c r="Q52" s="78">
        <f t="shared" si="29"/>
        <v>101.2961340232941</v>
      </c>
      <c r="R52" s="196">
        <f t="shared" si="30"/>
        <v>86.134536805759723</v>
      </c>
      <c r="S52" s="202">
        <f t="shared" si="22"/>
        <v>0</v>
      </c>
      <c r="T52" s="200">
        <f t="shared" si="23"/>
        <v>0</v>
      </c>
      <c r="U52" s="201">
        <f t="shared" si="24"/>
        <v>0</v>
      </c>
      <c r="V52" s="198">
        <f t="shared" si="31"/>
        <v>189.34521039739903</v>
      </c>
      <c r="W52" s="78">
        <f t="shared" si="32"/>
        <v>154.62519027814432</v>
      </c>
      <c r="X52" s="203">
        <f t="shared" si="25"/>
        <v>0</v>
      </c>
      <c r="Y52" s="204">
        <f t="shared" si="26"/>
        <v>0</v>
      </c>
      <c r="AB52" s="188"/>
      <c r="AC52" s="188"/>
    </row>
    <row r="53" spans="1:29">
      <c r="A53" s="248">
        <v>803</v>
      </c>
      <c r="B53" s="173">
        <v>16152</v>
      </c>
      <c r="C53" s="171"/>
      <c r="D53" s="173" t="s">
        <v>169</v>
      </c>
      <c r="E53" s="173" t="s">
        <v>118</v>
      </c>
      <c r="F53" s="174" t="s">
        <v>156</v>
      </c>
      <c r="G53" s="175">
        <f t="shared" si="36"/>
        <v>1.179</v>
      </c>
      <c r="H53" s="176" t="str">
        <f t="shared" si="37"/>
        <v xml:space="preserve">    </v>
      </c>
      <c r="I53" s="199">
        <f t="shared" si="38"/>
        <v>0</v>
      </c>
      <c r="J53" s="200">
        <f t="shared" si="20"/>
        <v>0</v>
      </c>
      <c r="K53" s="201">
        <f t="shared" si="21"/>
        <v>0</v>
      </c>
      <c r="L53" s="78">
        <f t="shared" si="27"/>
        <v>290.64134442069309</v>
      </c>
      <c r="M53" s="195">
        <f t="shared" si="28"/>
        <v>240.75972708390401</v>
      </c>
      <c r="N53" s="78">
        <f t="shared" si="33"/>
        <v>0</v>
      </c>
      <c r="O53" s="200">
        <f t="shared" si="34"/>
        <v>0</v>
      </c>
      <c r="P53" s="201">
        <f t="shared" si="35"/>
        <v>0</v>
      </c>
      <c r="Q53" s="78">
        <f t="shared" si="29"/>
        <v>101.2961340232941</v>
      </c>
      <c r="R53" s="196">
        <f t="shared" si="30"/>
        <v>86.134536805759723</v>
      </c>
      <c r="S53" s="202">
        <f t="shared" si="22"/>
        <v>0</v>
      </c>
      <c r="T53" s="200">
        <f t="shared" si="23"/>
        <v>0</v>
      </c>
      <c r="U53" s="201">
        <f t="shared" si="24"/>
        <v>0</v>
      </c>
      <c r="V53" s="198">
        <f t="shared" si="31"/>
        <v>189.34521039739903</v>
      </c>
      <c r="W53" s="78">
        <f t="shared" si="32"/>
        <v>154.62519027814432</v>
      </c>
      <c r="X53" s="203">
        <f t="shared" si="25"/>
        <v>0</v>
      </c>
      <c r="Y53" s="204">
        <f t="shared" si="26"/>
        <v>0</v>
      </c>
      <c r="AB53" s="188"/>
      <c r="AC53" s="188"/>
    </row>
    <row r="54" spans="1:29">
      <c r="A54" s="248">
        <v>803</v>
      </c>
      <c r="B54" s="173">
        <v>16164</v>
      </c>
      <c r="C54" s="171"/>
      <c r="D54" s="173" t="s">
        <v>170</v>
      </c>
      <c r="E54" s="173" t="s">
        <v>118</v>
      </c>
      <c r="F54" s="174" t="s">
        <v>116</v>
      </c>
      <c r="G54" s="175">
        <f t="shared" si="36"/>
        <v>1.0249999999999999</v>
      </c>
      <c r="H54" s="176" t="str">
        <f t="shared" si="37"/>
        <v>UNAV</v>
      </c>
      <c r="I54" s="199">
        <f t="shared" si="38"/>
        <v>0.31456963734717025</v>
      </c>
      <c r="J54" s="200">
        <f t="shared" si="20"/>
        <v>0.35472222222306304</v>
      </c>
      <c r="K54" s="201">
        <f t="shared" si="21"/>
        <v>-4.0152584875892794E-2</v>
      </c>
      <c r="L54" s="78">
        <f t="shared" si="27"/>
        <v>290.95591405804026</v>
      </c>
      <c r="M54" s="195">
        <f t="shared" si="28"/>
        <v>241.11444930612709</v>
      </c>
      <c r="N54" s="78">
        <f t="shared" si="33"/>
        <v>0</v>
      </c>
      <c r="O54" s="200">
        <f t="shared" si="34"/>
        <v>0</v>
      </c>
      <c r="P54" s="201">
        <f t="shared" si="35"/>
        <v>0</v>
      </c>
      <c r="Q54" s="78">
        <f t="shared" si="29"/>
        <v>101.2961340232941</v>
      </c>
      <c r="R54" s="196">
        <f t="shared" si="30"/>
        <v>86.134536805759723</v>
      </c>
      <c r="S54" s="202">
        <f t="shared" si="22"/>
        <v>0.31456963734717025</v>
      </c>
      <c r="T54" s="200">
        <f t="shared" si="23"/>
        <v>0.35472222222306304</v>
      </c>
      <c r="U54" s="201">
        <f t="shared" si="24"/>
        <v>-4.0152584875892794E-2</v>
      </c>
      <c r="V54" s="198">
        <f t="shared" si="31"/>
        <v>189.65978003474621</v>
      </c>
      <c r="W54" s="78">
        <f t="shared" si="32"/>
        <v>154.97991250036739</v>
      </c>
      <c r="X54" s="203">
        <f t="shared" si="25"/>
        <v>0.31456963734717025</v>
      </c>
      <c r="Y54" s="204">
        <f t="shared" si="26"/>
        <v>0</v>
      </c>
      <c r="AB54" s="188"/>
      <c r="AC54" s="188"/>
    </row>
    <row r="55" spans="1:29">
      <c r="A55" s="248">
        <v>803</v>
      </c>
      <c r="B55" s="173">
        <v>16227</v>
      </c>
      <c r="C55" s="171"/>
      <c r="D55" s="173" t="s">
        <v>171</v>
      </c>
      <c r="E55" s="173" t="s">
        <v>149</v>
      </c>
      <c r="F55" s="174" t="s">
        <v>149</v>
      </c>
      <c r="G55" s="175">
        <f t="shared" si="36"/>
        <v>1.0249999999999999</v>
      </c>
      <c r="H55" s="176" t="str">
        <f t="shared" si="37"/>
        <v>UNAV</v>
      </c>
      <c r="I55" s="199">
        <f t="shared" si="38"/>
        <v>0</v>
      </c>
      <c r="J55" s="200">
        <f t="shared" si="20"/>
        <v>0</v>
      </c>
      <c r="K55" s="201">
        <f t="shared" si="21"/>
        <v>0</v>
      </c>
      <c r="L55" s="78">
        <f t="shared" si="27"/>
        <v>290.95591405804026</v>
      </c>
      <c r="M55" s="195">
        <f t="shared" si="28"/>
        <v>241.11444930612709</v>
      </c>
      <c r="N55" s="78">
        <f t="shared" si="33"/>
        <v>0</v>
      </c>
      <c r="O55" s="200">
        <f t="shared" si="34"/>
        <v>0</v>
      </c>
      <c r="P55" s="201">
        <f t="shared" si="35"/>
        <v>0</v>
      </c>
      <c r="Q55" s="78">
        <f t="shared" si="29"/>
        <v>101.2961340232941</v>
      </c>
      <c r="R55" s="196">
        <f t="shared" si="30"/>
        <v>86.134536805759723</v>
      </c>
      <c r="S55" s="202">
        <f t="shared" si="22"/>
        <v>0</v>
      </c>
      <c r="T55" s="200">
        <f t="shared" si="23"/>
        <v>0</v>
      </c>
      <c r="U55" s="201">
        <f t="shared" si="24"/>
        <v>0</v>
      </c>
      <c r="V55" s="198">
        <f t="shared" si="31"/>
        <v>189.65978003474621</v>
      </c>
      <c r="W55" s="78">
        <f t="shared" si="32"/>
        <v>154.97991250036739</v>
      </c>
      <c r="X55" s="203">
        <f t="shared" si="25"/>
        <v>0</v>
      </c>
      <c r="Y55" s="204">
        <f t="shared" si="26"/>
        <v>0</v>
      </c>
      <c r="AB55" s="188"/>
      <c r="AC55" s="188"/>
    </row>
    <row r="56" spans="1:29">
      <c r="A56" s="268">
        <v>803</v>
      </c>
      <c r="B56" s="206">
        <v>16304</v>
      </c>
      <c r="C56" s="205"/>
      <c r="D56" s="206" t="s">
        <v>172</v>
      </c>
      <c r="E56" s="206" t="s">
        <v>116</v>
      </c>
      <c r="F56" s="207" t="s">
        <v>149</v>
      </c>
      <c r="G56" s="208">
        <f t="shared" si="36"/>
        <v>1.0249999999999999</v>
      </c>
      <c r="H56" s="176" t="str">
        <f t="shared" si="37"/>
        <v>UNAV</v>
      </c>
      <c r="I56" s="199">
        <f t="shared" si="38"/>
        <v>0.23592722801037766</v>
      </c>
      <c r="J56" s="200">
        <f t="shared" si="20"/>
        <v>0.26604166666729723</v>
      </c>
      <c r="K56" s="201">
        <f t="shared" si="21"/>
        <v>-3.0114438656919568E-2</v>
      </c>
      <c r="L56" s="78">
        <f t="shared" si="27"/>
        <v>291.19184128605065</v>
      </c>
      <c r="M56" s="195">
        <f t="shared" si="28"/>
        <v>241.38049097279438</v>
      </c>
      <c r="N56" s="78">
        <f t="shared" si="33"/>
        <v>-3.0114438656919568E-2</v>
      </c>
      <c r="O56" s="200">
        <f t="shared" si="34"/>
        <v>0</v>
      </c>
      <c r="P56" s="201">
        <f t="shared" si="35"/>
        <v>-3.0114438656919568E-2</v>
      </c>
      <c r="Q56" s="78">
        <f t="shared" si="29"/>
        <v>101.26601958463718</v>
      </c>
      <c r="R56" s="196">
        <f t="shared" si="30"/>
        <v>86.134536805759723</v>
      </c>
      <c r="S56" s="202">
        <f t="shared" si="22"/>
        <v>0.26604166666729723</v>
      </c>
      <c r="T56" s="200">
        <f t="shared" si="23"/>
        <v>0.26604166666729723</v>
      </c>
      <c r="U56" s="201">
        <f t="shared" si="24"/>
        <v>0</v>
      </c>
      <c r="V56" s="198">
        <f t="shared" si="31"/>
        <v>189.9258217014135</v>
      </c>
      <c r="W56" s="78">
        <f t="shared" si="32"/>
        <v>155.24595416703468</v>
      </c>
      <c r="X56" s="203">
        <f t="shared" si="25"/>
        <v>0.26604166666729723</v>
      </c>
      <c r="Y56" s="204">
        <f t="shared" si="26"/>
        <v>0</v>
      </c>
      <c r="AB56" s="188"/>
      <c r="AC56" s="188"/>
    </row>
    <row r="57" spans="1:29">
      <c r="A57" s="248">
        <v>803</v>
      </c>
      <c r="B57" s="172">
        <v>26075</v>
      </c>
      <c r="C57" s="171"/>
      <c r="D57" s="173" t="s">
        <v>173</v>
      </c>
      <c r="E57" s="173" t="s">
        <v>116</v>
      </c>
      <c r="F57" s="174" t="s">
        <v>116</v>
      </c>
      <c r="G57" s="175">
        <f t="shared" si="36"/>
        <v>1.0249999999999999</v>
      </c>
      <c r="H57" s="176" t="str">
        <f t="shared" si="37"/>
        <v>UNAV</v>
      </c>
      <c r="I57" s="199">
        <f t="shared" si="38"/>
        <v>-7.8642409336792556E-4</v>
      </c>
      <c r="J57" s="200">
        <f t="shared" si="20"/>
        <v>-8.8680555555765755E-4</v>
      </c>
      <c r="K57" s="201">
        <f t="shared" si="21"/>
        <v>1.0038146218973199E-4</v>
      </c>
      <c r="L57" s="78">
        <f t="shared" si="27"/>
        <v>291.1910548619573</v>
      </c>
      <c r="M57" s="195">
        <f t="shared" si="28"/>
        <v>241.37960416723882</v>
      </c>
      <c r="N57" s="78">
        <f t="shared" si="33"/>
        <v>0</v>
      </c>
      <c r="O57" s="200">
        <f t="shared" si="34"/>
        <v>0</v>
      </c>
      <c r="P57" s="201">
        <f t="shared" si="35"/>
        <v>0</v>
      </c>
      <c r="Q57" s="78">
        <f t="shared" si="29"/>
        <v>101.26601958463718</v>
      </c>
      <c r="R57" s="196">
        <f t="shared" si="30"/>
        <v>86.134536805759723</v>
      </c>
      <c r="S57" s="202">
        <f t="shared" si="22"/>
        <v>-7.8642409336792556E-4</v>
      </c>
      <c r="T57" s="200">
        <f t="shared" si="23"/>
        <v>-8.8680555555765755E-4</v>
      </c>
      <c r="U57" s="201">
        <f t="shared" si="24"/>
        <v>1.0038146218973199E-4</v>
      </c>
      <c r="V57" s="198">
        <f t="shared" si="31"/>
        <v>189.92503527732012</v>
      </c>
      <c r="W57" s="78">
        <f t="shared" si="32"/>
        <v>155.24506736147913</v>
      </c>
      <c r="X57" s="203">
        <f t="shared" si="25"/>
        <v>-7.8642409336792556E-4</v>
      </c>
      <c r="Y57" s="204">
        <f t="shared" si="26"/>
        <v>0</v>
      </c>
      <c r="AB57" s="188"/>
      <c r="AC57" s="188"/>
    </row>
    <row r="58" spans="1:29">
      <c r="A58" s="248">
        <v>803</v>
      </c>
      <c r="B58" s="173">
        <v>16351</v>
      </c>
      <c r="C58" s="171">
        <v>3506</v>
      </c>
      <c r="D58" s="173" t="s">
        <v>174</v>
      </c>
      <c r="E58" s="173" t="s">
        <v>149</v>
      </c>
      <c r="F58" s="174" t="s">
        <v>149</v>
      </c>
      <c r="G58" s="175">
        <f t="shared" si="36"/>
        <v>1.0249999999999999</v>
      </c>
      <c r="H58" s="176" t="str">
        <f t="shared" si="37"/>
        <v xml:space="preserve">    </v>
      </c>
      <c r="I58" s="199">
        <f t="shared" si="38"/>
        <v>0</v>
      </c>
      <c r="J58" s="200">
        <f t="shared" si="20"/>
        <v>0</v>
      </c>
      <c r="K58" s="201">
        <f t="shared" si="21"/>
        <v>0</v>
      </c>
      <c r="L58" s="78">
        <f t="shared" si="27"/>
        <v>291.1910548619573</v>
      </c>
      <c r="M58" s="195">
        <f t="shared" si="28"/>
        <v>241.37960416723882</v>
      </c>
      <c r="N58" s="78">
        <f t="shared" si="33"/>
        <v>0</v>
      </c>
      <c r="O58" s="200">
        <f t="shared" si="34"/>
        <v>0</v>
      </c>
      <c r="P58" s="201">
        <f t="shared" si="35"/>
        <v>0</v>
      </c>
      <c r="Q58" s="78">
        <f t="shared" si="29"/>
        <v>101.26601958463718</v>
      </c>
      <c r="R58" s="196">
        <f t="shared" si="30"/>
        <v>86.134536805759723</v>
      </c>
      <c r="S58" s="202">
        <f t="shared" si="22"/>
        <v>0</v>
      </c>
      <c r="T58" s="200">
        <f t="shared" si="23"/>
        <v>0</v>
      </c>
      <c r="U58" s="201">
        <f t="shared" si="24"/>
        <v>0</v>
      </c>
      <c r="V58" s="198">
        <f t="shared" si="31"/>
        <v>189.92503527732012</v>
      </c>
      <c r="W58" s="78">
        <f t="shared" si="32"/>
        <v>155.24506736147913</v>
      </c>
      <c r="X58" s="203">
        <f t="shared" si="25"/>
        <v>0</v>
      </c>
      <c r="Y58" s="204">
        <f t="shared" si="26"/>
        <v>0</v>
      </c>
      <c r="AB58" s="188"/>
      <c r="AC58" s="188"/>
    </row>
    <row r="59" spans="1:29" s="230" customFormat="1">
      <c r="A59" s="248">
        <v>803</v>
      </c>
      <c r="B59" s="173">
        <v>26191</v>
      </c>
      <c r="C59" s="171">
        <v>3540</v>
      </c>
      <c r="D59" s="173" t="s">
        <v>175</v>
      </c>
      <c r="E59" s="173" t="s">
        <v>149</v>
      </c>
      <c r="F59" s="174" t="s">
        <v>149</v>
      </c>
      <c r="G59" s="175">
        <f t="shared" si="36"/>
        <v>1.0249999999999999</v>
      </c>
      <c r="H59" s="176" t="str">
        <f t="shared" si="37"/>
        <v xml:space="preserve">    </v>
      </c>
      <c r="I59" s="199">
        <f t="shared" si="38"/>
        <v>-10.145754301999999</v>
      </c>
      <c r="J59" s="200">
        <f t="shared" si="20"/>
        <v>-20.396527777826122</v>
      </c>
      <c r="K59" s="201">
        <f t="shared" si="21"/>
        <v>10.250773475826124</v>
      </c>
      <c r="L59" s="78">
        <f t="shared" si="27"/>
        <v>281.0453005599573</v>
      </c>
      <c r="M59" s="195">
        <f t="shared" si="28"/>
        <v>220.9830763894127</v>
      </c>
      <c r="N59" s="78">
        <f t="shared" si="33"/>
        <v>-10.145754301999999</v>
      </c>
      <c r="O59" s="200">
        <f t="shared" si="34"/>
        <v>-20.396527777826122</v>
      </c>
      <c r="P59" s="201">
        <f t="shared" si="35"/>
        <v>10.250773475826124</v>
      </c>
      <c r="Q59" s="78">
        <f t="shared" si="29"/>
        <v>91.120265282637178</v>
      </c>
      <c r="R59" s="196">
        <f t="shared" si="30"/>
        <v>65.7380090279336</v>
      </c>
      <c r="S59" s="202">
        <f t="shared" si="22"/>
        <v>0</v>
      </c>
      <c r="T59" s="200">
        <f t="shared" si="23"/>
        <v>0</v>
      </c>
      <c r="U59" s="201">
        <f t="shared" si="24"/>
        <v>0</v>
      </c>
      <c r="V59" s="198">
        <f t="shared" si="31"/>
        <v>189.92503527732012</v>
      </c>
      <c r="W59" s="78">
        <f t="shared" si="32"/>
        <v>155.24506736147913</v>
      </c>
      <c r="X59" s="203">
        <f t="shared" si="25"/>
        <v>0</v>
      </c>
      <c r="Y59" s="204">
        <f t="shared" si="26"/>
        <v>0</v>
      </c>
      <c r="AB59" s="231"/>
      <c r="AC59" s="231"/>
    </row>
    <row r="60" spans="1:29">
      <c r="A60" s="248">
        <v>803</v>
      </c>
      <c r="B60" s="173">
        <v>26079</v>
      </c>
      <c r="C60" s="171">
        <v>3537</v>
      </c>
      <c r="D60" s="173" t="s">
        <v>176</v>
      </c>
      <c r="E60" s="173" t="s">
        <v>149</v>
      </c>
      <c r="F60" s="174" t="s">
        <v>149</v>
      </c>
      <c r="G60" s="175">
        <f t="shared" si="36"/>
        <v>1.0249999999999999</v>
      </c>
      <c r="H60" s="176" t="str">
        <f t="shared" si="37"/>
        <v xml:space="preserve">    </v>
      </c>
      <c r="I60" s="199">
        <f t="shared" si="38"/>
        <v>-19.647434212499999</v>
      </c>
      <c r="J60" s="200">
        <f t="shared" ref="J60:J91" si="39">O60+T60</f>
        <v>-22.170138888941437</v>
      </c>
      <c r="K60" s="201">
        <f t="shared" ref="K60:K91" si="40">I60-J60</f>
        <v>2.5227046764414389</v>
      </c>
      <c r="L60" s="78">
        <f t="shared" si="27"/>
        <v>261.3978663474573</v>
      </c>
      <c r="M60" s="195">
        <f t="shared" si="28"/>
        <v>198.81293750047126</v>
      </c>
      <c r="N60" s="78">
        <f t="shared" si="33"/>
        <v>-19.647434212499999</v>
      </c>
      <c r="O60" s="200">
        <f t="shared" si="34"/>
        <v>-22.170138888941437</v>
      </c>
      <c r="P60" s="201">
        <f t="shared" si="35"/>
        <v>2.5227046764414389</v>
      </c>
      <c r="Q60" s="78">
        <f t="shared" si="29"/>
        <v>71.472831070137175</v>
      </c>
      <c r="R60" s="196">
        <f t="shared" si="30"/>
        <v>43.567870138992163</v>
      </c>
      <c r="S60" s="202">
        <f t="shared" ref="S60:S91" si="41">I60-N60</f>
        <v>0</v>
      </c>
      <c r="T60" s="200">
        <f t="shared" ref="T60:T91" si="42">IF(LEFT(B60,1)="1",VLOOKUP(B60,Cigsch,2,FALSE)/1000,VLOOKUP(B60,Cigsch,2,FALSE)/1000*-1)*POLLHOURSFLOWED</f>
        <v>0</v>
      </c>
      <c r="U60" s="201">
        <f t="shared" ref="U60:U91" si="43">S60-T60</f>
        <v>0</v>
      </c>
      <c r="V60" s="198">
        <f t="shared" si="31"/>
        <v>189.92503527732012</v>
      </c>
      <c r="W60" s="78">
        <f t="shared" si="32"/>
        <v>155.24506736147913</v>
      </c>
      <c r="X60" s="203">
        <f t="shared" ref="X60:X91" si="44">S60-Y60</f>
        <v>0</v>
      </c>
      <c r="Y60" s="204">
        <f t="shared" ref="Y60:Y91" si="45">IF(F60="OBA",I60-J60,0)</f>
        <v>0</v>
      </c>
      <c r="AB60" s="188"/>
      <c r="AC60" s="188"/>
    </row>
    <row r="61" spans="1:29">
      <c r="A61" s="251">
        <v>803</v>
      </c>
      <c r="B61" s="252">
        <v>26210</v>
      </c>
      <c r="C61" s="253"/>
      <c r="D61" s="252" t="s">
        <v>177</v>
      </c>
      <c r="E61" s="252" t="s">
        <v>116</v>
      </c>
      <c r="F61" s="255" t="s">
        <v>116</v>
      </c>
      <c r="G61" s="256">
        <f t="shared" si="36"/>
        <v>1.0249999999999999</v>
      </c>
      <c r="H61" s="257" t="str">
        <f t="shared" si="37"/>
        <v>UNAV</v>
      </c>
      <c r="I61" s="258">
        <f t="shared" si="38"/>
        <v>0</v>
      </c>
      <c r="J61" s="259">
        <f t="shared" si="39"/>
        <v>0</v>
      </c>
      <c r="K61" s="260">
        <f t="shared" si="40"/>
        <v>0</v>
      </c>
      <c r="L61" s="261">
        <f t="shared" ref="L61:L92" si="46">L60+I61</f>
        <v>261.3978663474573</v>
      </c>
      <c r="M61" s="262">
        <f t="shared" ref="M61:M92" si="47">M60+J61</f>
        <v>198.81293750047126</v>
      </c>
      <c r="N61" s="261">
        <f t="shared" si="33"/>
        <v>0</v>
      </c>
      <c r="O61" s="259">
        <f t="shared" si="34"/>
        <v>0</v>
      </c>
      <c r="P61" s="260">
        <f t="shared" si="35"/>
        <v>0</v>
      </c>
      <c r="Q61" s="261">
        <f t="shared" ref="Q61:Q92" si="48">Q60+N61</f>
        <v>71.472831070137175</v>
      </c>
      <c r="R61" s="263">
        <f t="shared" ref="R61:R92" si="49">R60+O61</f>
        <v>43.567870138992163</v>
      </c>
      <c r="S61" s="264">
        <f t="shared" si="41"/>
        <v>0</v>
      </c>
      <c r="T61" s="259">
        <f t="shared" si="42"/>
        <v>0</v>
      </c>
      <c r="U61" s="260">
        <f t="shared" si="43"/>
        <v>0</v>
      </c>
      <c r="V61" s="265">
        <f t="shared" ref="V61:V92" si="50">V60+S61</f>
        <v>189.92503527732012</v>
      </c>
      <c r="W61" s="261">
        <f t="shared" ref="W61:W92" si="51">W60+T61</f>
        <v>155.24506736147913</v>
      </c>
      <c r="X61" s="266">
        <f t="shared" si="44"/>
        <v>0</v>
      </c>
      <c r="Y61" s="267">
        <f t="shared" si="45"/>
        <v>0</v>
      </c>
      <c r="AB61" s="188"/>
      <c r="AC61" s="188"/>
    </row>
    <row r="62" spans="1:29">
      <c r="A62" s="248">
        <v>804</v>
      </c>
      <c r="B62" s="173">
        <v>16340</v>
      </c>
      <c r="C62" s="171"/>
      <c r="D62" s="173" t="s">
        <v>178</v>
      </c>
      <c r="E62" s="173" t="s">
        <v>118</v>
      </c>
      <c r="F62" s="174" t="s">
        <v>156</v>
      </c>
      <c r="G62" s="175">
        <f t="shared" si="36"/>
        <v>1.1599999999999999</v>
      </c>
      <c r="H62" s="270" t="str">
        <f t="shared" si="37"/>
        <v>UNAV</v>
      </c>
      <c r="I62" s="199">
        <f t="shared" si="38"/>
        <v>0</v>
      </c>
      <c r="J62" s="200">
        <f t="shared" si="39"/>
        <v>0</v>
      </c>
      <c r="K62" s="201">
        <f t="shared" si="40"/>
        <v>0</v>
      </c>
      <c r="L62" s="78">
        <f t="shared" si="46"/>
        <v>261.3978663474573</v>
      </c>
      <c r="M62" s="195">
        <f t="shared" si="47"/>
        <v>198.81293750047126</v>
      </c>
      <c r="N62" s="78">
        <f t="shared" si="33"/>
        <v>0</v>
      </c>
      <c r="O62" s="200">
        <f t="shared" si="34"/>
        <v>0</v>
      </c>
      <c r="P62" s="201">
        <f t="shared" si="35"/>
        <v>0</v>
      </c>
      <c r="Q62" s="78">
        <f t="shared" si="48"/>
        <v>71.472831070137175</v>
      </c>
      <c r="R62" s="196">
        <f t="shared" si="49"/>
        <v>43.567870138992163</v>
      </c>
      <c r="S62" s="202">
        <f t="shared" si="41"/>
        <v>0</v>
      </c>
      <c r="T62" s="200">
        <f t="shared" si="42"/>
        <v>0</v>
      </c>
      <c r="U62" s="201">
        <f t="shared" si="43"/>
        <v>0</v>
      </c>
      <c r="V62" s="198">
        <f t="shared" si="50"/>
        <v>189.92503527732012</v>
      </c>
      <c r="W62" s="78">
        <f t="shared" si="51"/>
        <v>155.24506736147913</v>
      </c>
      <c r="X62" s="203">
        <f t="shared" si="44"/>
        <v>0</v>
      </c>
      <c r="Y62" s="204">
        <f t="shared" si="45"/>
        <v>0</v>
      </c>
      <c r="AB62" s="188"/>
      <c r="AC62" s="188"/>
    </row>
    <row r="63" spans="1:29">
      <c r="A63" s="248">
        <v>804</v>
      </c>
      <c r="B63" s="173">
        <v>16341</v>
      </c>
      <c r="C63" s="171"/>
      <c r="D63" s="173" t="s">
        <v>178</v>
      </c>
      <c r="E63" s="173" t="s">
        <v>118</v>
      </c>
      <c r="F63" s="174" t="s">
        <v>116</v>
      </c>
      <c r="G63" s="175">
        <f t="shared" si="36"/>
        <v>1.0249999999999999</v>
      </c>
      <c r="H63" s="176" t="str">
        <f t="shared" si="37"/>
        <v>UNAV</v>
      </c>
      <c r="I63" s="199">
        <f t="shared" si="38"/>
        <v>0</v>
      </c>
      <c r="J63" s="200">
        <f t="shared" si="39"/>
        <v>0</v>
      </c>
      <c r="K63" s="201">
        <f t="shared" si="40"/>
        <v>0</v>
      </c>
      <c r="L63" s="78">
        <f t="shared" si="46"/>
        <v>261.3978663474573</v>
      </c>
      <c r="M63" s="195">
        <f t="shared" si="47"/>
        <v>198.81293750047126</v>
      </c>
      <c r="N63" s="78">
        <f t="shared" si="33"/>
        <v>0</v>
      </c>
      <c r="O63" s="200">
        <f t="shared" si="34"/>
        <v>0</v>
      </c>
      <c r="P63" s="201">
        <f t="shared" si="35"/>
        <v>0</v>
      </c>
      <c r="Q63" s="78">
        <f t="shared" si="48"/>
        <v>71.472831070137175</v>
      </c>
      <c r="R63" s="196">
        <f t="shared" si="49"/>
        <v>43.567870138992163</v>
      </c>
      <c r="S63" s="202">
        <f t="shared" si="41"/>
        <v>0</v>
      </c>
      <c r="T63" s="200">
        <f t="shared" si="42"/>
        <v>0</v>
      </c>
      <c r="U63" s="201">
        <f t="shared" si="43"/>
        <v>0</v>
      </c>
      <c r="V63" s="198">
        <f t="shared" si="50"/>
        <v>189.92503527732012</v>
      </c>
      <c r="W63" s="78">
        <f t="shared" si="51"/>
        <v>155.24506736147913</v>
      </c>
      <c r="X63" s="203">
        <f t="shared" si="44"/>
        <v>0</v>
      </c>
      <c r="Y63" s="204">
        <f t="shared" si="45"/>
        <v>0</v>
      </c>
      <c r="AB63" s="188"/>
      <c r="AC63" s="188"/>
    </row>
    <row r="64" spans="1:29" ht="13.8" thickBot="1">
      <c r="A64" s="269">
        <v>804</v>
      </c>
      <c r="B64" s="234">
        <v>16036</v>
      </c>
      <c r="C64" s="233">
        <v>3520</v>
      </c>
      <c r="D64" s="234" t="s">
        <v>179</v>
      </c>
      <c r="E64" s="234" t="s">
        <v>149</v>
      </c>
      <c r="F64" s="235" t="s">
        <v>149</v>
      </c>
      <c r="G64" s="236">
        <f t="shared" si="36"/>
        <v>1.0249999999999999</v>
      </c>
      <c r="H64" s="237" t="str">
        <f t="shared" si="37"/>
        <v xml:space="preserve">    </v>
      </c>
      <c r="I64" s="238">
        <f t="shared" si="38"/>
        <v>18.77882082</v>
      </c>
      <c r="J64" s="239">
        <f t="shared" si="39"/>
        <v>19.509722222268465</v>
      </c>
      <c r="K64" s="240">
        <f t="shared" si="40"/>
        <v>-0.73090140226846501</v>
      </c>
      <c r="L64" s="241">
        <f t="shared" si="46"/>
        <v>280.17668716745732</v>
      </c>
      <c r="M64" s="242">
        <f t="shared" si="47"/>
        <v>218.32265972273973</v>
      </c>
      <c r="N64" s="241">
        <f t="shared" ref="N64:N95" si="52">IF(F64="CIG",O64,IF(F64="OBA",O64,IF(F64="HPL",I64-T64,IF(ISERR((O64/$J64)*$I64),0,IF(F64="TP",(O64/$J64)*$I64)))))</f>
        <v>18.77882082</v>
      </c>
      <c r="O64" s="239">
        <f t="shared" ref="O64:O95" si="53">IF(LEFT(B64,1)="1",VLOOKUP(B64,Cigsch,3,FALSE)/1000,VLOOKUP(B64,Cigsch,3,FALSE)/1000*-1)*POLLHOURSFLOWED</f>
        <v>19.509722222268465</v>
      </c>
      <c r="P64" s="240">
        <f t="shared" ref="P64:P95" si="54">N64-O64</f>
        <v>-0.73090140226846501</v>
      </c>
      <c r="Q64" s="241">
        <f t="shared" si="48"/>
        <v>90.251651890137168</v>
      </c>
      <c r="R64" s="243">
        <f t="shared" si="49"/>
        <v>63.077592361260628</v>
      </c>
      <c r="S64" s="244">
        <f t="shared" si="41"/>
        <v>0</v>
      </c>
      <c r="T64" s="239">
        <f t="shared" si="42"/>
        <v>0</v>
      </c>
      <c r="U64" s="240">
        <f t="shared" si="43"/>
        <v>0</v>
      </c>
      <c r="V64" s="245">
        <f t="shared" si="50"/>
        <v>189.92503527732012</v>
      </c>
      <c r="W64" s="241">
        <f t="shared" si="51"/>
        <v>155.24506736147913</v>
      </c>
      <c r="X64" s="246">
        <f t="shared" si="44"/>
        <v>0</v>
      </c>
      <c r="Y64" s="247">
        <f t="shared" si="45"/>
        <v>0</v>
      </c>
      <c r="AB64" s="188"/>
      <c r="AC64" s="188"/>
    </row>
    <row r="65" spans="1:29">
      <c r="A65" s="248">
        <v>805</v>
      </c>
      <c r="B65" s="173">
        <v>26179</v>
      </c>
      <c r="C65" s="171">
        <v>3560</v>
      </c>
      <c r="D65" s="173" t="s">
        <v>179</v>
      </c>
      <c r="E65" s="173" t="s">
        <v>149</v>
      </c>
      <c r="F65" s="174" t="s">
        <v>149</v>
      </c>
      <c r="G65" s="175">
        <f t="shared" ref="G65:G89" si="55">VLOOKUP($B65,BTU,2,FALSE)/1000</f>
        <v>1.0249999999999999</v>
      </c>
      <c r="H65" s="176" t="str">
        <f t="shared" ref="H65:H96" si="56">VLOOKUP($B65,spotdata,3,FALSE)</f>
        <v xml:space="preserve">    </v>
      </c>
      <c r="I65" s="199">
        <f t="shared" ref="I65:I96" si="57">IF(VLOOKUP($B65,errordata,3,FALSE)="UNAV",J65*POLLHOURSFLOWED,IF(LEFT(B65,1)="1",VLOOKUP($B65,totalvolume,2,FALSE)*G65/1000,VLOOKUP($B65,totalvolume,2,FALSE)*G65/1000*-1))</f>
        <v>0</v>
      </c>
      <c r="J65" s="200">
        <f t="shared" si="39"/>
        <v>0</v>
      </c>
      <c r="K65" s="201">
        <f t="shared" si="40"/>
        <v>0</v>
      </c>
      <c r="L65" s="78">
        <f t="shared" si="46"/>
        <v>280.17668716745732</v>
      </c>
      <c r="M65" s="195">
        <f t="shared" si="47"/>
        <v>218.32265972273973</v>
      </c>
      <c r="N65" s="78">
        <f t="shared" si="52"/>
        <v>0</v>
      </c>
      <c r="O65" s="200">
        <f t="shared" si="53"/>
        <v>0</v>
      </c>
      <c r="P65" s="201">
        <f t="shared" si="54"/>
        <v>0</v>
      </c>
      <c r="Q65" s="78">
        <f t="shared" si="48"/>
        <v>90.251651890137168</v>
      </c>
      <c r="R65" s="196">
        <f t="shared" si="49"/>
        <v>63.077592361260628</v>
      </c>
      <c r="S65" s="202">
        <f t="shared" si="41"/>
        <v>0</v>
      </c>
      <c r="T65" s="200">
        <f t="shared" si="42"/>
        <v>0</v>
      </c>
      <c r="U65" s="201">
        <f t="shared" si="43"/>
        <v>0</v>
      </c>
      <c r="V65" s="198">
        <f t="shared" si="50"/>
        <v>189.92503527732012</v>
      </c>
      <c r="W65" s="78">
        <f t="shared" si="51"/>
        <v>155.24506736147913</v>
      </c>
      <c r="X65" s="203">
        <f t="shared" si="44"/>
        <v>0</v>
      </c>
      <c r="Y65" s="204">
        <f t="shared" si="45"/>
        <v>0</v>
      </c>
      <c r="AB65" s="188"/>
      <c r="AC65" s="188"/>
    </row>
    <row r="66" spans="1:29">
      <c r="A66" s="268">
        <v>805</v>
      </c>
      <c r="B66" s="206">
        <v>16055</v>
      </c>
      <c r="C66" s="205">
        <v>3527</v>
      </c>
      <c r="D66" s="206" t="s">
        <v>180</v>
      </c>
      <c r="E66" s="206" t="s">
        <v>149</v>
      </c>
      <c r="F66" s="207" t="s">
        <v>149</v>
      </c>
      <c r="G66" s="208">
        <f t="shared" si="55"/>
        <v>1.0249999999999999</v>
      </c>
      <c r="H66" s="176" t="str">
        <f t="shared" si="56"/>
        <v xml:space="preserve">    </v>
      </c>
      <c r="I66" s="199">
        <f t="shared" si="57"/>
        <v>2.8522526887499997</v>
      </c>
      <c r="J66" s="200">
        <f t="shared" si="39"/>
        <v>3.1038194444518012</v>
      </c>
      <c r="K66" s="201">
        <f t="shared" si="40"/>
        <v>-0.25156675570180154</v>
      </c>
      <c r="L66" s="78">
        <f t="shared" si="46"/>
        <v>283.02893985620733</v>
      </c>
      <c r="M66" s="195">
        <f t="shared" si="47"/>
        <v>221.42647916719153</v>
      </c>
      <c r="N66" s="78">
        <f t="shared" si="52"/>
        <v>2.8522526887499997</v>
      </c>
      <c r="O66" s="200">
        <f t="shared" si="53"/>
        <v>3.1038194444518012</v>
      </c>
      <c r="P66" s="201">
        <f t="shared" si="54"/>
        <v>-0.25156675570180154</v>
      </c>
      <c r="Q66" s="78">
        <f t="shared" si="48"/>
        <v>93.103904578887168</v>
      </c>
      <c r="R66" s="196">
        <f t="shared" si="49"/>
        <v>66.181411805712429</v>
      </c>
      <c r="S66" s="202">
        <f t="shared" si="41"/>
        <v>0</v>
      </c>
      <c r="T66" s="200">
        <f t="shared" si="42"/>
        <v>0</v>
      </c>
      <c r="U66" s="201">
        <f t="shared" si="43"/>
        <v>0</v>
      </c>
      <c r="V66" s="198">
        <f t="shared" si="50"/>
        <v>189.92503527732012</v>
      </c>
      <c r="W66" s="78">
        <f t="shared" si="51"/>
        <v>155.24506736147913</v>
      </c>
      <c r="X66" s="203">
        <f t="shared" si="44"/>
        <v>0</v>
      </c>
      <c r="Y66" s="204">
        <f t="shared" si="45"/>
        <v>0</v>
      </c>
      <c r="AB66" s="188"/>
      <c r="AC66" s="188"/>
    </row>
    <row r="67" spans="1:29" s="230" customFormat="1">
      <c r="A67" s="251">
        <v>805</v>
      </c>
      <c r="B67" s="252">
        <v>16210</v>
      </c>
      <c r="C67" s="253">
        <v>5674</v>
      </c>
      <c r="D67" s="252" t="s">
        <v>181</v>
      </c>
      <c r="E67" s="252" t="s">
        <v>149</v>
      </c>
      <c r="F67" s="255" t="s">
        <v>149</v>
      </c>
      <c r="G67" s="256">
        <f t="shared" si="55"/>
        <v>1.0249999999999999</v>
      </c>
      <c r="H67" s="257" t="str">
        <f t="shared" si="56"/>
        <v xml:space="preserve">    </v>
      </c>
      <c r="I67" s="258">
        <f t="shared" si="57"/>
        <v>0</v>
      </c>
      <c r="J67" s="259">
        <f t="shared" si="39"/>
        <v>1.3302083333364862</v>
      </c>
      <c r="K67" s="260">
        <f t="shared" si="40"/>
        <v>-1.3302083333364862</v>
      </c>
      <c r="L67" s="261">
        <f t="shared" si="46"/>
        <v>283.02893985620733</v>
      </c>
      <c r="M67" s="262">
        <f t="shared" si="47"/>
        <v>222.75668750052802</v>
      </c>
      <c r="N67" s="261">
        <f t="shared" si="52"/>
        <v>0</v>
      </c>
      <c r="O67" s="259">
        <f t="shared" si="53"/>
        <v>1.3302083333364862</v>
      </c>
      <c r="P67" s="260">
        <f t="shared" si="54"/>
        <v>-1.3302083333364862</v>
      </c>
      <c r="Q67" s="261">
        <f t="shared" si="48"/>
        <v>93.103904578887168</v>
      </c>
      <c r="R67" s="263">
        <f t="shared" si="49"/>
        <v>67.511620139048915</v>
      </c>
      <c r="S67" s="264">
        <f t="shared" si="41"/>
        <v>0</v>
      </c>
      <c r="T67" s="259">
        <f t="shared" si="42"/>
        <v>0</v>
      </c>
      <c r="U67" s="260">
        <f t="shared" si="43"/>
        <v>0</v>
      </c>
      <c r="V67" s="265">
        <f t="shared" si="50"/>
        <v>189.92503527732012</v>
      </c>
      <c r="W67" s="261">
        <f t="shared" si="51"/>
        <v>155.24506736147913</v>
      </c>
      <c r="X67" s="266">
        <f t="shared" si="44"/>
        <v>0</v>
      </c>
      <c r="Y67" s="267">
        <f t="shared" si="45"/>
        <v>0</v>
      </c>
      <c r="AB67" s="231"/>
      <c r="AC67" s="231"/>
    </row>
    <row r="68" spans="1:29">
      <c r="A68" s="248">
        <v>806</v>
      </c>
      <c r="B68" s="173">
        <v>26113</v>
      </c>
      <c r="C68" s="171"/>
      <c r="D68" s="173" t="s">
        <v>182</v>
      </c>
      <c r="E68" s="173" t="s">
        <v>116</v>
      </c>
      <c r="F68" s="174" t="s">
        <v>116</v>
      </c>
      <c r="G68" s="175">
        <f t="shared" si="55"/>
        <v>1.0249999999999999</v>
      </c>
      <c r="H68" s="176" t="str">
        <f t="shared" si="56"/>
        <v>UNAV</v>
      </c>
      <c r="I68" s="199">
        <f t="shared" si="57"/>
        <v>-9.4370891204151069E-2</v>
      </c>
      <c r="J68" s="200">
        <f t="shared" si="39"/>
        <v>-0.1064166666669189</v>
      </c>
      <c r="K68" s="201">
        <f t="shared" si="40"/>
        <v>1.2045775462767833E-2</v>
      </c>
      <c r="L68" s="78">
        <f t="shared" si="46"/>
        <v>282.93456896500317</v>
      </c>
      <c r="M68" s="195">
        <f t="shared" si="47"/>
        <v>222.6502708338611</v>
      </c>
      <c r="N68" s="78">
        <f t="shared" si="52"/>
        <v>0</v>
      </c>
      <c r="O68" s="200">
        <f t="shared" si="53"/>
        <v>0</v>
      </c>
      <c r="P68" s="201">
        <f t="shared" si="54"/>
        <v>0</v>
      </c>
      <c r="Q68" s="78">
        <f t="shared" si="48"/>
        <v>93.103904578887168</v>
      </c>
      <c r="R68" s="196">
        <f t="shared" si="49"/>
        <v>67.511620139048915</v>
      </c>
      <c r="S68" s="202">
        <f t="shared" si="41"/>
        <v>-9.4370891204151069E-2</v>
      </c>
      <c r="T68" s="200">
        <f t="shared" si="42"/>
        <v>-0.1064166666669189</v>
      </c>
      <c r="U68" s="201">
        <f t="shared" si="43"/>
        <v>1.2045775462767833E-2</v>
      </c>
      <c r="V68" s="198">
        <f t="shared" si="50"/>
        <v>189.83066438611596</v>
      </c>
      <c r="W68" s="78">
        <f t="shared" si="51"/>
        <v>155.13865069481221</v>
      </c>
      <c r="X68" s="203">
        <f t="shared" si="44"/>
        <v>-9.4370891204151069E-2</v>
      </c>
      <c r="Y68" s="204">
        <f t="shared" si="45"/>
        <v>0</v>
      </c>
      <c r="AB68" s="188"/>
      <c r="AC68" s="188"/>
    </row>
    <row r="69" spans="1:29">
      <c r="A69" s="248">
        <v>806</v>
      </c>
      <c r="B69" s="173">
        <v>26002</v>
      </c>
      <c r="C69" s="171"/>
      <c r="D69" s="173" t="s">
        <v>183</v>
      </c>
      <c r="E69" s="173" t="s">
        <v>116</v>
      </c>
      <c r="F69" s="174" t="s">
        <v>116</v>
      </c>
      <c r="G69" s="175">
        <f t="shared" si="55"/>
        <v>1.02</v>
      </c>
      <c r="H69" s="176" t="str">
        <f t="shared" si="56"/>
        <v xml:space="preserve">    </v>
      </c>
      <c r="I69" s="199">
        <f t="shared" si="57"/>
        <v>-4.2853228176</v>
      </c>
      <c r="J69" s="200">
        <f t="shared" si="39"/>
        <v>-3.9906250000094587</v>
      </c>
      <c r="K69" s="201">
        <f t="shared" si="40"/>
        <v>-0.29469781759054126</v>
      </c>
      <c r="L69" s="78">
        <f t="shared" si="46"/>
        <v>278.64924614740318</v>
      </c>
      <c r="M69" s="195">
        <f t="shared" si="47"/>
        <v>218.65964583385164</v>
      </c>
      <c r="N69" s="78">
        <f t="shared" si="52"/>
        <v>0</v>
      </c>
      <c r="O69" s="200">
        <f t="shared" si="53"/>
        <v>0</v>
      </c>
      <c r="P69" s="201">
        <f t="shared" si="54"/>
        <v>0</v>
      </c>
      <c r="Q69" s="78">
        <f t="shared" si="48"/>
        <v>93.103904578887168</v>
      </c>
      <c r="R69" s="196">
        <f t="shared" si="49"/>
        <v>67.511620139048915</v>
      </c>
      <c r="S69" s="202">
        <f t="shared" si="41"/>
        <v>-4.2853228176</v>
      </c>
      <c r="T69" s="200">
        <f t="shared" si="42"/>
        <v>-3.9906250000094587</v>
      </c>
      <c r="U69" s="201">
        <f t="shared" si="43"/>
        <v>-0.29469781759054126</v>
      </c>
      <c r="V69" s="198">
        <f t="shared" si="50"/>
        <v>185.54534156851597</v>
      </c>
      <c r="W69" s="78">
        <f t="shared" si="51"/>
        <v>151.14802569480275</v>
      </c>
      <c r="X69" s="203">
        <f t="shared" si="44"/>
        <v>-4.2853228176</v>
      </c>
      <c r="Y69" s="204">
        <f t="shared" si="45"/>
        <v>0</v>
      </c>
      <c r="AB69" s="188"/>
      <c r="AC69" s="188"/>
    </row>
    <row r="70" spans="1:29">
      <c r="A70" s="248">
        <v>806</v>
      </c>
      <c r="B70" s="173">
        <v>26080</v>
      </c>
      <c r="C70" s="171">
        <v>1332</v>
      </c>
      <c r="D70" s="173" t="s">
        <v>183</v>
      </c>
      <c r="E70" s="173" t="s">
        <v>149</v>
      </c>
      <c r="F70" s="174" t="s">
        <v>149</v>
      </c>
      <c r="G70" s="175">
        <f t="shared" si="55"/>
        <v>1.0249999999999999</v>
      </c>
      <c r="H70" s="176" t="str">
        <f t="shared" si="56"/>
        <v xml:space="preserve">    </v>
      </c>
      <c r="I70" s="199">
        <f t="shared" si="57"/>
        <v>-11.840656909999998</v>
      </c>
      <c r="J70" s="200">
        <f t="shared" si="39"/>
        <v>-8.868055555576575</v>
      </c>
      <c r="K70" s="201">
        <f t="shared" si="40"/>
        <v>-2.9726013544234231</v>
      </c>
      <c r="L70" s="78">
        <f t="shared" si="46"/>
        <v>266.80858923740317</v>
      </c>
      <c r="M70" s="195">
        <f t="shared" si="47"/>
        <v>209.79159027827507</v>
      </c>
      <c r="N70" s="78">
        <f t="shared" si="52"/>
        <v>-11.840656909999998</v>
      </c>
      <c r="O70" s="200">
        <f t="shared" si="53"/>
        <v>-8.868055555576575</v>
      </c>
      <c r="P70" s="201">
        <f t="shared" si="54"/>
        <v>-2.9726013544234231</v>
      </c>
      <c r="Q70" s="78">
        <f t="shared" si="48"/>
        <v>81.263247668887175</v>
      </c>
      <c r="R70" s="196">
        <f t="shared" si="49"/>
        <v>58.64356458347234</v>
      </c>
      <c r="S70" s="202">
        <f t="shared" si="41"/>
        <v>0</v>
      </c>
      <c r="T70" s="200">
        <f t="shared" si="42"/>
        <v>0</v>
      </c>
      <c r="U70" s="201">
        <f t="shared" si="43"/>
        <v>0</v>
      </c>
      <c r="V70" s="198">
        <f t="shared" si="50"/>
        <v>185.54534156851597</v>
      </c>
      <c r="W70" s="78">
        <f t="shared" si="51"/>
        <v>151.14802569480275</v>
      </c>
      <c r="X70" s="203">
        <f t="shared" si="44"/>
        <v>0</v>
      </c>
      <c r="Y70" s="204">
        <f t="shared" si="45"/>
        <v>0</v>
      </c>
      <c r="AB70" s="188"/>
      <c r="AC70" s="188"/>
    </row>
    <row r="71" spans="1:29">
      <c r="A71" s="248">
        <v>806</v>
      </c>
      <c r="B71" s="173">
        <v>16290</v>
      </c>
      <c r="C71" s="171">
        <v>553</v>
      </c>
      <c r="D71" s="232" t="s">
        <v>184</v>
      </c>
      <c r="E71" s="173" t="s">
        <v>118</v>
      </c>
      <c r="F71" s="174" t="s">
        <v>142</v>
      </c>
      <c r="G71" s="175">
        <f t="shared" si="55"/>
        <v>1.0540689700000001</v>
      </c>
      <c r="H71" s="176" t="str">
        <f t="shared" si="56"/>
        <v xml:space="preserve">    </v>
      </c>
      <c r="I71" s="199">
        <f t="shared" si="57"/>
        <v>14.000643266604193</v>
      </c>
      <c r="J71" s="200">
        <f t="shared" si="39"/>
        <v>6.0205229166809371</v>
      </c>
      <c r="K71" s="201">
        <f t="shared" si="40"/>
        <v>7.980120349923256</v>
      </c>
      <c r="L71" s="78">
        <f t="shared" si="46"/>
        <v>280.80923250400735</v>
      </c>
      <c r="M71" s="195">
        <f t="shared" si="47"/>
        <v>215.812113194956</v>
      </c>
      <c r="N71" s="78">
        <f t="shared" si="52"/>
        <v>5.5682520833465317</v>
      </c>
      <c r="O71" s="200">
        <f t="shared" si="53"/>
        <v>5.5682520833465317</v>
      </c>
      <c r="P71" s="201">
        <f t="shared" si="54"/>
        <v>0</v>
      </c>
      <c r="Q71" s="78">
        <f t="shared" si="48"/>
        <v>86.831499752233711</v>
      </c>
      <c r="R71" s="196">
        <f t="shared" si="49"/>
        <v>64.211816666818876</v>
      </c>
      <c r="S71" s="202">
        <f t="shared" si="41"/>
        <v>8.4323911832576606</v>
      </c>
      <c r="T71" s="200">
        <f t="shared" si="42"/>
        <v>0.45227083333440532</v>
      </c>
      <c r="U71" s="201">
        <f t="shared" si="43"/>
        <v>7.9801203499232551</v>
      </c>
      <c r="V71" s="198">
        <f t="shared" si="50"/>
        <v>193.97773275177363</v>
      </c>
      <c r="W71" s="78">
        <f t="shared" si="51"/>
        <v>151.60029652813716</v>
      </c>
      <c r="X71" s="203">
        <f t="shared" si="44"/>
        <v>0.45227083333440454</v>
      </c>
      <c r="Y71" s="204">
        <f t="shared" si="45"/>
        <v>7.980120349923256</v>
      </c>
      <c r="AB71" s="188"/>
      <c r="AC71" s="188"/>
    </row>
    <row r="72" spans="1:29">
      <c r="A72" s="248">
        <v>806</v>
      </c>
      <c r="B72" s="173">
        <v>26038</v>
      </c>
      <c r="C72" s="171"/>
      <c r="D72" s="173" t="s">
        <v>185</v>
      </c>
      <c r="E72" s="173" t="s">
        <v>149</v>
      </c>
      <c r="F72" s="174" t="s">
        <v>149</v>
      </c>
      <c r="G72" s="175">
        <f t="shared" si="55"/>
        <v>1.0249999999999999</v>
      </c>
      <c r="H72" s="176" t="str">
        <f t="shared" si="56"/>
        <v>UNAV</v>
      </c>
      <c r="I72" s="199">
        <f t="shared" si="57"/>
        <v>-7.8642409336792556E-4</v>
      </c>
      <c r="J72" s="200">
        <f t="shared" si="39"/>
        <v>-8.8680555555765755E-4</v>
      </c>
      <c r="K72" s="201">
        <f t="shared" si="40"/>
        <v>1.0038146218973199E-4</v>
      </c>
      <c r="L72" s="78">
        <f t="shared" si="46"/>
        <v>280.80844607991401</v>
      </c>
      <c r="M72" s="195">
        <f t="shared" si="47"/>
        <v>215.81122638940045</v>
      </c>
      <c r="N72" s="78">
        <f t="shared" si="52"/>
        <v>-7.8642409336792556E-4</v>
      </c>
      <c r="O72" s="200">
        <f t="shared" si="53"/>
        <v>-8.8680555555765755E-4</v>
      </c>
      <c r="P72" s="201">
        <f t="shared" si="54"/>
        <v>1.0038146218973199E-4</v>
      </c>
      <c r="Q72" s="78">
        <f t="shared" si="48"/>
        <v>86.830713328140348</v>
      </c>
      <c r="R72" s="196">
        <f t="shared" si="49"/>
        <v>64.210929861263324</v>
      </c>
      <c r="S72" s="202">
        <f t="shared" si="41"/>
        <v>0</v>
      </c>
      <c r="T72" s="200">
        <f t="shared" si="42"/>
        <v>0</v>
      </c>
      <c r="U72" s="201">
        <f t="shared" si="43"/>
        <v>0</v>
      </c>
      <c r="V72" s="198">
        <f t="shared" si="50"/>
        <v>193.97773275177363</v>
      </c>
      <c r="W72" s="78">
        <f t="shared" si="51"/>
        <v>151.60029652813716</v>
      </c>
      <c r="X72" s="203">
        <f t="shared" si="44"/>
        <v>0</v>
      </c>
      <c r="Y72" s="204">
        <f t="shared" si="45"/>
        <v>0</v>
      </c>
      <c r="AB72" s="188"/>
      <c r="AC72" s="188"/>
    </row>
    <row r="73" spans="1:29" ht="13.8" thickBot="1">
      <c r="A73" s="269">
        <v>806</v>
      </c>
      <c r="B73" s="234">
        <v>26192</v>
      </c>
      <c r="C73" s="233"/>
      <c r="D73" s="234" t="s">
        <v>186</v>
      </c>
      <c r="E73" s="234" t="s">
        <v>149</v>
      </c>
      <c r="F73" s="235" t="s">
        <v>116</v>
      </c>
      <c r="G73" s="236">
        <f t="shared" si="55"/>
        <v>1.0249999999999999</v>
      </c>
      <c r="H73" s="237" t="str">
        <f t="shared" si="56"/>
        <v>UNAV</v>
      </c>
      <c r="I73" s="238">
        <f t="shared" si="57"/>
        <v>0</v>
      </c>
      <c r="J73" s="239">
        <f t="shared" si="39"/>
        <v>0</v>
      </c>
      <c r="K73" s="240">
        <f t="shared" si="40"/>
        <v>0</v>
      </c>
      <c r="L73" s="241">
        <f t="shared" si="46"/>
        <v>280.80844607991401</v>
      </c>
      <c r="M73" s="242">
        <f t="shared" si="47"/>
        <v>215.81122638940045</v>
      </c>
      <c r="N73" s="241">
        <f t="shared" si="52"/>
        <v>0</v>
      </c>
      <c r="O73" s="239">
        <f t="shared" si="53"/>
        <v>0</v>
      </c>
      <c r="P73" s="240">
        <f t="shared" si="54"/>
        <v>0</v>
      </c>
      <c r="Q73" s="241">
        <f t="shared" si="48"/>
        <v>86.830713328140348</v>
      </c>
      <c r="R73" s="243">
        <f t="shared" si="49"/>
        <v>64.210929861263324</v>
      </c>
      <c r="S73" s="244">
        <f t="shared" si="41"/>
        <v>0</v>
      </c>
      <c r="T73" s="239">
        <f t="shared" si="42"/>
        <v>0</v>
      </c>
      <c r="U73" s="240">
        <f t="shared" si="43"/>
        <v>0</v>
      </c>
      <c r="V73" s="245">
        <f t="shared" si="50"/>
        <v>193.97773275177363</v>
      </c>
      <c r="W73" s="241">
        <f t="shared" si="51"/>
        <v>151.60029652813716</v>
      </c>
      <c r="X73" s="246">
        <f t="shared" si="44"/>
        <v>0</v>
      </c>
      <c r="Y73" s="247">
        <f t="shared" si="45"/>
        <v>0</v>
      </c>
      <c r="AB73" s="188"/>
      <c r="AC73" s="188"/>
    </row>
    <row r="74" spans="1:29">
      <c r="A74" s="268">
        <v>807</v>
      </c>
      <c r="B74" s="206">
        <v>16254</v>
      </c>
      <c r="C74" s="205"/>
      <c r="D74" s="206" t="s">
        <v>187</v>
      </c>
      <c r="E74" s="206" t="s">
        <v>118</v>
      </c>
      <c r="F74" s="207" t="s">
        <v>156</v>
      </c>
      <c r="G74" s="208">
        <f t="shared" si="55"/>
        <v>1.0249999999999999</v>
      </c>
      <c r="H74" s="176" t="str">
        <f t="shared" si="56"/>
        <v>UNAV</v>
      </c>
      <c r="I74" s="199">
        <f t="shared" si="57"/>
        <v>0</v>
      </c>
      <c r="J74" s="200">
        <f t="shared" si="39"/>
        <v>0</v>
      </c>
      <c r="K74" s="201">
        <f t="shared" si="40"/>
        <v>0</v>
      </c>
      <c r="L74" s="78">
        <f t="shared" si="46"/>
        <v>280.80844607991401</v>
      </c>
      <c r="M74" s="195">
        <f t="shared" si="47"/>
        <v>215.81122638940045</v>
      </c>
      <c r="N74" s="78">
        <f t="shared" si="52"/>
        <v>0</v>
      </c>
      <c r="O74" s="200">
        <f t="shared" si="53"/>
        <v>0</v>
      </c>
      <c r="P74" s="201">
        <f t="shared" si="54"/>
        <v>0</v>
      </c>
      <c r="Q74" s="78">
        <f t="shared" si="48"/>
        <v>86.830713328140348</v>
      </c>
      <c r="R74" s="196">
        <f t="shared" si="49"/>
        <v>64.210929861263324</v>
      </c>
      <c r="S74" s="202">
        <f t="shared" si="41"/>
        <v>0</v>
      </c>
      <c r="T74" s="200">
        <f t="shared" si="42"/>
        <v>0</v>
      </c>
      <c r="U74" s="201">
        <f t="shared" si="43"/>
        <v>0</v>
      </c>
      <c r="V74" s="198">
        <f t="shared" si="50"/>
        <v>193.97773275177363</v>
      </c>
      <c r="W74" s="78">
        <f t="shared" si="51"/>
        <v>151.60029652813716</v>
      </c>
      <c r="X74" s="203">
        <f t="shared" si="44"/>
        <v>0</v>
      </c>
      <c r="Y74" s="204">
        <f t="shared" si="45"/>
        <v>0</v>
      </c>
      <c r="AB74" s="188"/>
      <c r="AC74" s="188"/>
    </row>
    <row r="75" spans="1:29">
      <c r="A75" s="248">
        <v>807</v>
      </c>
      <c r="B75" s="173">
        <v>26146</v>
      </c>
      <c r="C75" s="171"/>
      <c r="D75" s="173" t="s">
        <v>188</v>
      </c>
      <c r="E75" s="173" t="s">
        <v>116</v>
      </c>
      <c r="F75" s="174" t="s">
        <v>116</v>
      </c>
      <c r="G75" s="175">
        <f t="shared" si="55"/>
        <v>1.0208941</v>
      </c>
      <c r="H75" s="176" t="str">
        <f t="shared" si="56"/>
        <v xml:space="preserve">    </v>
      </c>
      <c r="I75" s="199">
        <f t="shared" si="57"/>
        <v>0</v>
      </c>
      <c r="J75" s="200">
        <f t="shared" si="39"/>
        <v>0</v>
      </c>
      <c r="K75" s="201">
        <f t="shared" si="40"/>
        <v>0</v>
      </c>
      <c r="L75" s="78">
        <f t="shared" si="46"/>
        <v>280.80844607991401</v>
      </c>
      <c r="M75" s="195">
        <f t="shared" si="47"/>
        <v>215.81122638940045</v>
      </c>
      <c r="N75" s="78">
        <f t="shared" si="52"/>
        <v>0</v>
      </c>
      <c r="O75" s="200">
        <f t="shared" si="53"/>
        <v>0</v>
      </c>
      <c r="P75" s="201">
        <f t="shared" si="54"/>
        <v>0</v>
      </c>
      <c r="Q75" s="78">
        <f t="shared" si="48"/>
        <v>86.830713328140348</v>
      </c>
      <c r="R75" s="196">
        <f t="shared" si="49"/>
        <v>64.210929861263324</v>
      </c>
      <c r="S75" s="202">
        <f t="shared" si="41"/>
        <v>0</v>
      </c>
      <c r="T75" s="200">
        <f t="shared" si="42"/>
        <v>0</v>
      </c>
      <c r="U75" s="201">
        <f t="shared" si="43"/>
        <v>0</v>
      </c>
      <c r="V75" s="198">
        <f t="shared" si="50"/>
        <v>193.97773275177363</v>
      </c>
      <c r="W75" s="78">
        <f t="shared" si="51"/>
        <v>151.60029652813716</v>
      </c>
      <c r="X75" s="203">
        <f t="shared" si="44"/>
        <v>0</v>
      </c>
      <c r="Y75" s="204">
        <f t="shared" si="45"/>
        <v>0</v>
      </c>
      <c r="AB75" s="188"/>
      <c r="AC75" s="188"/>
    </row>
    <row r="76" spans="1:29">
      <c r="A76" s="268">
        <v>807</v>
      </c>
      <c r="B76" s="206">
        <v>26136</v>
      </c>
      <c r="C76" s="205"/>
      <c r="D76" s="206" t="s">
        <v>189</v>
      </c>
      <c r="E76" s="206" t="s">
        <v>116</v>
      </c>
      <c r="F76" s="207" t="s">
        <v>116</v>
      </c>
      <c r="G76" s="208">
        <f t="shared" si="55"/>
        <v>1.0208941</v>
      </c>
      <c r="H76" s="176" t="str">
        <f t="shared" si="56"/>
        <v xml:space="preserve">    </v>
      </c>
      <c r="I76" s="199">
        <f t="shared" si="57"/>
        <v>0</v>
      </c>
      <c r="J76" s="200">
        <f t="shared" si="39"/>
        <v>0</v>
      </c>
      <c r="K76" s="201">
        <f t="shared" si="40"/>
        <v>0</v>
      </c>
      <c r="L76" s="78">
        <f t="shared" si="46"/>
        <v>280.80844607991401</v>
      </c>
      <c r="M76" s="195">
        <f t="shared" si="47"/>
        <v>215.81122638940045</v>
      </c>
      <c r="N76" s="78">
        <f t="shared" si="52"/>
        <v>0</v>
      </c>
      <c r="O76" s="200">
        <f t="shared" si="53"/>
        <v>0</v>
      </c>
      <c r="P76" s="201">
        <f t="shared" si="54"/>
        <v>0</v>
      </c>
      <c r="Q76" s="78">
        <f t="shared" si="48"/>
        <v>86.830713328140348</v>
      </c>
      <c r="R76" s="196">
        <f t="shared" si="49"/>
        <v>64.210929861263324</v>
      </c>
      <c r="S76" s="202">
        <f t="shared" si="41"/>
        <v>0</v>
      </c>
      <c r="T76" s="200">
        <f t="shared" si="42"/>
        <v>0</v>
      </c>
      <c r="U76" s="201">
        <f t="shared" si="43"/>
        <v>0</v>
      </c>
      <c r="V76" s="198">
        <f t="shared" si="50"/>
        <v>193.97773275177363</v>
      </c>
      <c r="W76" s="78">
        <f t="shared" si="51"/>
        <v>151.60029652813716</v>
      </c>
      <c r="X76" s="203">
        <f t="shared" si="44"/>
        <v>0</v>
      </c>
      <c r="Y76" s="204">
        <f t="shared" si="45"/>
        <v>0</v>
      </c>
      <c r="AB76" s="188"/>
      <c r="AC76" s="188"/>
    </row>
    <row r="77" spans="1:29">
      <c r="A77" s="248">
        <v>807</v>
      </c>
      <c r="B77" s="173">
        <v>26184</v>
      </c>
      <c r="C77" s="171"/>
      <c r="D77" s="173" t="s">
        <v>190</v>
      </c>
      <c r="E77" s="173" t="s">
        <v>116</v>
      </c>
      <c r="F77" s="174" t="s">
        <v>116</v>
      </c>
      <c r="G77" s="175">
        <f t="shared" si="55"/>
        <v>1.0208941</v>
      </c>
      <c r="H77" s="176" t="str">
        <f t="shared" si="56"/>
        <v xml:space="preserve">    </v>
      </c>
      <c r="I77" s="199">
        <f t="shared" si="57"/>
        <v>-17.681979530078376</v>
      </c>
      <c r="J77" s="200">
        <f t="shared" si="39"/>
        <v>-13.302083333364862</v>
      </c>
      <c r="K77" s="201">
        <f t="shared" si="40"/>
        <v>-4.3798961967135135</v>
      </c>
      <c r="L77" s="78">
        <f t="shared" si="46"/>
        <v>263.12646654983564</v>
      </c>
      <c r="M77" s="195">
        <f t="shared" si="47"/>
        <v>202.50914305603558</v>
      </c>
      <c r="N77" s="78">
        <f t="shared" si="52"/>
        <v>0</v>
      </c>
      <c r="O77" s="200">
        <f t="shared" si="53"/>
        <v>0</v>
      </c>
      <c r="P77" s="201">
        <f t="shared" si="54"/>
        <v>0</v>
      </c>
      <c r="Q77" s="78">
        <f t="shared" si="48"/>
        <v>86.830713328140348</v>
      </c>
      <c r="R77" s="196">
        <f t="shared" si="49"/>
        <v>64.210929861263324</v>
      </c>
      <c r="S77" s="202">
        <f t="shared" si="41"/>
        <v>-17.681979530078376</v>
      </c>
      <c r="T77" s="200">
        <f t="shared" si="42"/>
        <v>-13.302083333364862</v>
      </c>
      <c r="U77" s="201">
        <f t="shared" si="43"/>
        <v>-4.3798961967135135</v>
      </c>
      <c r="V77" s="198">
        <f t="shared" si="50"/>
        <v>176.29575322169526</v>
      </c>
      <c r="W77" s="78">
        <f t="shared" si="51"/>
        <v>138.2982131947723</v>
      </c>
      <c r="X77" s="203">
        <f t="shared" si="44"/>
        <v>-17.681979530078376</v>
      </c>
      <c r="Y77" s="204">
        <f t="shared" si="45"/>
        <v>0</v>
      </c>
      <c r="AB77" s="188"/>
      <c r="AC77" s="188"/>
    </row>
    <row r="78" spans="1:29">
      <c r="A78" s="248">
        <v>807</v>
      </c>
      <c r="B78" s="173">
        <v>16306</v>
      </c>
      <c r="C78" s="171"/>
      <c r="D78" s="173" t="s">
        <v>191</v>
      </c>
      <c r="E78" s="173" t="s">
        <v>116</v>
      </c>
      <c r="F78" s="174" t="s">
        <v>116</v>
      </c>
      <c r="G78" s="175">
        <f t="shared" si="55"/>
        <v>1.02552417</v>
      </c>
      <c r="H78" s="176" t="str">
        <f t="shared" si="56"/>
        <v>UNAV</v>
      </c>
      <c r="I78" s="199">
        <f t="shared" si="57"/>
        <v>0</v>
      </c>
      <c r="J78" s="200">
        <f t="shared" si="39"/>
        <v>0</v>
      </c>
      <c r="K78" s="201">
        <f t="shared" si="40"/>
        <v>0</v>
      </c>
      <c r="L78" s="78">
        <f t="shared" si="46"/>
        <v>263.12646654983564</v>
      </c>
      <c r="M78" s="195">
        <f t="shared" si="47"/>
        <v>202.50914305603558</v>
      </c>
      <c r="N78" s="78">
        <f t="shared" si="52"/>
        <v>0</v>
      </c>
      <c r="O78" s="200">
        <f t="shared" si="53"/>
        <v>0</v>
      </c>
      <c r="P78" s="201">
        <f t="shared" si="54"/>
        <v>0</v>
      </c>
      <c r="Q78" s="78">
        <f t="shared" si="48"/>
        <v>86.830713328140348</v>
      </c>
      <c r="R78" s="196">
        <f t="shared" si="49"/>
        <v>64.210929861263324</v>
      </c>
      <c r="S78" s="202">
        <f t="shared" si="41"/>
        <v>0</v>
      </c>
      <c r="T78" s="200">
        <f t="shared" si="42"/>
        <v>0</v>
      </c>
      <c r="U78" s="201">
        <f t="shared" si="43"/>
        <v>0</v>
      </c>
      <c r="V78" s="198">
        <f t="shared" si="50"/>
        <v>176.29575322169526</v>
      </c>
      <c r="W78" s="78">
        <f t="shared" si="51"/>
        <v>138.2982131947723</v>
      </c>
      <c r="X78" s="203">
        <f t="shared" si="44"/>
        <v>0</v>
      </c>
      <c r="Y78" s="204">
        <f t="shared" si="45"/>
        <v>0</v>
      </c>
      <c r="AB78" s="188"/>
      <c r="AC78" s="188"/>
    </row>
    <row r="79" spans="1:29">
      <c r="A79" s="248">
        <v>807</v>
      </c>
      <c r="B79" s="209">
        <v>26168</v>
      </c>
      <c r="C79" s="171"/>
      <c r="D79" s="173" t="s">
        <v>192</v>
      </c>
      <c r="E79" s="173" t="s">
        <v>116</v>
      </c>
      <c r="F79" s="174" t="s">
        <v>116</v>
      </c>
      <c r="G79" s="175">
        <f t="shared" si="55"/>
        <v>1.02070123</v>
      </c>
      <c r="H79" s="176" t="str">
        <f t="shared" si="56"/>
        <v xml:space="preserve">    </v>
      </c>
      <c r="I79" s="199">
        <f t="shared" si="57"/>
        <v>-17.628054479995836</v>
      </c>
      <c r="J79" s="200">
        <f t="shared" si="39"/>
        <v>-17.73611111115315</v>
      </c>
      <c r="K79" s="201">
        <f t="shared" si="40"/>
        <v>0.10805663115731434</v>
      </c>
      <c r="L79" s="78">
        <f t="shared" si="46"/>
        <v>245.49841206983982</v>
      </c>
      <c r="M79" s="195">
        <f t="shared" si="47"/>
        <v>184.77303194488243</v>
      </c>
      <c r="N79" s="78">
        <f t="shared" si="52"/>
        <v>0</v>
      </c>
      <c r="O79" s="200">
        <f t="shared" si="53"/>
        <v>0</v>
      </c>
      <c r="P79" s="201">
        <f t="shared" si="54"/>
        <v>0</v>
      </c>
      <c r="Q79" s="78">
        <f t="shared" si="48"/>
        <v>86.830713328140348</v>
      </c>
      <c r="R79" s="196">
        <f t="shared" si="49"/>
        <v>64.210929861263324</v>
      </c>
      <c r="S79" s="202">
        <f t="shared" si="41"/>
        <v>-17.628054479995836</v>
      </c>
      <c r="T79" s="200">
        <f t="shared" si="42"/>
        <v>-17.73611111115315</v>
      </c>
      <c r="U79" s="201">
        <f t="shared" si="43"/>
        <v>0.10805663115731434</v>
      </c>
      <c r="V79" s="198">
        <f t="shared" si="50"/>
        <v>158.66769874169944</v>
      </c>
      <c r="W79" s="78">
        <f t="shared" si="51"/>
        <v>120.56210208361915</v>
      </c>
      <c r="X79" s="203">
        <f t="shared" si="44"/>
        <v>-17.628054479995836</v>
      </c>
      <c r="Y79" s="204">
        <f t="shared" si="45"/>
        <v>0</v>
      </c>
      <c r="AB79" s="188"/>
      <c r="AC79" s="188"/>
    </row>
    <row r="80" spans="1:29" s="230" customFormat="1">
      <c r="A80" s="248">
        <v>807</v>
      </c>
      <c r="B80" s="173">
        <v>26154</v>
      </c>
      <c r="C80" s="171"/>
      <c r="D80" s="173" t="s">
        <v>193</v>
      </c>
      <c r="E80" s="173" t="s">
        <v>116</v>
      </c>
      <c r="F80" s="174" t="s">
        <v>116</v>
      </c>
      <c r="G80" s="175">
        <f t="shared" si="55"/>
        <v>1.0208941</v>
      </c>
      <c r="H80" s="176" t="str">
        <f t="shared" si="56"/>
        <v xml:space="preserve">    </v>
      </c>
      <c r="I80" s="199">
        <f t="shared" si="57"/>
        <v>0</v>
      </c>
      <c r="J80" s="200">
        <f t="shared" si="39"/>
        <v>0</v>
      </c>
      <c r="K80" s="201">
        <f t="shared" si="40"/>
        <v>0</v>
      </c>
      <c r="L80" s="78">
        <f t="shared" si="46"/>
        <v>245.49841206983982</v>
      </c>
      <c r="M80" s="195">
        <f t="shared" si="47"/>
        <v>184.77303194488243</v>
      </c>
      <c r="N80" s="78">
        <f t="shared" si="52"/>
        <v>0</v>
      </c>
      <c r="O80" s="200">
        <f t="shared" si="53"/>
        <v>0</v>
      </c>
      <c r="P80" s="201">
        <f t="shared" si="54"/>
        <v>0</v>
      </c>
      <c r="Q80" s="78">
        <f t="shared" si="48"/>
        <v>86.830713328140348</v>
      </c>
      <c r="R80" s="196">
        <f t="shared" si="49"/>
        <v>64.210929861263324</v>
      </c>
      <c r="S80" s="202">
        <f t="shared" si="41"/>
        <v>0</v>
      </c>
      <c r="T80" s="200">
        <f t="shared" si="42"/>
        <v>0</v>
      </c>
      <c r="U80" s="201">
        <f t="shared" si="43"/>
        <v>0</v>
      </c>
      <c r="V80" s="198">
        <f t="shared" si="50"/>
        <v>158.66769874169944</v>
      </c>
      <c r="W80" s="78">
        <f t="shared" si="51"/>
        <v>120.56210208361915</v>
      </c>
      <c r="X80" s="203">
        <f t="shared" si="44"/>
        <v>0</v>
      </c>
      <c r="Y80" s="204">
        <f t="shared" si="45"/>
        <v>0</v>
      </c>
      <c r="AB80" s="231"/>
      <c r="AC80" s="231"/>
    </row>
    <row r="81" spans="1:29" s="230" customFormat="1">
      <c r="A81" s="248">
        <v>807</v>
      </c>
      <c r="B81" s="173">
        <v>26073</v>
      </c>
      <c r="C81" s="171">
        <v>3521</v>
      </c>
      <c r="D81" s="173" t="s">
        <v>194</v>
      </c>
      <c r="E81" s="173" t="s">
        <v>149</v>
      </c>
      <c r="F81" s="174" t="s">
        <v>149</v>
      </c>
      <c r="G81" s="175">
        <f t="shared" si="55"/>
        <v>1.0249999999999999</v>
      </c>
      <c r="H81" s="176" t="str">
        <f t="shared" si="56"/>
        <v xml:space="preserve">    </v>
      </c>
      <c r="I81" s="199">
        <f t="shared" si="57"/>
        <v>-16.777029849999998</v>
      </c>
      <c r="J81" s="200">
        <f t="shared" si="39"/>
        <v>-25.179070138948571</v>
      </c>
      <c r="K81" s="201">
        <f t="shared" si="40"/>
        <v>8.402040288948573</v>
      </c>
      <c r="L81" s="78">
        <f t="shared" si="46"/>
        <v>228.72138221983982</v>
      </c>
      <c r="M81" s="195">
        <f t="shared" si="47"/>
        <v>159.59396180593387</v>
      </c>
      <c r="N81" s="78">
        <f t="shared" si="52"/>
        <v>-16.777029849999998</v>
      </c>
      <c r="O81" s="200">
        <f t="shared" si="53"/>
        <v>-25.179070138948571</v>
      </c>
      <c r="P81" s="201">
        <f t="shared" si="54"/>
        <v>8.402040288948573</v>
      </c>
      <c r="Q81" s="78">
        <f t="shared" si="48"/>
        <v>70.053683478140357</v>
      </c>
      <c r="R81" s="196">
        <f t="shared" si="49"/>
        <v>39.031859722314749</v>
      </c>
      <c r="S81" s="202">
        <f t="shared" si="41"/>
        <v>0</v>
      </c>
      <c r="T81" s="200">
        <f t="shared" si="42"/>
        <v>0</v>
      </c>
      <c r="U81" s="201">
        <f t="shared" si="43"/>
        <v>0</v>
      </c>
      <c r="V81" s="198">
        <f t="shared" si="50"/>
        <v>158.66769874169944</v>
      </c>
      <c r="W81" s="78">
        <f t="shared" si="51"/>
        <v>120.56210208361915</v>
      </c>
      <c r="X81" s="203">
        <f t="shared" si="44"/>
        <v>0</v>
      </c>
      <c r="Y81" s="204">
        <f t="shared" si="45"/>
        <v>0</v>
      </c>
      <c r="AB81" s="231"/>
      <c r="AC81" s="231"/>
    </row>
    <row r="82" spans="1:29">
      <c r="A82" s="248">
        <v>807</v>
      </c>
      <c r="B82" s="209">
        <v>26063</v>
      </c>
      <c r="C82" s="171"/>
      <c r="D82" s="173" t="s">
        <v>195</v>
      </c>
      <c r="E82" s="173" t="s">
        <v>116</v>
      </c>
      <c r="F82" s="174" t="s">
        <v>116</v>
      </c>
      <c r="G82" s="175">
        <f t="shared" si="55"/>
        <v>1.04</v>
      </c>
      <c r="H82" s="176" t="str">
        <f t="shared" si="56"/>
        <v>UNAV</v>
      </c>
      <c r="I82" s="199">
        <f t="shared" si="57"/>
        <v>0</v>
      </c>
      <c r="J82" s="200">
        <f t="shared" si="39"/>
        <v>0</v>
      </c>
      <c r="K82" s="201">
        <f t="shared" si="40"/>
        <v>0</v>
      </c>
      <c r="L82" s="78">
        <f t="shared" si="46"/>
        <v>228.72138221983982</v>
      </c>
      <c r="M82" s="195">
        <f t="shared" si="47"/>
        <v>159.59396180593387</v>
      </c>
      <c r="N82" s="78">
        <f t="shared" si="52"/>
        <v>0</v>
      </c>
      <c r="O82" s="200">
        <f t="shared" si="53"/>
        <v>0</v>
      </c>
      <c r="P82" s="201">
        <f t="shared" si="54"/>
        <v>0</v>
      </c>
      <c r="Q82" s="78">
        <f t="shared" si="48"/>
        <v>70.053683478140357</v>
      </c>
      <c r="R82" s="196">
        <f t="shared" si="49"/>
        <v>39.031859722314749</v>
      </c>
      <c r="S82" s="202">
        <f t="shared" si="41"/>
        <v>0</v>
      </c>
      <c r="T82" s="200">
        <f t="shared" si="42"/>
        <v>0</v>
      </c>
      <c r="U82" s="201">
        <f t="shared" si="43"/>
        <v>0</v>
      </c>
      <c r="V82" s="198">
        <f t="shared" si="50"/>
        <v>158.66769874169944</v>
      </c>
      <c r="W82" s="78">
        <f t="shared" si="51"/>
        <v>120.56210208361915</v>
      </c>
      <c r="X82" s="203">
        <f t="shared" si="44"/>
        <v>0</v>
      </c>
      <c r="Y82" s="204">
        <f t="shared" si="45"/>
        <v>0</v>
      </c>
      <c r="AB82" s="188"/>
      <c r="AC82" s="188"/>
    </row>
    <row r="83" spans="1:29">
      <c r="A83" s="251">
        <v>807</v>
      </c>
      <c r="B83" s="252">
        <v>16241</v>
      </c>
      <c r="C83" s="253"/>
      <c r="D83" s="252" t="s">
        <v>196</v>
      </c>
      <c r="E83" s="252" t="s">
        <v>116</v>
      </c>
      <c r="F83" s="255" t="s">
        <v>116</v>
      </c>
      <c r="G83" s="256">
        <f t="shared" si="55"/>
        <v>1.0249999999999999</v>
      </c>
      <c r="H83" s="257" t="str">
        <f t="shared" si="56"/>
        <v>UNAV</v>
      </c>
      <c r="I83" s="258">
        <f t="shared" si="57"/>
        <v>7.8642409336792563E-2</v>
      </c>
      <c r="J83" s="259">
        <f t="shared" si="39"/>
        <v>8.8680555555765761E-2</v>
      </c>
      <c r="K83" s="260">
        <f t="shared" si="40"/>
        <v>-1.0038146218973198E-2</v>
      </c>
      <c r="L83" s="261">
        <f t="shared" si="46"/>
        <v>228.80002462917662</v>
      </c>
      <c r="M83" s="262">
        <f t="shared" si="47"/>
        <v>159.68264236148963</v>
      </c>
      <c r="N83" s="261">
        <f t="shared" si="52"/>
        <v>0</v>
      </c>
      <c r="O83" s="259">
        <f t="shared" si="53"/>
        <v>0</v>
      </c>
      <c r="P83" s="260">
        <f t="shared" si="54"/>
        <v>0</v>
      </c>
      <c r="Q83" s="261">
        <f t="shared" si="48"/>
        <v>70.053683478140357</v>
      </c>
      <c r="R83" s="263">
        <f t="shared" si="49"/>
        <v>39.031859722314749</v>
      </c>
      <c r="S83" s="264">
        <f t="shared" si="41"/>
        <v>7.8642409336792563E-2</v>
      </c>
      <c r="T83" s="259">
        <f t="shared" si="42"/>
        <v>8.8680555555765761E-2</v>
      </c>
      <c r="U83" s="260">
        <f t="shared" si="43"/>
        <v>-1.0038146218973198E-2</v>
      </c>
      <c r="V83" s="265">
        <f t="shared" si="50"/>
        <v>158.74634115103623</v>
      </c>
      <c r="W83" s="261">
        <f t="shared" si="51"/>
        <v>120.65078263917492</v>
      </c>
      <c r="X83" s="266">
        <f t="shared" si="44"/>
        <v>7.8642409336792563E-2</v>
      </c>
      <c r="Y83" s="267">
        <f t="shared" si="45"/>
        <v>0</v>
      </c>
      <c r="AB83" s="188"/>
      <c r="AC83" s="188"/>
    </row>
    <row r="84" spans="1:29">
      <c r="A84" s="248">
        <v>808</v>
      </c>
      <c r="B84" s="173">
        <v>16094</v>
      </c>
      <c r="C84" s="171"/>
      <c r="D84" s="173" t="s">
        <v>197</v>
      </c>
      <c r="E84" s="173" t="s">
        <v>118</v>
      </c>
      <c r="F84" s="174" t="s">
        <v>156</v>
      </c>
      <c r="G84" s="175">
        <f t="shared" si="55"/>
        <v>1.0249999999999999</v>
      </c>
      <c r="H84" s="176" t="str">
        <f t="shared" si="56"/>
        <v>UNAV</v>
      </c>
      <c r="I84" s="199">
        <f t="shared" si="57"/>
        <v>1.1796361400518884E-2</v>
      </c>
      <c r="J84" s="200">
        <f t="shared" si="39"/>
        <v>1.3302083333364863E-2</v>
      </c>
      <c r="K84" s="201">
        <f t="shared" si="40"/>
        <v>-1.5057219328459791E-3</v>
      </c>
      <c r="L84" s="78">
        <f t="shared" si="46"/>
        <v>228.81182099057713</v>
      </c>
      <c r="M84" s="195">
        <f t="shared" si="47"/>
        <v>159.695944444823</v>
      </c>
      <c r="N84" s="78">
        <f t="shared" si="52"/>
        <v>0</v>
      </c>
      <c r="O84" s="200">
        <f t="shared" si="53"/>
        <v>0</v>
      </c>
      <c r="P84" s="201">
        <f t="shared" si="54"/>
        <v>0</v>
      </c>
      <c r="Q84" s="78">
        <f t="shared" si="48"/>
        <v>70.053683478140357</v>
      </c>
      <c r="R84" s="196">
        <f t="shared" si="49"/>
        <v>39.031859722314749</v>
      </c>
      <c r="S84" s="202">
        <f t="shared" si="41"/>
        <v>1.1796361400518884E-2</v>
      </c>
      <c r="T84" s="200">
        <f t="shared" si="42"/>
        <v>1.3302083333364863E-2</v>
      </c>
      <c r="U84" s="201">
        <f t="shared" si="43"/>
        <v>-1.5057219328459791E-3</v>
      </c>
      <c r="V84" s="198">
        <f t="shared" si="50"/>
        <v>158.75813751243675</v>
      </c>
      <c r="W84" s="78">
        <f t="shared" si="51"/>
        <v>120.66408472250829</v>
      </c>
      <c r="X84" s="203">
        <f t="shared" si="44"/>
        <v>1.1796361400518884E-2</v>
      </c>
      <c r="Y84" s="204">
        <f t="shared" si="45"/>
        <v>0</v>
      </c>
      <c r="AB84" s="188"/>
      <c r="AC84" s="188"/>
    </row>
    <row r="85" spans="1:29">
      <c r="A85" s="251">
        <v>808</v>
      </c>
      <c r="B85" s="252">
        <v>26013</v>
      </c>
      <c r="C85" s="253"/>
      <c r="D85" s="252" t="s">
        <v>198</v>
      </c>
      <c r="E85" s="252" t="s">
        <v>116</v>
      </c>
      <c r="F85" s="255" t="s">
        <v>116</v>
      </c>
      <c r="G85" s="256">
        <f t="shared" si="55"/>
        <v>1.0249999999999999</v>
      </c>
      <c r="H85" s="257" t="str">
        <f t="shared" si="56"/>
        <v>UNAV</v>
      </c>
      <c r="I85" s="258">
        <f t="shared" si="57"/>
        <v>-7.8642409336792569E-3</v>
      </c>
      <c r="J85" s="259">
        <f t="shared" si="39"/>
        <v>-8.8680555555765758E-3</v>
      </c>
      <c r="K85" s="260">
        <f t="shared" si="40"/>
        <v>1.0038146218973188E-3</v>
      </c>
      <c r="L85" s="261">
        <f t="shared" si="46"/>
        <v>228.80395674964345</v>
      </c>
      <c r="M85" s="262">
        <f t="shared" si="47"/>
        <v>159.68707638926742</v>
      </c>
      <c r="N85" s="261">
        <f t="shared" si="52"/>
        <v>0</v>
      </c>
      <c r="O85" s="259">
        <f t="shared" si="53"/>
        <v>0</v>
      </c>
      <c r="P85" s="260">
        <f t="shared" si="54"/>
        <v>0</v>
      </c>
      <c r="Q85" s="261">
        <f t="shared" si="48"/>
        <v>70.053683478140357</v>
      </c>
      <c r="R85" s="263">
        <f t="shared" si="49"/>
        <v>39.031859722314749</v>
      </c>
      <c r="S85" s="264">
        <f t="shared" si="41"/>
        <v>-7.8642409336792569E-3</v>
      </c>
      <c r="T85" s="259">
        <f t="shared" si="42"/>
        <v>-8.8680555555765758E-3</v>
      </c>
      <c r="U85" s="260">
        <f t="shared" si="43"/>
        <v>1.0038146218973188E-3</v>
      </c>
      <c r="V85" s="265">
        <f t="shared" si="50"/>
        <v>158.75027327150306</v>
      </c>
      <c r="W85" s="261">
        <f t="shared" si="51"/>
        <v>120.65521666695271</v>
      </c>
      <c r="X85" s="266">
        <f t="shared" si="44"/>
        <v>-7.8642409336792569E-3</v>
      </c>
      <c r="Y85" s="267">
        <f t="shared" si="45"/>
        <v>0</v>
      </c>
      <c r="AB85" s="188"/>
      <c r="AC85" s="188"/>
    </row>
    <row r="86" spans="1:29">
      <c r="A86" s="268">
        <v>809</v>
      </c>
      <c r="B86" s="206">
        <v>26151</v>
      </c>
      <c r="C86" s="205"/>
      <c r="D86" s="206" t="s">
        <v>199</v>
      </c>
      <c r="E86" s="206" t="s">
        <v>149</v>
      </c>
      <c r="F86" s="207" t="s">
        <v>149</v>
      </c>
      <c r="G86" s="208">
        <f t="shared" si="55"/>
        <v>1.0249999999999999</v>
      </c>
      <c r="H86" s="176" t="str">
        <f t="shared" si="56"/>
        <v>UNAV</v>
      </c>
      <c r="I86" s="199">
        <f t="shared" si="57"/>
        <v>0</v>
      </c>
      <c r="J86" s="200">
        <f t="shared" si="39"/>
        <v>0</v>
      </c>
      <c r="K86" s="201">
        <f t="shared" si="40"/>
        <v>0</v>
      </c>
      <c r="L86" s="78">
        <f t="shared" si="46"/>
        <v>228.80395674964345</v>
      </c>
      <c r="M86" s="195">
        <f t="shared" si="47"/>
        <v>159.68707638926742</v>
      </c>
      <c r="N86" s="78">
        <f t="shared" si="52"/>
        <v>0</v>
      </c>
      <c r="O86" s="200">
        <f t="shared" si="53"/>
        <v>0</v>
      </c>
      <c r="P86" s="201">
        <f t="shared" si="54"/>
        <v>0</v>
      </c>
      <c r="Q86" s="78">
        <f t="shared" si="48"/>
        <v>70.053683478140357</v>
      </c>
      <c r="R86" s="196">
        <f t="shared" si="49"/>
        <v>39.031859722314749</v>
      </c>
      <c r="S86" s="202">
        <f t="shared" si="41"/>
        <v>0</v>
      </c>
      <c r="T86" s="200">
        <f t="shared" si="42"/>
        <v>0</v>
      </c>
      <c r="U86" s="201">
        <f t="shared" si="43"/>
        <v>0</v>
      </c>
      <c r="V86" s="198">
        <f t="shared" si="50"/>
        <v>158.75027327150306</v>
      </c>
      <c r="W86" s="78">
        <f t="shared" si="51"/>
        <v>120.65521666695271</v>
      </c>
      <c r="X86" s="203">
        <f t="shared" si="44"/>
        <v>0</v>
      </c>
      <c r="Y86" s="204">
        <f t="shared" si="45"/>
        <v>0</v>
      </c>
      <c r="AB86" s="188"/>
      <c r="AC86" s="188"/>
    </row>
    <row r="87" spans="1:29">
      <c r="A87" s="268">
        <v>809</v>
      </c>
      <c r="B87" s="271">
        <v>26207</v>
      </c>
      <c r="C87" s="205"/>
      <c r="D87" s="271" t="s">
        <v>200</v>
      </c>
      <c r="E87" s="271" t="s">
        <v>116</v>
      </c>
      <c r="F87" s="207" t="s">
        <v>116</v>
      </c>
      <c r="G87" s="208">
        <f t="shared" si="55"/>
        <v>1.0249999999999999</v>
      </c>
      <c r="H87" s="272" t="str">
        <f t="shared" si="56"/>
        <v>UNAV</v>
      </c>
      <c r="I87" s="199">
        <f t="shared" si="57"/>
        <v>0</v>
      </c>
      <c r="J87" s="200">
        <f t="shared" si="39"/>
        <v>0</v>
      </c>
      <c r="K87" s="201">
        <f t="shared" si="40"/>
        <v>0</v>
      </c>
      <c r="L87" s="78">
        <f t="shared" si="46"/>
        <v>228.80395674964345</v>
      </c>
      <c r="M87" s="195">
        <f t="shared" si="47"/>
        <v>159.68707638926742</v>
      </c>
      <c r="N87" s="78">
        <f t="shared" si="52"/>
        <v>0</v>
      </c>
      <c r="O87" s="200">
        <f t="shared" si="53"/>
        <v>0</v>
      </c>
      <c r="P87" s="201">
        <f t="shared" si="54"/>
        <v>0</v>
      </c>
      <c r="Q87" s="78">
        <f t="shared" si="48"/>
        <v>70.053683478140357</v>
      </c>
      <c r="R87" s="196">
        <f t="shared" si="49"/>
        <v>39.031859722314749</v>
      </c>
      <c r="S87" s="202">
        <f t="shared" si="41"/>
        <v>0</v>
      </c>
      <c r="T87" s="200">
        <f t="shared" si="42"/>
        <v>0</v>
      </c>
      <c r="U87" s="201">
        <f t="shared" si="43"/>
        <v>0</v>
      </c>
      <c r="V87" s="198">
        <f t="shared" si="50"/>
        <v>158.75027327150306</v>
      </c>
      <c r="W87" s="78">
        <f t="shared" si="51"/>
        <v>120.65521666695271</v>
      </c>
      <c r="X87" s="203">
        <f t="shared" si="44"/>
        <v>0</v>
      </c>
      <c r="Y87" s="204">
        <f t="shared" si="45"/>
        <v>0</v>
      </c>
      <c r="AB87" s="188"/>
      <c r="AC87" s="188"/>
    </row>
    <row r="88" spans="1:29">
      <c r="A88" s="268">
        <v>809</v>
      </c>
      <c r="B88" s="206">
        <v>16057</v>
      </c>
      <c r="C88" s="205"/>
      <c r="D88" s="206" t="s">
        <v>201</v>
      </c>
      <c r="E88" s="206" t="s">
        <v>118</v>
      </c>
      <c r="F88" s="207" t="s">
        <v>156</v>
      </c>
      <c r="G88" s="208">
        <f t="shared" si="55"/>
        <v>1.0249999999999999</v>
      </c>
      <c r="H88" s="176" t="str">
        <f t="shared" si="56"/>
        <v>UNAV</v>
      </c>
      <c r="I88" s="199">
        <f t="shared" si="57"/>
        <v>0.55600183401112335</v>
      </c>
      <c r="J88" s="200">
        <f t="shared" si="39"/>
        <v>0.62697152777926379</v>
      </c>
      <c r="K88" s="201">
        <f t="shared" si="40"/>
        <v>-7.0969693768140441E-2</v>
      </c>
      <c r="L88" s="78">
        <f t="shared" si="46"/>
        <v>229.35995858365456</v>
      </c>
      <c r="M88" s="195">
        <f t="shared" si="47"/>
        <v>160.31404791704668</v>
      </c>
      <c r="N88" s="78">
        <f t="shared" si="52"/>
        <v>0</v>
      </c>
      <c r="O88" s="200">
        <f t="shared" si="53"/>
        <v>0</v>
      </c>
      <c r="P88" s="201">
        <f t="shared" si="54"/>
        <v>0</v>
      </c>
      <c r="Q88" s="78">
        <f t="shared" si="48"/>
        <v>70.053683478140357</v>
      </c>
      <c r="R88" s="196">
        <f t="shared" si="49"/>
        <v>39.031859722314749</v>
      </c>
      <c r="S88" s="202">
        <f t="shared" si="41"/>
        <v>0.55600183401112335</v>
      </c>
      <c r="T88" s="200">
        <f t="shared" si="42"/>
        <v>0.62697152777926379</v>
      </c>
      <c r="U88" s="201">
        <f t="shared" si="43"/>
        <v>-7.0969693768140441E-2</v>
      </c>
      <c r="V88" s="198">
        <f t="shared" si="50"/>
        <v>159.30627510551417</v>
      </c>
      <c r="W88" s="78">
        <f t="shared" si="51"/>
        <v>121.28218819473197</v>
      </c>
      <c r="X88" s="203">
        <f t="shared" si="44"/>
        <v>0.55600183401112335</v>
      </c>
      <c r="Y88" s="204">
        <f t="shared" si="45"/>
        <v>0</v>
      </c>
      <c r="AB88" s="188"/>
      <c r="AC88" s="188"/>
    </row>
    <row r="89" spans="1:29" ht="12.75" customHeight="1">
      <c r="A89" s="268">
        <v>809</v>
      </c>
      <c r="B89" s="206">
        <v>26155</v>
      </c>
      <c r="C89" s="205"/>
      <c r="D89" s="206" t="s">
        <v>202</v>
      </c>
      <c r="E89" s="206" t="s">
        <v>149</v>
      </c>
      <c r="F89" s="207" t="s">
        <v>116</v>
      </c>
      <c r="G89" s="208">
        <f t="shared" si="55"/>
        <v>1.0249999999999999</v>
      </c>
      <c r="H89" s="176" t="str">
        <f t="shared" si="56"/>
        <v>UNAV</v>
      </c>
      <c r="I89" s="199">
        <f t="shared" si="57"/>
        <v>-5.1117566068915161E-2</v>
      </c>
      <c r="J89" s="200">
        <f t="shared" si="39"/>
        <v>-5.7642361111247736E-2</v>
      </c>
      <c r="K89" s="201">
        <f t="shared" si="40"/>
        <v>6.5247950423325748E-3</v>
      </c>
      <c r="L89" s="78">
        <f t="shared" si="46"/>
        <v>229.30884101758565</v>
      </c>
      <c r="M89" s="195">
        <f t="shared" si="47"/>
        <v>160.25640555593543</v>
      </c>
      <c r="N89" s="78">
        <f t="shared" si="52"/>
        <v>-5.7642361111247736E-2</v>
      </c>
      <c r="O89" s="200">
        <f t="shared" si="53"/>
        <v>-5.7642361111247736E-2</v>
      </c>
      <c r="P89" s="201">
        <f t="shared" si="54"/>
        <v>0</v>
      </c>
      <c r="Q89" s="78">
        <f t="shared" si="48"/>
        <v>69.996041117029108</v>
      </c>
      <c r="R89" s="196">
        <f t="shared" si="49"/>
        <v>38.9742173612035</v>
      </c>
      <c r="S89" s="202">
        <f t="shared" si="41"/>
        <v>6.5247950423325748E-3</v>
      </c>
      <c r="T89" s="200">
        <f t="shared" si="42"/>
        <v>0</v>
      </c>
      <c r="U89" s="201">
        <f t="shared" si="43"/>
        <v>6.5247950423325748E-3</v>
      </c>
      <c r="V89" s="198">
        <f t="shared" si="50"/>
        <v>159.31279990055651</v>
      </c>
      <c r="W89" s="78">
        <f t="shared" si="51"/>
        <v>121.28218819473197</v>
      </c>
      <c r="X89" s="203">
        <f t="shared" si="44"/>
        <v>6.5247950423325748E-3</v>
      </c>
      <c r="Y89" s="204">
        <f t="shared" si="45"/>
        <v>0</v>
      </c>
      <c r="AB89" s="188"/>
      <c r="AC89" s="188"/>
    </row>
    <row r="90" spans="1:29" s="230" customFormat="1">
      <c r="A90" s="248">
        <v>809</v>
      </c>
      <c r="B90" s="273">
        <v>16151</v>
      </c>
      <c r="C90" s="171">
        <v>3536</v>
      </c>
      <c r="D90" s="232" t="s">
        <v>203</v>
      </c>
      <c r="E90" s="173" t="s">
        <v>149</v>
      </c>
      <c r="F90" s="174" t="s">
        <v>142</v>
      </c>
      <c r="G90" s="274">
        <f>G91</f>
        <v>1.0280717799999999</v>
      </c>
      <c r="H90" s="176" t="str">
        <f t="shared" si="56"/>
        <v xml:space="preserve">    </v>
      </c>
      <c r="I90" s="199">
        <f t="shared" si="57"/>
        <v>97.02703718040874</v>
      </c>
      <c r="J90" s="200">
        <f t="shared" si="39"/>
        <v>100.32165208357111</v>
      </c>
      <c r="K90" s="201">
        <f t="shared" si="40"/>
        <v>-3.294614903162369</v>
      </c>
      <c r="L90" s="78">
        <f t="shared" si="46"/>
        <v>326.33587819799436</v>
      </c>
      <c r="M90" s="195">
        <f t="shared" si="47"/>
        <v>260.57805763950654</v>
      </c>
      <c r="N90" s="78">
        <f t="shared" si="52"/>
        <v>100.32165208357111</v>
      </c>
      <c r="O90" s="200">
        <f t="shared" si="53"/>
        <v>100.32165208357111</v>
      </c>
      <c r="P90" s="201">
        <f t="shared" si="54"/>
        <v>0</v>
      </c>
      <c r="Q90" s="78">
        <f t="shared" si="48"/>
        <v>170.31769320060022</v>
      </c>
      <c r="R90" s="196">
        <f t="shared" si="49"/>
        <v>139.29586944477461</v>
      </c>
      <c r="S90" s="202">
        <f t="shared" si="41"/>
        <v>-3.294614903162369</v>
      </c>
      <c r="T90" s="200">
        <f t="shared" si="42"/>
        <v>0</v>
      </c>
      <c r="U90" s="201">
        <f t="shared" si="43"/>
        <v>-3.294614903162369</v>
      </c>
      <c r="V90" s="198">
        <f t="shared" si="50"/>
        <v>156.01818499739414</v>
      </c>
      <c r="W90" s="78">
        <f t="shared" si="51"/>
        <v>121.28218819473197</v>
      </c>
      <c r="X90" s="203">
        <f t="shared" si="44"/>
        <v>0</v>
      </c>
      <c r="Y90" s="204">
        <f t="shared" si="45"/>
        <v>-3.294614903162369</v>
      </c>
      <c r="AB90" s="231"/>
      <c r="AC90" s="231"/>
    </row>
    <row r="91" spans="1:29">
      <c r="A91" s="248">
        <v>809</v>
      </c>
      <c r="B91" s="209">
        <v>16354</v>
      </c>
      <c r="C91" s="171"/>
      <c r="D91" s="232" t="s">
        <v>204</v>
      </c>
      <c r="E91" s="173" t="s">
        <v>116</v>
      </c>
      <c r="F91" s="174" t="s">
        <v>142</v>
      </c>
      <c r="G91" s="175">
        <f t="shared" ref="G91:G122" si="58">VLOOKUP($B91,BTU,2,FALSE)/1000</f>
        <v>1.0280717799999999</v>
      </c>
      <c r="H91" s="176" t="str">
        <f t="shared" si="56"/>
        <v xml:space="preserve">    </v>
      </c>
      <c r="I91" s="199">
        <f t="shared" si="57"/>
        <v>28.556149439140476</v>
      </c>
      <c r="J91" s="200">
        <f t="shared" si="39"/>
        <v>67.429147222382042</v>
      </c>
      <c r="K91" s="201">
        <f t="shared" si="40"/>
        <v>-38.872997783241566</v>
      </c>
      <c r="L91" s="78">
        <f t="shared" si="46"/>
        <v>354.89202763713485</v>
      </c>
      <c r="M91" s="195">
        <f t="shared" si="47"/>
        <v>328.00720486188857</v>
      </c>
      <c r="N91" s="78">
        <f t="shared" si="52"/>
        <v>0</v>
      </c>
      <c r="O91" s="200">
        <f t="shared" si="53"/>
        <v>0</v>
      </c>
      <c r="P91" s="201">
        <f t="shared" si="54"/>
        <v>0</v>
      </c>
      <c r="Q91" s="78">
        <f t="shared" si="48"/>
        <v>170.31769320060022</v>
      </c>
      <c r="R91" s="196">
        <f t="shared" si="49"/>
        <v>139.29586944477461</v>
      </c>
      <c r="S91" s="202">
        <f t="shared" si="41"/>
        <v>28.556149439140476</v>
      </c>
      <c r="T91" s="200">
        <f t="shared" si="42"/>
        <v>67.429147222382042</v>
      </c>
      <c r="U91" s="201">
        <f t="shared" si="43"/>
        <v>-38.872997783241566</v>
      </c>
      <c r="V91" s="198">
        <f t="shared" si="50"/>
        <v>184.57433443653463</v>
      </c>
      <c r="W91" s="78">
        <f t="shared" si="51"/>
        <v>188.71133541711401</v>
      </c>
      <c r="X91" s="203">
        <f t="shared" si="44"/>
        <v>67.429147222382042</v>
      </c>
      <c r="Y91" s="204">
        <f t="shared" si="45"/>
        <v>-38.872997783241566</v>
      </c>
      <c r="AB91" s="188"/>
      <c r="AC91" s="188"/>
    </row>
    <row r="92" spans="1:29" s="230" customFormat="1">
      <c r="A92" s="248">
        <v>809</v>
      </c>
      <c r="B92" s="173">
        <v>26208</v>
      </c>
      <c r="C92" s="171"/>
      <c r="D92" s="173" t="s">
        <v>205</v>
      </c>
      <c r="E92" s="173" t="s">
        <v>116</v>
      </c>
      <c r="F92" s="174" t="s">
        <v>116</v>
      </c>
      <c r="G92" s="175">
        <f t="shared" si="58"/>
        <v>1.0249999999999999</v>
      </c>
      <c r="H92" s="176" t="str">
        <f t="shared" si="56"/>
        <v>UNAV</v>
      </c>
      <c r="I92" s="199">
        <f t="shared" si="57"/>
        <v>-1.5728481867358514E-2</v>
      </c>
      <c r="J92" s="200">
        <f t="shared" ref="J92:J123" si="59">O92+T92</f>
        <v>-1.7736111111153152E-2</v>
      </c>
      <c r="K92" s="201">
        <f t="shared" ref="K92:K123" si="60">I92-J92</f>
        <v>2.0076292437946376E-3</v>
      </c>
      <c r="L92" s="78">
        <f t="shared" si="46"/>
        <v>354.87629915526747</v>
      </c>
      <c r="M92" s="195">
        <f t="shared" si="47"/>
        <v>327.98946875077741</v>
      </c>
      <c r="N92" s="78">
        <f t="shared" si="52"/>
        <v>0</v>
      </c>
      <c r="O92" s="200">
        <f t="shared" si="53"/>
        <v>0</v>
      </c>
      <c r="P92" s="201">
        <f t="shared" si="54"/>
        <v>0</v>
      </c>
      <c r="Q92" s="78">
        <f t="shared" si="48"/>
        <v>170.31769320060022</v>
      </c>
      <c r="R92" s="196">
        <f t="shared" si="49"/>
        <v>139.29586944477461</v>
      </c>
      <c r="S92" s="202">
        <f t="shared" ref="S92:S123" si="61">I92-N92</f>
        <v>-1.5728481867358514E-2</v>
      </c>
      <c r="T92" s="200">
        <f t="shared" ref="T92:T123" si="62">IF(LEFT(B92,1)="1",VLOOKUP(B92,Cigsch,2,FALSE)/1000,VLOOKUP(B92,Cigsch,2,FALSE)/1000*-1)*POLLHOURSFLOWED</f>
        <v>-1.7736111111153152E-2</v>
      </c>
      <c r="U92" s="201">
        <f t="shared" ref="U92:U123" si="63">S92-T92</f>
        <v>2.0076292437946376E-3</v>
      </c>
      <c r="V92" s="198">
        <f t="shared" si="50"/>
        <v>184.55860595466726</v>
      </c>
      <c r="W92" s="78">
        <f t="shared" si="51"/>
        <v>188.69359930600285</v>
      </c>
      <c r="X92" s="203">
        <f t="shared" ref="X92:X123" si="64">S92-Y92</f>
        <v>-1.5728481867358514E-2</v>
      </c>
      <c r="Y92" s="204">
        <f t="shared" ref="Y92:Y123" si="65">IF(F92="OBA",I92-J92,0)</f>
        <v>0</v>
      </c>
      <c r="AB92" s="231"/>
      <c r="AC92" s="231"/>
    </row>
    <row r="93" spans="1:29">
      <c r="A93" s="248">
        <v>809</v>
      </c>
      <c r="B93" s="173">
        <v>26049</v>
      </c>
      <c r="C93" s="171">
        <v>3523</v>
      </c>
      <c r="D93" s="173" t="s">
        <v>206</v>
      </c>
      <c r="E93" s="173" t="s">
        <v>149</v>
      </c>
      <c r="F93" s="174" t="s">
        <v>149</v>
      </c>
      <c r="G93" s="175">
        <f t="shared" si="58"/>
        <v>1.0249999999999999</v>
      </c>
      <c r="H93" s="176" t="str">
        <f t="shared" si="56"/>
        <v xml:space="preserve">    </v>
      </c>
      <c r="I93" s="199">
        <f t="shared" si="57"/>
        <v>0</v>
      </c>
      <c r="J93" s="200">
        <f t="shared" si="59"/>
        <v>0</v>
      </c>
      <c r="K93" s="201">
        <f t="shared" si="60"/>
        <v>0</v>
      </c>
      <c r="L93" s="78">
        <f t="shared" ref="L93:L124" si="66">L92+I93</f>
        <v>354.87629915526747</v>
      </c>
      <c r="M93" s="195">
        <f t="shared" ref="M93:M124" si="67">M92+J93</f>
        <v>327.98946875077741</v>
      </c>
      <c r="N93" s="78">
        <f t="shared" si="52"/>
        <v>0</v>
      </c>
      <c r="O93" s="200">
        <f t="shared" si="53"/>
        <v>0</v>
      </c>
      <c r="P93" s="201">
        <f t="shared" si="54"/>
        <v>0</v>
      </c>
      <c r="Q93" s="78">
        <f t="shared" ref="Q93:Q124" si="68">Q92+N93</f>
        <v>170.31769320060022</v>
      </c>
      <c r="R93" s="196">
        <f t="shared" ref="R93:R124" si="69">R92+O93</f>
        <v>139.29586944477461</v>
      </c>
      <c r="S93" s="202">
        <f t="shared" si="61"/>
        <v>0</v>
      </c>
      <c r="T93" s="200">
        <f t="shared" si="62"/>
        <v>0</v>
      </c>
      <c r="U93" s="201">
        <f t="shared" si="63"/>
        <v>0</v>
      </c>
      <c r="V93" s="198">
        <f t="shared" ref="V93:V124" si="70">V92+S93</f>
        <v>184.55860595466726</v>
      </c>
      <c r="W93" s="78">
        <f t="shared" ref="W93:W124" si="71">W92+T93</f>
        <v>188.69359930600285</v>
      </c>
      <c r="X93" s="203">
        <f t="shared" si="64"/>
        <v>0</v>
      </c>
      <c r="Y93" s="204">
        <f t="shared" si="65"/>
        <v>0</v>
      </c>
      <c r="AB93" s="188"/>
      <c r="AC93" s="188"/>
    </row>
    <row r="94" spans="1:29">
      <c r="A94" s="248">
        <v>809</v>
      </c>
      <c r="B94" s="173">
        <v>26061</v>
      </c>
      <c r="C94" s="171">
        <v>1038</v>
      </c>
      <c r="D94" s="173" t="s">
        <v>207</v>
      </c>
      <c r="E94" s="173" t="s">
        <v>149</v>
      </c>
      <c r="F94" s="174" t="s">
        <v>149</v>
      </c>
      <c r="G94" s="175">
        <f t="shared" si="58"/>
        <v>1.0249999999999999</v>
      </c>
      <c r="H94" s="176" t="str">
        <f t="shared" si="56"/>
        <v>UNAV</v>
      </c>
      <c r="I94" s="199">
        <f t="shared" si="57"/>
        <v>-3.7748356481660431E-2</v>
      </c>
      <c r="J94" s="200">
        <f t="shared" si="59"/>
        <v>-4.2566666666767561E-2</v>
      </c>
      <c r="K94" s="201">
        <f t="shared" si="60"/>
        <v>4.8183101851071303E-3</v>
      </c>
      <c r="L94" s="78">
        <f t="shared" si="66"/>
        <v>354.83855079878583</v>
      </c>
      <c r="M94" s="195">
        <f t="shared" si="67"/>
        <v>327.94690208411066</v>
      </c>
      <c r="N94" s="78">
        <f t="shared" si="52"/>
        <v>-3.7748356481660431E-2</v>
      </c>
      <c r="O94" s="200">
        <f t="shared" si="53"/>
        <v>-4.2566666666767561E-2</v>
      </c>
      <c r="P94" s="201">
        <f t="shared" si="54"/>
        <v>4.8183101851071303E-3</v>
      </c>
      <c r="Q94" s="78">
        <f t="shared" si="68"/>
        <v>170.27994484411855</v>
      </c>
      <c r="R94" s="196">
        <f t="shared" si="69"/>
        <v>139.25330277810784</v>
      </c>
      <c r="S94" s="202">
        <f t="shared" si="61"/>
        <v>0</v>
      </c>
      <c r="T94" s="200">
        <f t="shared" si="62"/>
        <v>0</v>
      </c>
      <c r="U94" s="201">
        <f t="shared" si="63"/>
        <v>0</v>
      </c>
      <c r="V94" s="198">
        <f t="shared" si="70"/>
        <v>184.55860595466726</v>
      </c>
      <c r="W94" s="78">
        <f t="shared" si="71"/>
        <v>188.69359930600285</v>
      </c>
      <c r="X94" s="203">
        <f t="shared" si="64"/>
        <v>0</v>
      </c>
      <c r="Y94" s="204">
        <f t="shared" si="65"/>
        <v>0</v>
      </c>
      <c r="AB94" s="188"/>
      <c r="AC94" s="188"/>
    </row>
    <row r="95" spans="1:29">
      <c r="A95" s="248">
        <v>809</v>
      </c>
      <c r="B95" s="173">
        <v>26023</v>
      </c>
      <c r="C95" s="171"/>
      <c r="D95" s="173" t="s">
        <v>208</v>
      </c>
      <c r="E95" s="173" t="s">
        <v>116</v>
      </c>
      <c r="F95" s="174" t="s">
        <v>116</v>
      </c>
      <c r="G95" s="175">
        <f t="shared" si="58"/>
        <v>1.0229999999999999</v>
      </c>
      <c r="H95" s="176" t="str">
        <f t="shared" si="56"/>
        <v xml:space="preserve">    </v>
      </c>
      <c r="I95" s="199">
        <f t="shared" si="57"/>
        <v>-7.2003215624999992</v>
      </c>
      <c r="J95" s="200">
        <f t="shared" si="59"/>
        <v>-8.868055555576575</v>
      </c>
      <c r="K95" s="201">
        <f t="shared" si="60"/>
        <v>1.6677339930765758</v>
      </c>
      <c r="L95" s="78">
        <f t="shared" si="66"/>
        <v>347.63822923628584</v>
      </c>
      <c r="M95" s="195">
        <f t="shared" si="67"/>
        <v>319.07884652853409</v>
      </c>
      <c r="N95" s="78">
        <f t="shared" si="52"/>
        <v>0</v>
      </c>
      <c r="O95" s="200">
        <f t="shared" si="53"/>
        <v>0</v>
      </c>
      <c r="P95" s="201">
        <f t="shared" si="54"/>
        <v>0</v>
      </c>
      <c r="Q95" s="78">
        <f t="shared" si="68"/>
        <v>170.27994484411855</v>
      </c>
      <c r="R95" s="196">
        <f t="shared" si="69"/>
        <v>139.25330277810784</v>
      </c>
      <c r="S95" s="202">
        <f t="shared" si="61"/>
        <v>-7.2003215624999992</v>
      </c>
      <c r="T95" s="200">
        <f t="shared" si="62"/>
        <v>-8.868055555576575</v>
      </c>
      <c r="U95" s="201">
        <f t="shared" si="63"/>
        <v>1.6677339930765758</v>
      </c>
      <c r="V95" s="198">
        <f t="shared" si="70"/>
        <v>177.35828439216726</v>
      </c>
      <c r="W95" s="78">
        <f t="shared" si="71"/>
        <v>179.82554375042628</v>
      </c>
      <c r="X95" s="203">
        <f t="shared" si="64"/>
        <v>-7.2003215624999992</v>
      </c>
      <c r="Y95" s="204">
        <f t="shared" si="65"/>
        <v>0</v>
      </c>
      <c r="AB95" s="188"/>
      <c r="AC95" s="188"/>
    </row>
    <row r="96" spans="1:29">
      <c r="A96" s="248">
        <v>809</v>
      </c>
      <c r="B96" s="173">
        <v>26209</v>
      </c>
      <c r="C96" s="171"/>
      <c r="D96" s="173" t="s">
        <v>209</v>
      </c>
      <c r="E96" s="173" t="s">
        <v>116</v>
      </c>
      <c r="F96" s="174" t="s">
        <v>116</v>
      </c>
      <c r="G96" s="175">
        <f t="shared" si="58"/>
        <v>1.0369999999999999</v>
      </c>
      <c r="H96" s="176" t="str">
        <f t="shared" si="56"/>
        <v>UNAV</v>
      </c>
      <c r="I96" s="199">
        <f t="shared" si="57"/>
        <v>0</v>
      </c>
      <c r="J96" s="200">
        <f t="shared" si="59"/>
        <v>0</v>
      </c>
      <c r="K96" s="201">
        <f t="shared" si="60"/>
        <v>0</v>
      </c>
      <c r="L96" s="78">
        <f t="shared" si="66"/>
        <v>347.63822923628584</v>
      </c>
      <c r="M96" s="195">
        <f t="shared" si="67"/>
        <v>319.07884652853409</v>
      </c>
      <c r="N96" s="78">
        <f t="shared" ref="N96:N127" si="72">IF(F96="CIG",O96,IF(F96="OBA",O96,IF(F96="HPL",I96-T96,IF(ISERR((O96/$J96)*$I96),0,IF(F96="TP",(O96/$J96)*$I96)))))</f>
        <v>0</v>
      </c>
      <c r="O96" s="200">
        <f t="shared" ref="O96:O127" si="73">IF(LEFT(B96,1)="1",VLOOKUP(B96,Cigsch,3,FALSE)/1000,VLOOKUP(B96,Cigsch,3,FALSE)/1000*-1)*POLLHOURSFLOWED</f>
        <v>0</v>
      </c>
      <c r="P96" s="201">
        <f t="shared" ref="P96:P127" si="74">N96-O96</f>
        <v>0</v>
      </c>
      <c r="Q96" s="78">
        <f t="shared" si="68"/>
        <v>170.27994484411855</v>
      </c>
      <c r="R96" s="196">
        <f t="shared" si="69"/>
        <v>139.25330277810784</v>
      </c>
      <c r="S96" s="202">
        <f t="shared" si="61"/>
        <v>0</v>
      </c>
      <c r="T96" s="200">
        <f t="shared" si="62"/>
        <v>0</v>
      </c>
      <c r="U96" s="201">
        <f t="shared" si="63"/>
        <v>0</v>
      </c>
      <c r="V96" s="198">
        <f t="shared" si="70"/>
        <v>177.35828439216726</v>
      </c>
      <c r="W96" s="78">
        <f t="shared" si="71"/>
        <v>179.82554375042628</v>
      </c>
      <c r="X96" s="203">
        <f t="shared" si="64"/>
        <v>0</v>
      </c>
      <c r="Y96" s="204">
        <f t="shared" si="65"/>
        <v>0</v>
      </c>
      <c r="AB96" s="188"/>
      <c r="AC96" s="188"/>
    </row>
    <row r="97" spans="1:29" s="230" customFormat="1">
      <c r="A97" s="268">
        <v>809</v>
      </c>
      <c r="B97" s="206">
        <v>16247</v>
      </c>
      <c r="C97" s="205">
        <v>7061</v>
      </c>
      <c r="D97" s="206" t="s">
        <v>210</v>
      </c>
      <c r="E97" s="206" t="s">
        <v>118</v>
      </c>
      <c r="F97" s="207" t="s">
        <v>142</v>
      </c>
      <c r="G97" s="208">
        <f t="shared" si="58"/>
        <v>1.214</v>
      </c>
      <c r="H97" s="176" t="str">
        <f t="shared" ref="H97:H128" si="75">VLOOKUP($B97,spotdata,3,FALSE)</f>
        <v xml:space="preserve">    </v>
      </c>
      <c r="I97" s="199">
        <f t="shared" ref="I97:I128" si="76">IF(VLOOKUP($B97,errordata,3,FALSE)="UNAV",J97*POLLHOURSFLOWED,IF(LEFT(B97,1)="1",VLOOKUP($B97,totalvolume,2,FALSE)*G97/1000,VLOOKUP($B97,totalvolume,2,FALSE)*G97/1000*-1))</f>
        <v>0</v>
      </c>
      <c r="J97" s="200">
        <f t="shared" si="59"/>
        <v>10.795970833358922</v>
      </c>
      <c r="K97" s="201">
        <f t="shared" si="60"/>
        <v>-10.795970833358922</v>
      </c>
      <c r="L97" s="78">
        <f t="shared" si="66"/>
        <v>347.63822923628584</v>
      </c>
      <c r="M97" s="195">
        <f t="shared" si="67"/>
        <v>329.87481736189301</v>
      </c>
      <c r="N97" s="78">
        <f t="shared" si="72"/>
        <v>0</v>
      </c>
      <c r="O97" s="200">
        <f t="shared" si="73"/>
        <v>0</v>
      </c>
      <c r="P97" s="201">
        <f t="shared" si="74"/>
        <v>0</v>
      </c>
      <c r="Q97" s="78">
        <f t="shared" si="68"/>
        <v>170.27994484411855</v>
      </c>
      <c r="R97" s="196">
        <f t="shared" si="69"/>
        <v>139.25330277810784</v>
      </c>
      <c r="S97" s="202">
        <f t="shared" si="61"/>
        <v>0</v>
      </c>
      <c r="T97" s="200">
        <f t="shared" si="62"/>
        <v>10.795970833358922</v>
      </c>
      <c r="U97" s="201">
        <f t="shared" si="63"/>
        <v>-10.795970833358922</v>
      </c>
      <c r="V97" s="198">
        <f t="shared" si="70"/>
        <v>177.35828439216726</v>
      </c>
      <c r="W97" s="78">
        <f t="shared" si="71"/>
        <v>190.6215145837852</v>
      </c>
      <c r="X97" s="203">
        <f t="shared" si="64"/>
        <v>10.795970833358922</v>
      </c>
      <c r="Y97" s="204">
        <f t="shared" si="65"/>
        <v>-10.795970833358922</v>
      </c>
      <c r="AB97" s="231"/>
      <c r="AC97" s="231"/>
    </row>
    <row r="98" spans="1:29" ht="13.8" thickBot="1">
      <c r="A98" s="269">
        <v>809</v>
      </c>
      <c r="B98" s="234">
        <v>26042</v>
      </c>
      <c r="C98" s="233"/>
      <c r="D98" s="234" t="s">
        <v>211</v>
      </c>
      <c r="E98" s="234" t="s">
        <v>116</v>
      </c>
      <c r="F98" s="235" t="s">
        <v>116</v>
      </c>
      <c r="G98" s="236">
        <f t="shared" si="58"/>
        <v>1.0249999999999999</v>
      </c>
      <c r="H98" s="237" t="str">
        <f t="shared" si="75"/>
        <v>UNAV</v>
      </c>
      <c r="I98" s="238">
        <f t="shared" si="76"/>
        <v>-7.8642409336792569E-3</v>
      </c>
      <c r="J98" s="239">
        <f t="shared" si="59"/>
        <v>-8.8680555555765758E-3</v>
      </c>
      <c r="K98" s="240">
        <f t="shared" si="60"/>
        <v>1.0038146218973188E-3</v>
      </c>
      <c r="L98" s="241">
        <f t="shared" si="66"/>
        <v>347.63036499535218</v>
      </c>
      <c r="M98" s="242">
        <f t="shared" si="67"/>
        <v>329.86594930633743</v>
      </c>
      <c r="N98" s="241">
        <f t="shared" si="72"/>
        <v>0</v>
      </c>
      <c r="O98" s="239">
        <f t="shared" si="73"/>
        <v>0</v>
      </c>
      <c r="P98" s="240">
        <f t="shared" si="74"/>
        <v>0</v>
      </c>
      <c r="Q98" s="241">
        <f t="shared" si="68"/>
        <v>170.27994484411855</v>
      </c>
      <c r="R98" s="243">
        <f t="shared" si="69"/>
        <v>139.25330277810784</v>
      </c>
      <c r="S98" s="244">
        <f t="shared" si="61"/>
        <v>-7.8642409336792569E-3</v>
      </c>
      <c r="T98" s="239">
        <f t="shared" si="62"/>
        <v>-8.8680555555765758E-3</v>
      </c>
      <c r="U98" s="240">
        <f t="shared" si="63"/>
        <v>1.0038146218973188E-3</v>
      </c>
      <c r="V98" s="245">
        <f t="shared" si="70"/>
        <v>177.35042015123358</v>
      </c>
      <c r="W98" s="241">
        <f t="shared" si="71"/>
        <v>190.61264652822962</v>
      </c>
      <c r="X98" s="246">
        <f t="shared" si="64"/>
        <v>-7.8642409336792569E-3</v>
      </c>
      <c r="Y98" s="247">
        <f t="shared" si="65"/>
        <v>0</v>
      </c>
      <c r="AB98" s="188"/>
      <c r="AC98" s="188"/>
    </row>
    <row r="99" spans="1:29">
      <c r="A99" s="268">
        <v>810</v>
      </c>
      <c r="B99" s="206">
        <v>26129</v>
      </c>
      <c r="C99" s="205">
        <v>1432</v>
      </c>
      <c r="D99" s="206" t="s">
        <v>212</v>
      </c>
      <c r="E99" s="206" t="s">
        <v>149</v>
      </c>
      <c r="F99" s="207" t="s">
        <v>149</v>
      </c>
      <c r="G99" s="208">
        <f t="shared" si="58"/>
        <v>1.0249999999999999</v>
      </c>
      <c r="H99" s="176" t="str">
        <f t="shared" si="75"/>
        <v xml:space="preserve">    </v>
      </c>
      <c r="I99" s="199">
        <f t="shared" si="76"/>
        <v>-51.722064569999993</v>
      </c>
      <c r="J99" s="200">
        <f t="shared" si="59"/>
        <v>-48.568566666781784</v>
      </c>
      <c r="K99" s="201">
        <f t="shared" si="60"/>
        <v>-3.1534979032182093</v>
      </c>
      <c r="L99" s="78">
        <f t="shared" si="66"/>
        <v>295.90830042535219</v>
      </c>
      <c r="M99" s="195">
        <f t="shared" si="67"/>
        <v>281.29738263955562</v>
      </c>
      <c r="N99" s="78">
        <f t="shared" si="72"/>
        <v>-3.1534979032182093</v>
      </c>
      <c r="O99" s="200">
        <f t="shared" si="73"/>
        <v>0</v>
      </c>
      <c r="P99" s="201">
        <f t="shared" si="74"/>
        <v>-3.1534979032182093</v>
      </c>
      <c r="Q99" s="78">
        <f t="shared" si="68"/>
        <v>167.12644694090034</v>
      </c>
      <c r="R99" s="196">
        <f t="shared" si="69"/>
        <v>139.25330277810784</v>
      </c>
      <c r="S99" s="202">
        <f t="shared" si="61"/>
        <v>-48.568566666781784</v>
      </c>
      <c r="T99" s="200">
        <f t="shared" si="62"/>
        <v>-48.568566666781784</v>
      </c>
      <c r="U99" s="201">
        <f t="shared" si="63"/>
        <v>0</v>
      </c>
      <c r="V99" s="198">
        <f t="shared" si="70"/>
        <v>128.7818534844518</v>
      </c>
      <c r="W99" s="78">
        <f t="shared" si="71"/>
        <v>142.04407986144784</v>
      </c>
      <c r="X99" s="203">
        <f t="shared" si="64"/>
        <v>-48.568566666781784</v>
      </c>
      <c r="Y99" s="204">
        <f t="shared" si="65"/>
        <v>0</v>
      </c>
      <c r="AB99" s="188"/>
      <c r="AC99" s="188"/>
    </row>
    <row r="100" spans="1:29">
      <c r="A100" s="275">
        <v>810</v>
      </c>
      <c r="B100" s="276">
        <v>16366</v>
      </c>
      <c r="C100" s="277"/>
      <c r="D100" s="276" t="s">
        <v>213</v>
      </c>
      <c r="E100" s="276" t="s">
        <v>116</v>
      </c>
      <c r="F100" s="278" t="s">
        <v>156</v>
      </c>
      <c r="G100" s="256">
        <f t="shared" si="58"/>
        <v>1.03</v>
      </c>
      <c r="H100" s="257" t="str">
        <f t="shared" si="75"/>
        <v xml:space="preserve">    </v>
      </c>
      <c r="I100" s="258">
        <f t="shared" si="76"/>
        <v>1.1747759759999998</v>
      </c>
      <c r="J100" s="259">
        <f t="shared" si="59"/>
        <v>2.2170138888941437</v>
      </c>
      <c r="K100" s="279">
        <f t="shared" si="60"/>
        <v>-1.0422379128941439</v>
      </c>
      <c r="L100" s="280">
        <f t="shared" si="66"/>
        <v>297.08307640135217</v>
      </c>
      <c r="M100" s="281">
        <f t="shared" si="67"/>
        <v>283.51439652844977</v>
      </c>
      <c r="N100" s="280">
        <f t="shared" si="72"/>
        <v>0</v>
      </c>
      <c r="O100" s="282">
        <f t="shared" si="73"/>
        <v>0</v>
      </c>
      <c r="P100" s="279">
        <f t="shared" si="74"/>
        <v>0</v>
      </c>
      <c r="Q100" s="280">
        <f t="shared" si="68"/>
        <v>167.12644694090034</v>
      </c>
      <c r="R100" s="283">
        <f t="shared" si="69"/>
        <v>139.25330277810784</v>
      </c>
      <c r="S100" s="284">
        <f t="shared" si="61"/>
        <v>1.1747759759999998</v>
      </c>
      <c r="T100" s="282">
        <f t="shared" si="62"/>
        <v>2.2170138888941437</v>
      </c>
      <c r="U100" s="279">
        <f t="shared" si="63"/>
        <v>-1.0422379128941439</v>
      </c>
      <c r="V100" s="285">
        <f t="shared" si="70"/>
        <v>129.95662946045181</v>
      </c>
      <c r="W100" s="280">
        <f t="shared" si="71"/>
        <v>144.26109375034198</v>
      </c>
      <c r="X100" s="286">
        <f t="shared" si="64"/>
        <v>1.1747759759999998</v>
      </c>
      <c r="Y100" s="287">
        <f t="shared" si="65"/>
        <v>0</v>
      </c>
      <c r="AB100" s="188"/>
      <c r="AC100" s="188"/>
    </row>
    <row r="101" spans="1:29">
      <c r="A101" s="248">
        <v>811</v>
      </c>
      <c r="B101" s="173">
        <v>26022</v>
      </c>
      <c r="C101" s="171"/>
      <c r="D101" s="173" t="s">
        <v>214</v>
      </c>
      <c r="E101" s="173" t="s">
        <v>149</v>
      </c>
      <c r="F101" s="174" t="s">
        <v>116</v>
      </c>
      <c r="G101" s="175">
        <f t="shared" si="58"/>
        <v>1.0249999999999999</v>
      </c>
      <c r="H101" s="176" t="str">
        <f t="shared" si="75"/>
        <v>UNAV</v>
      </c>
      <c r="I101" s="199">
        <f t="shared" si="76"/>
        <v>0</v>
      </c>
      <c r="J101" s="200">
        <f t="shared" si="59"/>
        <v>0</v>
      </c>
      <c r="K101" s="201">
        <f t="shared" si="60"/>
        <v>0</v>
      </c>
      <c r="L101" s="78">
        <f t="shared" si="66"/>
        <v>297.08307640135217</v>
      </c>
      <c r="M101" s="195">
        <f t="shared" si="67"/>
        <v>283.51439652844977</v>
      </c>
      <c r="N101" s="78">
        <f t="shared" si="72"/>
        <v>0</v>
      </c>
      <c r="O101" s="200">
        <f t="shared" si="73"/>
        <v>0</v>
      </c>
      <c r="P101" s="201">
        <f t="shared" si="74"/>
        <v>0</v>
      </c>
      <c r="Q101" s="78">
        <f t="shared" si="68"/>
        <v>167.12644694090034</v>
      </c>
      <c r="R101" s="196">
        <f t="shared" si="69"/>
        <v>139.25330277810784</v>
      </c>
      <c r="S101" s="202">
        <f t="shared" si="61"/>
        <v>0</v>
      </c>
      <c r="T101" s="200">
        <f t="shared" si="62"/>
        <v>0</v>
      </c>
      <c r="U101" s="201">
        <f t="shared" si="63"/>
        <v>0</v>
      </c>
      <c r="V101" s="198">
        <f t="shared" si="70"/>
        <v>129.95662946045181</v>
      </c>
      <c r="W101" s="78">
        <f t="shared" si="71"/>
        <v>144.26109375034198</v>
      </c>
      <c r="X101" s="203">
        <f t="shared" si="64"/>
        <v>0</v>
      </c>
      <c r="Y101" s="204">
        <f t="shared" si="65"/>
        <v>0</v>
      </c>
      <c r="AB101" s="188"/>
      <c r="AC101" s="188"/>
    </row>
    <row r="102" spans="1:29" ht="12.75" customHeight="1">
      <c r="A102" s="248">
        <v>811</v>
      </c>
      <c r="B102" s="173">
        <v>16087</v>
      </c>
      <c r="C102" s="171"/>
      <c r="D102" s="173" t="s">
        <v>215</v>
      </c>
      <c r="E102" s="173" t="s">
        <v>118</v>
      </c>
      <c r="F102" s="174" t="s">
        <v>116</v>
      </c>
      <c r="G102" s="175">
        <f t="shared" si="58"/>
        <v>1.028</v>
      </c>
      <c r="H102" s="176" t="str">
        <f t="shared" si="75"/>
        <v>UNAV</v>
      </c>
      <c r="I102" s="199">
        <f t="shared" si="76"/>
        <v>0</v>
      </c>
      <c r="J102" s="200">
        <f t="shared" si="59"/>
        <v>0</v>
      </c>
      <c r="K102" s="201">
        <f t="shared" si="60"/>
        <v>0</v>
      </c>
      <c r="L102" s="78">
        <f t="shared" si="66"/>
        <v>297.08307640135217</v>
      </c>
      <c r="M102" s="195">
        <f t="shared" si="67"/>
        <v>283.51439652844977</v>
      </c>
      <c r="N102" s="78">
        <f t="shared" si="72"/>
        <v>0</v>
      </c>
      <c r="O102" s="200">
        <f t="shared" si="73"/>
        <v>0</v>
      </c>
      <c r="P102" s="201">
        <f t="shared" si="74"/>
        <v>0</v>
      </c>
      <c r="Q102" s="78">
        <f t="shared" si="68"/>
        <v>167.12644694090034</v>
      </c>
      <c r="R102" s="196">
        <f t="shared" si="69"/>
        <v>139.25330277810784</v>
      </c>
      <c r="S102" s="202">
        <f t="shared" si="61"/>
        <v>0</v>
      </c>
      <c r="T102" s="200">
        <f t="shared" si="62"/>
        <v>0</v>
      </c>
      <c r="U102" s="201">
        <f t="shared" si="63"/>
        <v>0</v>
      </c>
      <c r="V102" s="198">
        <f t="shared" si="70"/>
        <v>129.95662946045181</v>
      </c>
      <c r="W102" s="78">
        <f t="shared" si="71"/>
        <v>144.26109375034198</v>
      </c>
      <c r="X102" s="203">
        <f t="shared" si="64"/>
        <v>0</v>
      </c>
      <c r="Y102" s="204">
        <f t="shared" si="65"/>
        <v>0</v>
      </c>
      <c r="AB102" s="188"/>
      <c r="AC102" s="188"/>
    </row>
    <row r="103" spans="1:29" ht="12.75" customHeight="1">
      <c r="A103" s="288">
        <v>811</v>
      </c>
      <c r="B103" s="209">
        <v>26008</v>
      </c>
      <c r="C103" s="171"/>
      <c r="D103" s="173" t="s">
        <v>216</v>
      </c>
      <c r="E103" s="173" t="s">
        <v>116</v>
      </c>
      <c r="F103" s="174" t="s">
        <v>116</v>
      </c>
      <c r="G103" s="175">
        <f t="shared" si="58"/>
        <v>1.024</v>
      </c>
      <c r="H103" s="176" t="str">
        <f t="shared" si="75"/>
        <v xml:space="preserve">    </v>
      </c>
      <c r="I103" s="199">
        <f t="shared" si="76"/>
        <v>-4.4450349977599997</v>
      </c>
      <c r="J103" s="200">
        <f t="shared" si="59"/>
        <v>-4.4340277777882875</v>
      </c>
      <c r="K103" s="201">
        <f t="shared" si="60"/>
        <v>-1.1007219971712168E-2</v>
      </c>
      <c r="L103" s="78">
        <f t="shared" si="66"/>
        <v>292.63804140359218</v>
      </c>
      <c r="M103" s="195">
        <f t="shared" si="67"/>
        <v>279.08036875066148</v>
      </c>
      <c r="N103" s="78">
        <f t="shared" si="72"/>
        <v>0</v>
      </c>
      <c r="O103" s="200">
        <f t="shared" si="73"/>
        <v>0</v>
      </c>
      <c r="P103" s="201">
        <f t="shared" si="74"/>
        <v>0</v>
      </c>
      <c r="Q103" s="78">
        <f t="shared" si="68"/>
        <v>167.12644694090034</v>
      </c>
      <c r="R103" s="196">
        <f t="shared" si="69"/>
        <v>139.25330277810784</v>
      </c>
      <c r="S103" s="202">
        <f t="shared" si="61"/>
        <v>-4.4450349977599997</v>
      </c>
      <c r="T103" s="200">
        <f t="shared" si="62"/>
        <v>-4.4340277777882875</v>
      </c>
      <c r="U103" s="201">
        <f t="shared" si="63"/>
        <v>-1.1007219971712168E-2</v>
      </c>
      <c r="V103" s="198">
        <f t="shared" si="70"/>
        <v>125.5115944626918</v>
      </c>
      <c r="W103" s="78">
        <f t="shared" si="71"/>
        <v>139.8270659725537</v>
      </c>
      <c r="X103" s="203">
        <f t="shared" si="64"/>
        <v>-4.4450349977599997</v>
      </c>
      <c r="Y103" s="204">
        <f t="shared" si="65"/>
        <v>0</v>
      </c>
      <c r="AB103" s="188"/>
      <c r="AC103" s="188"/>
    </row>
    <row r="104" spans="1:29">
      <c r="A104" s="248">
        <v>811</v>
      </c>
      <c r="B104" s="173">
        <v>16321</v>
      </c>
      <c r="C104" s="171">
        <v>6790</v>
      </c>
      <c r="D104" s="173" t="s">
        <v>217</v>
      </c>
      <c r="E104" s="173" t="s">
        <v>149</v>
      </c>
      <c r="F104" s="174" t="s">
        <v>149</v>
      </c>
      <c r="G104" s="175">
        <f t="shared" si="58"/>
        <v>1.0249999999999999</v>
      </c>
      <c r="H104" s="176" t="str">
        <f t="shared" si="75"/>
        <v>UNAV</v>
      </c>
      <c r="I104" s="199">
        <f t="shared" si="76"/>
        <v>0.14784772955316999</v>
      </c>
      <c r="J104" s="200">
        <f t="shared" si="59"/>
        <v>0.1667194444448396</v>
      </c>
      <c r="K104" s="201">
        <f t="shared" si="60"/>
        <v>-1.8871714891669611E-2</v>
      </c>
      <c r="L104" s="78">
        <f t="shared" si="66"/>
        <v>292.78588913314536</v>
      </c>
      <c r="M104" s="195">
        <f t="shared" si="67"/>
        <v>279.2470881951063</v>
      </c>
      <c r="N104" s="78">
        <f t="shared" si="72"/>
        <v>0.14784772955316999</v>
      </c>
      <c r="O104" s="200">
        <f t="shared" si="73"/>
        <v>0.1667194444448396</v>
      </c>
      <c r="P104" s="201">
        <f t="shared" si="74"/>
        <v>-1.8871714891669611E-2</v>
      </c>
      <c r="Q104" s="78">
        <f t="shared" si="68"/>
        <v>167.27429467045351</v>
      </c>
      <c r="R104" s="196">
        <f t="shared" si="69"/>
        <v>139.42002222255269</v>
      </c>
      <c r="S104" s="202">
        <f t="shared" si="61"/>
        <v>0</v>
      </c>
      <c r="T104" s="200">
        <f t="shared" si="62"/>
        <v>0</v>
      </c>
      <c r="U104" s="201">
        <f t="shared" si="63"/>
        <v>0</v>
      </c>
      <c r="V104" s="198">
        <f t="shared" si="70"/>
        <v>125.5115944626918</v>
      </c>
      <c r="W104" s="78">
        <f t="shared" si="71"/>
        <v>139.8270659725537</v>
      </c>
      <c r="X104" s="203">
        <f t="shared" si="64"/>
        <v>0</v>
      </c>
      <c r="Y104" s="204">
        <f t="shared" si="65"/>
        <v>0</v>
      </c>
      <c r="AB104" s="188"/>
      <c r="AC104" s="188"/>
    </row>
    <row r="105" spans="1:29">
      <c r="A105" s="248">
        <v>811</v>
      </c>
      <c r="B105" s="173">
        <v>16322</v>
      </c>
      <c r="C105" s="171">
        <v>6759</v>
      </c>
      <c r="D105" s="173" t="s">
        <v>218</v>
      </c>
      <c r="E105" s="173" t="s">
        <v>149</v>
      </c>
      <c r="F105" s="174" t="s">
        <v>149</v>
      </c>
      <c r="G105" s="175">
        <f t="shared" si="58"/>
        <v>1.0249999999999999</v>
      </c>
      <c r="H105" s="176" t="str">
        <f t="shared" si="75"/>
        <v>UNAV</v>
      </c>
      <c r="I105" s="199">
        <f t="shared" si="76"/>
        <v>0</v>
      </c>
      <c r="J105" s="200">
        <f t="shared" si="59"/>
        <v>0</v>
      </c>
      <c r="K105" s="201">
        <f t="shared" si="60"/>
        <v>0</v>
      </c>
      <c r="L105" s="78">
        <f t="shared" si="66"/>
        <v>292.78588913314536</v>
      </c>
      <c r="M105" s="195">
        <f t="shared" si="67"/>
        <v>279.2470881951063</v>
      </c>
      <c r="N105" s="78">
        <f t="shared" si="72"/>
        <v>0</v>
      </c>
      <c r="O105" s="200">
        <f t="shared" si="73"/>
        <v>0</v>
      </c>
      <c r="P105" s="201">
        <f t="shared" si="74"/>
        <v>0</v>
      </c>
      <c r="Q105" s="78">
        <f t="shared" si="68"/>
        <v>167.27429467045351</v>
      </c>
      <c r="R105" s="196">
        <f t="shared" si="69"/>
        <v>139.42002222255269</v>
      </c>
      <c r="S105" s="202">
        <f t="shared" si="61"/>
        <v>0</v>
      </c>
      <c r="T105" s="200">
        <f t="shared" si="62"/>
        <v>0</v>
      </c>
      <c r="U105" s="201">
        <f t="shared" si="63"/>
        <v>0</v>
      </c>
      <c r="V105" s="198">
        <f t="shared" si="70"/>
        <v>125.5115944626918</v>
      </c>
      <c r="W105" s="78">
        <f t="shared" si="71"/>
        <v>139.8270659725537</v>
      </c>
      <c r="X105" s="203">
        <f t="shared" si="64"/>
        <v>0</v>
      </c>
      <c r="Y105" s="204">
        <f t="shared" si="65"/>
        <v>0</v>
      </c>
      <c r="AB105" s="188"/>
      <c r="AC105" s="188"/>
    </row>
    <row r="106" spans="1:29">
      <c r="A106" s="248">
        <v>811</v>
      </c>
      <c r="B106" s="173">
        <v>26160</v>
      </c>
      <c r="C106" s="171">
        <v>3555</v>
      </c>
      <c r="D106" s="173" t="s">
        <v>219</v>
      </c>
      <c r="E106" s="173" t="s">
        <v>149</v>
      </c>
      <c r="F106" s="174" t="s">
        <v>149</v>
      </c>
      <c r="G106" s="175">
        <f t="shared" si="58"/>
        <v>1.0249999999999999</v>
      </c>
      <c r="H106" s="176" t="str">
        <f t="shared" si="75"/>
        <v xml:space="preserve">    </v>
      </c>
      <c r="I106" s="199">
        <f t="shared" si="76"/>
        <v>-0.84992857319999993</v>
      </c>
      <c r="J106" s="200">
        <f t="shared" si="59"/>
        <v>-0.8868055555576575</v>
      </c>
      <c r="K106" s="201">
        <f t="shared" si="60"/>
        <v>3.6876982357657573E-2</v>
      </c>
      <c r="L106" s="78">
        <f t="shared" si="66"/>
        <v>291.93596055994539</v>
      </c>
      <c r="M106" s="195">
        <f t="shared" si="67"/>
        <v>278.36028263954864</v>
      </c>
      <c r="N106" s="78">
        <f t="shared" si="72"/>
        <v>-0.84992857319999993</v>
      </c>
      <c r="O106" s="200">
        <f t="shared" si="73"/>
        <v>-0.8868055555576575</v>
      </c>
      <c r="P106" s="201">
        <f t="shared" si="74"/>
        <v>3.6876982357657573E-2</v>
      </c>
      <c r="Q106" s="78">
        <f t="shared" si="68"/>
        <v>166.42436609725351</v>
      </c>
      <c r="R106" s="196">
        <f t="shared" si="69"/>
        <v>138.53321666699503</v>
      </c>
      <c r="S106" s="202">
        <f t="shared" si="61"/>
        <v>0</v>
      </c>
      <c r="T106" s="200">
        <f t="shared" si="62"/>
        <v>0</v>
      </c>
      <c r="U106" s="201">
        <f t="shared" si="63"/>
        <v>0</v>
      </c>
      <c r="V106" s="198">
        <f t="shared" si="70"/>
        <v>125.5115944626918</v>
      </c>
      <c r="W106" s="78">
        <f t="shared" si="71"/>
        <v>139.8270659725537</v>
      </c>
      <c r="X106" s="203">
        <f t="shared" si="64"/>
        <v>0</v>
      </c>
      <c r="Y106" s="204">
        <f t="shared" si="65"/>
        <v>0</v>
      </c>
      <c r="AB106" s="188"/>
      <c r="AC106" s="188"/>
    </row>
    <row r="107" spans="1:29">
      <c r="A107" s="251">
        <v>811</v>
      </c>
      <c r="B107" s="252">
        <v>26011</v>
      </c>
      <c r="C107" s="253"/>
      <c r="D107" s="252" t="s">
        <v>220</v>
      </c>
      <c r="E107" s="252" t="s">
        <v>116</v>
      </c>
      <c r="F107" s="255" t="s">
        <v>116</v>
      </c>
      <c r="G107" s="256">
        <f t="shared" si="58"/>
        <v>1.0249999999999999</v>
      </c>
      <c r="H107" s="257" t="str">
        <f t="shared" si="75"/>
        <v>UNAV</v>
      </c>
      <c r="I107" s="258">
        <f t="shared" si="76"/>
        <v>-7.8642409336792569E-3</v>
      </c>
      <c r="J107" s="259">
        <f t="shared" si="59"/>
        <v>-8.8680555555765758E-3</v>
      </c>
      <c r="K107" s="260">
        <f t="shared" si="60"/>
        <v>1.0038146218973188E-3</v>
      </c>
      <c r="L107" s="261">
        <f t="shared" si="66"/>
        <v>291.92809631901173</v>
      </c>
      <c r="M107" s="262">
        <f t="shared" si="67"/>
        <v>278.35141458399306</v>
      </c>
      <c r="N107" s="261">
        <f t="shared" si="72"/>
        <v>0</v>
      </c>
      <c r="O107" s="259">
        <f t="shared" si="73"/>
        <v>0</v>
      </c>
      <c r="P107" s="260">
        <f t="shared" si="74"/>
        <v>0</v>
      </c>
      <c r="Q107" s="261">
        <f t="shared" si="68"/>
        <v>166.42436609725351</v>
      </c>
      <c r="R107" s="263">
        <f t="shared" si="69"/>
        <v>138.53321666699503</v>
      </c>
      <c r="S107" s="264">
        <f t="shared" si="61"/>
        <v>-7.8642409336792569E-3</v>
      </c>
      <c r="T107" s="259">
        <f t="shared" si="62"/>
        <v>-8.8680555555765758E-3</v>
      </c>
      <c r="U107" s="260">
        <f t="shared" si="63"/>
        <v>1.0038146218973188E-3</v>
      </c>
      <c r="V107" s="265">
        <f t="shared" si="70"/>
        <v>125.50373022175812</v>
      </c>
      <c r="W107" s="261">
        <f t="shared" si="71"/>
        <v>139.81819791699812</v>
      </c>
      <c r="X107" s="266">
        <f t="shared" si="64"/>
        <v>-7.8642409336792569E-3</v>
      </c>
      <c r="Y107" s="267">
        <f t="shared" si="65"/>
        <v>0</v>
      </c>
      <c r="AB107" s="188"/>
      <c r="AC107" s="188"/>
    </row>
    <row r="108" spans="1:29">
      <c r="A108" s="268">
        <v>812</v>
      </c>
      <c r="B108" s="206">
        <v>26034</v>
      </c>
      <c r="C108" s="205"/>
      <c r="D108" s="206" t="s">
        <v>221</v>
      </c>
      <c r="E108" s="206" t="s">
        <v>116</v>
      </c>
      <c r="F108" s="207" t="s">
        <v>116</v>
      </c>
      <c r="G108" s="208">
        <f t="shared" si="58"/>
        <v>1.0249999999999999</v>
      </c>
      <c r="H108" s="176" t="str">
        <f t="shared" si="75"/>
        <v>UNAV</v>
      </c>
      <c r="I108" s="199">
        <f t="shared" si="76"/>
        <v>-7.8642409336792569E-3</v>
      </c>
      <c r="J108" s="200">
        <f t="shared" si="59"/>
        <v>-8.8680555555765758E-3</v>
      </c>
      <c r="K108" s="201">
        <f t="shared" si="60"/>
        <v>1.0038146218973188E-3</v>
      </c>
      <c r="L108" s="78">
        <f t="shared" si="66"/>
        <v>291.92023207807807</v>
      </c>
      <c r="M108" s="195">
        <f t="shared" si="67"/>
        <v>278.34254652843748</v>
      </c>
      <c r="N108" s="78">
        <f t="shared" si="72"/>
        <v>0</v>
      </c>
      <c r="O108" s="200">
        <f t="shared" si="73"/>
        <v>0</v>
      </c>
      <c r="P108" s="201">
        <f t="shared" si="74"/>
        <v>0</v>
      </c>
      <c r="Q108" s="78">
        <f t="shared" si="68"/>
        <v>166.42436609725351</v>
      </c>
      <c r="R108" s="196">
        <f t="shared" si="69"/>
        <v>138.53321666699503</v>
      </c>
      <c r="S108" s="202">
        <f t="shared" si="61"/>
        <v>-7.8642409336792569E-3</v>
      </c>
      <c r="T108" s="200">
        <f t="shared" si="62"/>
        <v>-8.8680555555765758E-3</v>
      </c>
      <c r="U108" s="201">
        <f t="shared" si="63"/>
        <v>1.0038146218973188E-3</v>
      </c>
      <c r="V108" s="198">
        <f t="shared" si="70"/>
        <v>125.49586598082443</v>
      </c>
      <c r="W108" s="78">
        <f t="shared" si="71"/>
        <v>139.80932986144254</v>
      </c>
      <c r="X108" s="203">
        <f t="shared" si="64"/>
        <v>-7.8642409336792569E-3</v>
      </c>
      <c r="Y108" s="204">
        <f t="shared" si="65"/>
        <v>0</v>
      </c>
      <c r="AB108" s="188"/>
      <c r="AC108" s="188"/>
    </row>
    <row r="109" spans="1:29">
      <c r="A109" s="248">
        <v>812</v>
      </c>
      <c r="B109" s="173">
        <v>16282</v>
      </c>
      <c r="C109" s="171"/>
      <c r="D109" s="173" t="s">
        <v>222</v>
      </c>
      <c r="E109" s="173" t="s">
        <v>116</v>
      </c>
      <c r="F109" s="174" t="s">
        <v>116</v>
      </c>
      <c r="G109" s="175">
        <f t="shared" si="58"/>
        <v>1.0249999999999999</v>
      </c>
      <c r="H109" s="176" t="str">
        <f t="shared" si="75"/>
        <v>UNAV</v>
      </c>
      <c r="I109" s="199">
        <f t="shared" si="76"/>
        <v>0.78642409336792551</v>
      </c>
      <c r="J109" s="200">
        <f t="shared" si="59"/>
        <v>0.8868055555576575</v>
      </c>
      <c r="K109" s="201">
        <f t="shared" si="60"/>
        <v>-0.10038146218973198</v>
      </c>
      <c r="L109" s="78">
        <f t="shared" si="66"/>
        <v>292.70665617144601</v>
      </c>
      <c r="M109" s="195">
        <f t="shared" si="67"/>
        <v>279.22935208399514</v>
      </c>
      <c r="N109" s="78">
        <f t="shared" si="72"/>
        <v>0</v>
      </c>
      <c r="O109" s="200">
        <f t="shared" si="73"/>
        <v>0</v>
      </c>
      <c r="P109" s="201">
        <f t="shared" si="74"/>
        <v>0</v>
      </c>
      <c r="Q109" s="78">
        <f t="shared" si="68"/>
        <v>166.42436609725351</v>
      </c>
      <c r="R109" s="196">
        <f t="shared" si="69"/>
        <v>138.53321666699503</v>
      </c>
      <c r="S109" s="202">
        <f t="shared" si="61"/>
        <v>0.78642409336792551</v>
      </c>
      <c r="T109" s="200">
        <f t="shared" si="62"/>
        <v>0.8868055555576575</v>
      </c>
      <c r="U109" s="201">
        <f t="shared" si="63"/>
        <v>-0.10038146218973198</v>
      </c>
      <c r="V109" s="198">
        <f t="shared" si="70"/>
        <v>126.28229007419236</v>
      </c>
      <c r="W109" s="78">
        <f t="shared" si="71"/>
        <v>140.69613541700019</v>
      </c>
      <c r="X109" s="203">
        <f t="shared" si="64"/>
        <v>0.78642409336792551</v>
      </c>
      <c r="Y109" s="204">
        <f t="shared" si="65"/>
        <v>0</v>
      </c>
      <c r="AB109" s="188"/>
      <c r="AC109" s="188"/>
    </row>
    <row r="110" spans="1:29">
      <c r="A110" s="251">
        <v>812</v>
      </c>
      <c r="B110" s="252">
        <v>26076</v>
      </c>
      <c r="C110" s="253"/>
      <c r="D110" s="252" t="s">
        <v>223</v>
      </c>
      <c r="E110" s="252" t="s">
        <v>116</v>
      </c>
      <c r="F110" s="255" t="s">
        <v>149</v>
      </c>
      <c r="G110" s="256">
        <f t="shared" si="58"/>
        <v>1.0249999999999999</v>
      </c>
      <c r="H110" s="257" t="str">
        <f t="shared" si="75"/>
        <v>UNAV</v>
      </c>
      <c r="I110" s="258">
        <f t="shared" si="76"/>
        <v>0</v>
      </c>
      <c r="J110" s="259">
        <f t="shared" si="59"/>
        <v>0</v>
      </c>
      <c r="K110" s="260">
        <f t="shared" si="60"/>
        <v>0</v>
      </c>
      <c r="L110" s="261">
        <f t="shared" si="66"/>
        <v>292.70665617144601</v>
      </c>
      <c r="M110" s="262">
        <f t="shared" si="67"/>
        <v>279.22935208399514</v>
      </c>
      <c r="N110" s="261">
        <f t="shared" si="72"/>
        <v>0</v>
      </c>
      <c r="O110" s="259">
        <f t="shared" si="73"/>
        <v>0</v>
      </c>
      <c r="P110" s="260">
        <f t="shared" si="74"/>
        <v>0</v>
      </c>
      <c r="Q110" s="261">
        <f t="shared" si="68"/>
        <v>166.42436609725351</v>
      </c>
      <c r="R110" s="263">
        <f t="shared" si="69"/>
        <v>138.53321666699503</v>
      </c>
      <c r="S110" s="264">
        <f t="shared" si="61"/>
        <v>0</v>
      </c>
      <c r="T110" s="259">
        <f t="shared" si="62"/>
        <v>0</v>
      </c>
      <c r="U110" s="260">
        <f t="shared" si="63"/>
        <v>0</v>
      </c>
      <c r="V110" s="265">
        <f t="shared" si="70"/>
        <v>126.28229007419236</v>
      </c>
      <c r="W110" s="261">
        <f t="shared" si="71"/>
        <v>140.69613541700019</v>
      </c>
      <c r="X110" s="266">
        <f t="shared" si="64"/>
        <v>0</v>
      </c>
      <c r="Y110" s="267">
        <f t="shared" si="65"/>
        <v>0</v>
      </c>
      <c r="AB110" s="188"/>
      <c r="AC110" s="188"/>
    </row>
    <row r="111" spans="1:29">
      <c r="A111" s="268">
        <v>812.1</v>
      </c>
      <c r="B111" s="206">
        <v>26007</v>
      </c>
      <c r="C111" s="205"/>
      <c r="D111" s="206" t="s">
        <v>224</v>
      </c>
      <c r="E111" s="206" t="s">
        <v>149</v>
      </c>
      <c r="F111" s="207" t="s">
        <v>149</v>
      </c>
      <c r="G111" s="208">
        <f t="shared" si="58"/>
        <v>1.0249999999999999</v>
      </c>
      <c r="H111" s="176" t="str">
        <f t="shared" si="75"/>
        <v>UNAV</v>
      </c>
      <c r="I111" s="199">
        <f t="shared" si="76"/>
        <v>-0.19660602334198138</v>
      </c>
      <c r="J111" s="200">
        <f t="shared" si="59"/>
        <v>-0.22170138888941437</v>
      </c>
      <c r="K111" s="201">
        <f t="shared" si="60"/>
        <v>2.5095365547432996E-2</v>
      </c>
      <c r="L111" s="78">
        <f t="shared" si="66"/>
        <v>292.51005014810403</v>
      </c>
      <c r="M111" s="195">
        <f t="shared" si="67"/>
        <v>279.00765069510572</v>
      </c>
      <c r="N111" s="78">
        <f t="shared" si="72"/>
        <v>-0.19660602334198138</v>
      </c>
      <c r="O111" s="200">
        <f t="shared" si="73"/>
        <v>-0.22170138888941437</v>
      </c>
      <c r="P111" s="201">
        <f t="shared" si="74"/>
        <v>2.5095365547432996E-2</v>
      </c>
      <c r="Q111" s="78">
        <f t="shared" si="68"/>
        <v>166.22776007391153</v>
      </c>
      <c r="R111" s="196">
        <f t="shared" si="69"/>
        <v>138.31151527810562</v>
      </c>
      <c r="S111" s="202">
        <f t="shared" si="61"/>
        <v>0</v>
      </c>
      <c r="T111" s="200">
        <f t="shared" si="62"/>
        <v>0</v>
      </c>
      <c r="U111" s="201">
        <f t="shared" si="63"/>
        <v>0</v>
      </c>
      <c r="V111" s="198">
        <f t="shared" si="70"/>
        <v>126.28229007419236</v>
      </c>
      <c r="W111" s="78">
        <f t="shared" si="71"/>
        <v>140.69613541700019</v>
      </c>
      <c r="X111" s="203">
        <f t="shared" si="64"/>
        <v>0</v>
      </c>
      <c r="Y111" s="204">
        <f t="shared" si="65"/>
        <v>0</v>
      </c>
      <c r="AB111" s="188"/>
      <c r="AC111" s="188"/>
    </row>
    <row r="112" spans="1:29" ht="13.8" thickBot="1">
      <c r="A112" s="269">
        <v>812.1</v>
      </c>
      <c r="B112" s="234">
        <v>26092</v>
      </c>
      <c r="C112" s="233"/>
      <c r="D112" s="234" t="s">
        <v>225</v>
      </c>
      <c r="E112" s="234" t="s">
        <v>149</v>
      </c>
      <c r="F112" s="235" t="s">
        <v>116</v>
      </c>
      <c r="G112" s="236">
        <f t="shared" si="58"/>
        <v>1.0249999999999999</v>
      </c>
      <c r="H112" s="237" t="str">
        <f t="shared" si="75"/>
        <v>COMM</v>
      </c>
      <c r="I112" s="238">
        <f t="shared" si="76"/>
        <v>0</v>
      </c>
      <c r="J112" s="239">
        <f t="shared" si="59"/>
        <v>0</v>
      </c>
      <c r="K112" s="240">
        <f t="shared" si="60"/>
        <v>0</v>
      </c>
      <c r="L112" s="241">
        <f t="shared" si="66"/>
        <v>292.51005014810403</v>
      </c>
      <c r="M112" s="242">
        <f t="shared" si="67"/>
        <v>279.00765069510572</v>
      </c>
      <c r="N112" s="241">
        <f t="shared" si="72"/>
        <v>0</v>
      </c>
      <c r="O112" s="239">
        <f t="shared" si="73"/>
        <v>0</v>
      </c>
      <c r="P112" s="240">
        <f t="shared" si="74"/>
        <v>0</v>
      </c>
      <c r="Q112" s="241">
        <f t="shared" si="68"/>
        <v>166.22776007391153</v>
      </c>
      <c r="R112" s="243">
        <f t="shared" si="69"/>
        <v>138.31151527810562</v>
      </c>
      <c r="S112" s="244">
        <f t="shared" si="61"/>
        <v>0</v>
      </c>
      <c r="T112" s="239">
        <f t="shared" si="62"/>
        <v>0</v>
      </c>
      <c r="U112" s="240">
        <f t="shared" si="63"/>
        <v>0</v>
      </c>
      <c r="V112" s="245">
        <f t="shared" si="70"/>
        <v>126.28229007419236</v>
      </c>
      <c r="W112" s="241">
        <f t="shared" si="71"/>
        <v>140.69613541700019</v>
      </c>
      <c r="X112" s="246">
        <f t="shared" si="64"/>
        <v>0</v>
      </c>
      <c r="Y112" s="247">
        <f t="shared" si="65"/>
        <v>0</v>
      </c>
      <c r="AB112" s="188"/>
      <c r="AC112" s="188"/>
    </row>
    <row r="113" spans="1:29">
      <c r="A113" s="268">
        <v>813</v>
      </c>
      <c r="B113" s="206">
        <v>16273</v>
      </c>
      <c r="C113" s="205">
        <v>3553</v>
      </c>
      <c r="D113" s="206" t="s">
        <v>226</v>
      </c>
      <c r="E113" s="206" t="s">
        <v>149</v>
      </c>
      <c r="F113" s="207" t="s">
        <v>149</v>
      </c>
      <c r="G113" s="208">
        <f t="shared" si="58"/>
        <v>1.0249999999999999</v>
      </c>
      <c r="H113" s="176" t="str">
        <f t="shared" si="75"/>
        <v xml:space="preserve">    </v>
      </c>
      <c r="I113" s="199">
        <f t="shared" si="76"/>
        <v>0</v>
      </c>
      <c r="J113" s="200">
        <f t="shared" si="59"/>
        <v>0</v>
      </c>
      <c r="K113" s="201">
        <f t="shared" si="60"/>
        <v>0</v>
      </c>
      <c r="L113" s="78">
        <f t="shared" si="66"/>
        <v>292.51005014810403</v>
      </c>
      <c r="M113" s="195">
        <f t="shared" si="67"/>
        <v>279.00765069510572</v>
      </c>
      <c r="N113" s="78">
        <f t="shared" si="72"/>
        <v>0</v>
      </c>
      <c r="O113" s="200">
        <f t="shared" si="73"/>
        <v>0</v>
      </c>
      <c r="P113" s="201">
        <f t="shared" si="74"/>
        <v>0</v>
      </c>
      <c r="Q113" s="78">
        <f t="shared" si="68"/>
        <v>166.22776007391153</v>
      </c>
      <c r="R113" s="196">
        <f t="shared" si="69"/>
        <v>138.31151527810562</v>
      </c>
      <c r="S113" s="202">
        <f t="shared" si="61"/>
        <v>0</v>
      </c>
      <c r="T113" s="200">
        <f t="shared" si="62"/>
        <v>0</v>
      </c>
      <c r="U113" s="201">
        <f t="shared" si="63"/>
        <v>0</v>
      </c>
      <c r="V113" s="198">
        <f t="shared" si="70"/>
        <v>126.28229007419236</v>
      </c>
      <c r="W113" s="78">
        <f t="shared" si="71"/>
        <v>140.69613541700019</v>
      </c>
      <c r="X113" s="203">
        <f t="shared" si="64"/>
        <v>0</v>
      </c>
      <c r="Y113" s="204">
        <f t="shared" si="65"/>
        <v>0</v>
      </c>
      <c r="AB113" s="188"/>
      <c r="AC113" s="188"/>
    </row>
    <row r="114" spans="1:29">
      <c r="A114" s="248">
        <v>813</v>
      </c>
      <c r="B114" s="173">
        <v>16088</v>
      </c>
      <c r="C114" s="171"/>
      <c r="D114" s="232" t="s">
        <v>227</v>
      </c>
      <c r="E114" s="173" t="s">
        <v>116</v>
      </c>
      <c r="F114" s="174" t="s">
        <v>156</v>
      </c>
      <c r="G114" s="175">
        <f t="shared" si="58"/>
        <v>1.0109840699999999</v>
      </c>
      <c r="H114" s="176" t="str">
        <f t="shared" si="75"/>
        <v xml:space="preserve">    </v>
      </c>
      <c r="I114" s="199">
        <f t="shared" si="76"/>
        <v>46.702665802505372</v>
      </c>
      <c r="J114" s="200">
        <f t="shared" si="59"/>
        <v>31.610184027852704</v>
      </c>
      <c r="K114" s="201">
        <f t="shared" si="60"/>
        <v>15.092481774652668</v>
      </c>
      <c r="L114" s="78">
        <f t="shared" si="66"/>
        <v>339.21271595060938</v>
      </c>
      <c r="M114" s="195">
        <f t="shared" si="67"/>
        <v>310.61783472295843</v>
      </c>
      <c r="N114" s="78">
        <f t="shared" si="72"/>
        <v>0</v>
      </c>
      <c r="O114" s="200">
        <f t="shared" si="73"/>
        <v>0</v>
      </c>
      <c r="P114" s="201">
        <f t="shared" si="74"/>
        <v>0</v>
      </c>
      <c r="Q114" s="78">
        <f t="shared" si="68"/>
        <v>166.22776007391153</v>
      </c>
      <c r="R114" s="196">
        <f t="shared" si="69"/>
        <v>138.31151527810562</v>
      </c>
      <c r="S114" s="202">
        <f t="shared" si="61"/>
        <v>46.702665802505372</v>
      </c>
      <c r="T114" s="200">
        <f t="shared" si="62"/>
        <v>31.610184027852704</v>
      </c>
      <c r="U114" s="201">
        <f t="shared" si="63"/>
        <v>15.092481774652668</v>
      </c>
      <c r="V114" s="198">
        <f t="shared" si="70"/>
        <v>172.98495587669774</v>
      </c>
      <c r="W114" s="78">
        <f t="shared" si="71"/>
        <v>172.3063194448529</v>
      </c>
      <c r="X114" s="203">
        <f t="shared" si="64"/>
        <v>46.702665802505372</v>
      </c>
      <c r="Y114" s="204">
        <f t="shared" si="65"/>
        <v>0</v>
      </c>
      <c r="AB114" s="188"/>
      <c r="AC114" s="188"/>
    </row>
    <row r="115" spans="1:29">
      <c r="A115" s="248">
        <v>813</v>
      </c>
      <c r="B115" s="173">
        <v>26077</v>
      </c>
      <c r="C115" s="171"/>
      <c r="D115" s="232" t="s">
        <v>227</v>
      </c>
      <c r="E115" s="173" t="s">
        <v>116</v>
      </c>
      <c r="F115" s="174" t="s">
        <v>156</v>
      </c>
      <c r="G115" s="175">
        <f t="shared" si="58"/>
        <v>1.0249999999999999</v>
      </c>
      <c r="H115" s="176" t="str">
        <f t="shared" si="75"/>
        <v>COMM</v>
      </c>
      <c r="I115" s="199">
        <f t="shared" si="76"/>
        <v>0</v>
      </c>
      <c r="J115" s="200">
        <f t="shared" si="59"/>
        <v>0</v>
      </c>
      <c r="K115" s="201">
        <f t="shared" si="60"/>
        <v>0</v>
      </c>
      <c r="L115" s="78">
        <f t="shared" si="66"/>
        <v>339.21271595060938</v>
      </c>
      <c r="M115" s="195">
        <f t="shared" si="67"/>
        <v>310.61783472295843</v>
      </c>
      <c r="N115" s="78">
        <f t="shared" si="72"/>
        <v>0</v>
      </c>
      <c r="O115" s="200">
        <f t="shared" si="73"/>
        <v>0</v>
      </c>
      <c r="P115" s="201">
        <f t="shared" si="74"/>
        <v>0</v>
      </c>
      <c r="Q115" s="78">
        <f t="shared" si="68"/>
        <v>166.22776007391153</v>
      </c>
      <c r="R115" s="196">
        <f t="shared" si="69"/>
        <v>138.31151527810562</v>
      </c>
      <c r="S115" s="202">
        <f t="shared" si="61"/>
        <v>0</v>
      </c>
      <c r="T115" s="200">
        <f t="shared" si="62"/>
        <v>0</v>
      </c>
      <c r="U115" s="201">
        <f t="shared" si="63"/>
        <v>0</v>
      </c>
      <c r="V115" s="198">
        <f t="shared" si="70"/>
        <v>172.98495587669774</v>
      </c>
      <c r="W115" s="78">
        <f t="shared" si="71"/>
        <v>172.3063194448529</v>
      </c>
      <c r="X115" s="203">
        <f t="shared" si="64"/>
        <v>0</v>
      </c>
      <c r="Y115" s="204">
        <f t="shared" si="65"/>
        <v>0</v>
      </c>
      <c r="AB115" s="188"/>
      <c r="AC115" s="188"/>
    </row>
    <row r="116" spans="1:29">
      <c r="A116" s="289">
        <v>813</v>
      </c>
      <c r="B116" s="290">
        <v>16154</v>
      </c>
      <c r="C116" s="291"/>
      <c r="D116" s="290" t="s">
        <v>228</v>
      </c>
      <c r="E116" s="290" t="s">
        <v>118</v>
      </c>
      <c r="F116" s="292" t="s">
        <v>156</v>
      </c>
      <c r="G116" s="293">
        <f t="shared" si="58"/>
        <v>1.0249999999999999</v>
      </c>
      <c r="H116" s="294" t="str">
        <f t="shared" si="75"/>
        <v>UNAV</v>
      </c>
      <c r="I116" s="295">
        <f t="shared" si="76"/>
        <v>9.043877073731145E-2</v>
      </c>
      <c r="J116" s="296">
        <f t="shared" si="59"/>
        <v>0.10198263888913062</v>
      </c>
      <c r="K116" s="297">
        <f t="shared" si="60"/>
        <v>-1.1543868151819167E-2</v>
      </c>
      <c r="L116" s="298">
        <f t="shared" si="66"/>
        <v>339.30315472134669</v>
      </c>
      <c r="M116" s="299">
        <f t="shared" si="67"/>
        <v>310.71981736184756</v>
      </c>
      <c r="N116" s="298">
        <f t="shared" si="72"/>
        <v>0</v>
      </c>
      <c r="O116" s="296">
        <f t="shared" si="73"/>
        <v>0</v>
      </c>
      <c r="P116" s="297">
        <f t="shared" si="74"/>
        <v>0</v>
      </c>
      <c r="Q116" s="298">
        <f t="shared" si="68"/>
        <v>166.22776007391153</v>
      </c>
      <c r="R116" s="300">
        <f t="shared" si="69"/>
        <v>138.31151527810562</v>
      </c>
      <c r="S116" s="301">
        <f t="shared" si="61"/>
        <v>9.043877073731145E-2</v>
      </c>
      <c r="T116" s="296">
        <f t="shared" si="62"/>
        <v>0.10198263888913062</v>
      </c>
      <c r="U116" s="297">
        <f t="shared" si="63"/>
        <v>-1.1543868151819167E-2</v>
      </c>
      <c r="V116" s="302">
        <f t="shared" si="70"/>
        <v>173.07539464743505</v>
      </c>
      <c r="W116" s="298">
        <f t="shared" si="71"/>
        <v>172.40830208374203</v>
      </c>
      <c r="X116" s="303">
        <f t="shared" si="64"/>
        <v>9.043877073731145E-2</v>
      </c>
      <c r="Y116" s="304">
        <f t="shared" si="65"/>
        <v>0</v>
      </c>
      <c r="AB116" s="188"/>
      <c r="AC116" s="188"/>
    </row>
    <row r="117" spans="1:29">
      <c r="A117" s="248">
        <v>813</v>
      </c>
      <c r="B117" s="209">
        <v>26009</v>
      </c>
      <c r="C117" s="171"/>
      <c r="D117" s="232" t="s">
        <v>229</v>
      </c>
      <c r="E117" s="173" t="s">
        <v>116</v>
      </c>
      <c r="F117" s="174" t="s">
        <v>142</v>
      </c>
      <c r="G117" s="175">
        <f t="shared" si="58"/>
        <v>1.0229999999999999</v>
      </c>
      <c r="H117" s="176" t="str">
        <f t="shared" si="75"/>
        <v xml:space="preserve">    </v>
      </c>
      <c r="I117" s="199">
        <f t="shared" si="76"/>
        <v>0</v>
      </c>
      <c r="J117" s="200">
        <f t="shared" si="59"/>
        <v>0</v>
      </c>
      <c r="K117" s="201">
        <f t="shared" si="60"/>
        <v>0</v>
      </c>
      <c r="L117" s="78">
        <f t="shared" si="66"/>
        <v>339.30315472134669</v>
      </c>
      <c r="M117" s="195">
        <f t="shared" si="67"/>
        <v>310.71981736184756</v>
      </c>
      <c r="N117" s="78">
        <f t="shared" si="72"/>
        <v>0</v>
      </c>
      <c r="O117" s="200">
        <f t="shared" si="73"/>
        <v>0</v>
      </c>
      <c r="P117" s="201">
        <f t="shared" si="74"/>
        <v>0</v>
      </c>
      <c r="Q117" s="78">
        <f t="shared" si="68"/>
        <v>166.22776007391153</v>
      </c>
      <c r="R117" s="196">
        <f t="shared" si="69"/>
        <v>138.31151527810562</v>
      </c>
      <c r="S117" s="202">
        <f t="shared" si="61"/>
        <v>0</v>
      </c>
      <c r="T117" s="200">
        <f t="shared" si="62"/>
        <v>0</v>
      </c>
      <c r="U117" s="201">
        <f t="shared" si="63"/>
        <v>0</v>
      </c>
      <c r="V117" s="198">
        <f t="shared" si="70"/>
        <v>173.07539464743505</v>
      </c>
      <c r="W117" s="78">
        <f t="shared" si="71"/>
        <v>172.40830208374203</v>
      </c>
      <c r="X117" s="203">
        <f t="shared" si="64"/>
        <v>0</v>
      </c>
      <c r="Y117" s="204">
        <f t="shared" si="65"/>
        <v>0</v>
      </c>
      <c r="AB117" s="188"/>
      <c r="AC117" s="188"/>
    </row>
    <row r="118" spans="1:29" s="230" customFormat="1">
      <c r="A118" s="248">
        <v>813</v>
      </c>
      <c r="B118" s="173">
        <v>26018</v>
      </c>
      <c r="C118" s="171">
        <v>3516</v>
      </c>
      <c r="D118" s="173" t="s">
        <v>230</v>
      </c>
      <c r="E118" s="173" t="s">
        <v>149</v>
      </c>
      <c r="F118" s="174" t="s">
        <v>149</v>
      </c>
      <c r="G118" s="175">
        <f t="shared" si="58"/>
        <v>1.0249999999999999</v>
      </c>
      <c r="H118" s="176" t="str">
        <f t="shared" si="75"/>
        <v xml:space="preserve">    </v>
      </c>
      <c r="I118" s="199">
        <f t="shared" si="76"/>
        <v>-0.174019039825</v>
      </c>
      <c r="J118" s="200">
        <f t="shared" si="59"/>
        <v>0</v>
      </c>
      <c r="K118" s="201">
        <f t="shared" si="60"/>
        <v>-0.174019039825</v>
      </c>
      <c r="L118" s="78">
        <f t="shared" si="66"/>
        <v>339.12913568152169</v>
      </c>
      <c r="M118" s="195">
        <f t="shared" si="67"/>
        <v>310.71981736184756</v>
      </c>
      <c r="N118" s="78">
        <f t="shared" si="72"/>
        <v>-0.174019039825</v>
      </c>
      <c r="O118" s="200">
        <f t="shared" si="73"/>
        <v>0</v>
      </c>
      <c r="P118" s="201">
        <f t="shared" si="74"/>
        <v>-0.174019039825</v>
      </c>
      <c r="Q118" s="78">
        <f t="shared" si="68"/>
        <v>166.05374103408653</v>
      </c>
      <c r="R118" s="196">
        <f t="shared" si="69"/>
        <v>138.31151527810562</v>
      </c>
      <c r="S118" s="202">
        <f t="shared" si="61"/>
        <v>0</v>
      </c>
      <c r="T118" s="200">
        <f t="shared" si="62"/>
        <v>0</v>
      </c>
      <c r="U118" s="201">
        <f t="shared" si="63"/>
        <v>0</v>
      </c>
      <c r="V118" s="198">
        <f t="shared" si="70"/>
        <v>173.07539464743505</v>
      </c>
      <c r="W118" s="78">
        <f t="shared" si="71"/>
        <v>172.40830208374203</v>
      </c>
      <c r="X118" s="203">
        <f t="shared" si="64"/>
        <v>0</v>
      </c>
      <c r="Y118" s="204">
        <f t="shared" si="65"/>
        <v>0</v>
      </c>
      <c r="AB118" s="231"/>
      <c r="AC118" s="231"/>
    </row>
    <row r="119" spans="1:29">
      <c r="A119" s="248">
        <v>813</v>
      </c>
      <c r="B119" s="173">
        <v>16296</v>
      </c>
      <c r="C119" s="171">
        <v>3556</v>
      </c>
      <c r="D119" s="173" t="s">
        <v>231</v>
      </c>
      <c r="E119" s="173" t="s">
        <v>149</v>
      </c>
      <c r="F119" s="174" t="s">
        <v>149</v>
      </c>
      <c r="G119" s="175">
        <f t="shared" si="58"/>
        <v>1.0249999999999999</v>
      </c>
      <c r="H119" s="176" t="str">
        <f t="shared" si="75"/>
        <v xml:space="preserve">    </v>
      </c>
      <c r="I119" s="199">
        <f t="shared" si="76"/>
        <v>0</v>
      </c>
      <c r="J119" s="200">
        <f t="shared" si="59"/>
        <v>0</v>
      </c>
      <c r="K119" s="201">
        <f t="shared" si="60"/>
        <v>0</v>
      </c>
      <c r="L119" s="78">
        <f t="shared" si="66"/>
        <v>339.12913568152169</v>
      </c>
      <c r="M119" s="195">
        <f t="shared" si="67"/>
        <v>310.71981736184756</v>
      </c>
      <c r="N119" s="78">
        <f t="shared" si="72"/>
        <v>0</v>
      </c>
      <c r="O119" s="200">
        <f t="shared" si="73"/>
        <v>0</v>
      </c>
      <c r="P119" s="201">
        <f t="shared" si="74"/>
        <v>0</v>
      </c>
      <c r="Q119" s="78">
        <f t="shared" si="68"/>
        <v>166.05374103408653</v>
      </c>
      <c r="R119" s="196">
        <f t="shared" si="69"/>
        <v>138.31151527810562</v>
      </c>
      <c r="S119" s="202">
        <f t="shared" si="61"/>
        <v>0</v>
      </c>
      <c r="T119" s="200">
        <f t="shared" si="62"/>
        <v>0</v>
      </c>
      <c r="U119" s="201">
        <f t="shared" si="63"/>
        <v>0</v>
      </c>
      <c r="V119" s="198">
        <f t="shared" si="70"/>
        <v>173.07539464743505</v>
      </c>
      <c r="W119" s="78">
        <f t="shared" si="71"/>
        <v>172.40830208374203</v>
      </c>
      <c r="X119" s="203">
        <f t="shared" si="64"/>
        <v>0</v>
      </c>
      <c r="Y119" s="204">
        <f t="shared" si="65"/>
        <v>0</v>
      </c>
      <c r="AB119" s="188"/>
      <c r="AC119" s="188"/>
    </row>
    <row r="120" spans="1:29">
      <c r="A120" s="248">
        <v>813</v>
      </c>
      <c r="B120" s="173">
        <v>26130</v>
      </c>
      <c r="C120" s="171"/>
      <c r="D120" s="173" t="s">
        <v>232</v>
      </c>
      <c r="E120" s="173" t="s">
        <v>149</v>
      </c>
      <c r="F120" s="174" t="s">
        <v>149</v>
      </c>
      <c r="G120" s="175">
        <f t="shared" si="58"/>
        <v>1.0249999999999999</v>
      </c>
      <c r="H120" s="176" t="str">
        <f t="shared" si="75"/>
        <v xml:space="preserve">    </v>
      </c>
      <c r="I120" s="199">
        <f t="shared" si="76"/>
        <v>0</v>
      </c>
      <c r="J120" s="200">
        <f t="shared" si="59"/>
        <v>0</v>
      </c>
      <c r="K120" s="201">
        <f t="shared" si="60"/>
        <v>0</v>
      </c>
      <c r="L120" s="78">
        <f t="shared" si="66"/>
        <v>339.12913568152169</v>
      </c>
      <c r="M120" s="195">
        <f t="shared" si="67"/>
        <v>310.71981736184756</v>
      </c>
      <c r="N120" s="78">
        <f t="shared" si="72"/>
        <v>0</v>
      </c>
      <c r="O120" s="200">
        <f t="shared" si="73"/>
        <v>0</v>
      </c>
      <c r="P120" s="201">
        <f t="shared" si="74"/>
        <v>0</v>
      </c>
      <c r="Q120" s="78">
        <f t="shared" si="68"/>
        <v>166.05374103408653</v>
      </c>
      <c r="R120" s="196">
        <f t="shared" si="69"/>
        <v>138.31151527810562</v>
      </c>
      <c r="S120" s="202">
        <f t="shared" si="61"/>
        <v>0</v>
      </c>
      <c r="T120" s="200">
        <f t="shared" si="62"/>
        <v>0</v>
      </c>
      <c r="U120" s="201">
        <f t="shared" si="63"/>
        <v>0</v>
      </c>
      <c r="V120" s="198">
        <f t="shared" si="70"/>
        <v>173.07539464743505</v>
      </c>
      <c r="W120" s="78">
        <f t="shared" si="71"/>
        <v>172.40830208374203</v>
      </c>
      <c r="X120" s="203">
        <f t="shared" si="64"/>
        <v>0</v>
      </c>
      <c r="Y120" s="204">
        <f t="shared" si="65"/>
        <v>0</v>
      </c>
      <c r="AB120" s="188"/>
      <c r="AC120" s="188"/>
    </row>
    <row r="121" spans="1:29" ht="13.8" thickBot="1">
      <c r="A121" s="269">
        <v>813</v>
      </c>
      <c r="B121" s="234">
        <v>26131</v>
      </c>
      <c r="C121" s="233"/>
      <c r="D121" s="234" t="s">
        <v>232</v>
      </c>
      <c r="E121" s="234" t="s">
        <v>149</v>
      </c>
      <c r="F121" s="235" t="s">
        <v>116</v>
      </c>
      <c r="G121" s="236">
        <f t="shared" si="58"/>
        <v>1.0249999999999999</v>
      </c>
      <c r="H121" s="237" t="str">
        <f t="shared" si="75"/>
        <v>UNAV</v>
      </c>
      <c r="I121" s="238">
        <f t="shared" si="76"/>
        <v>0</v>
      </c>
      <c r="J121" s="239">
        <f t="shared" si="59"/>
        <v>0</v>
      </c>
      <c r="K121" s="240">
        <f t="shared" si="60"/>
        <v>0</v>
      </c>
      <c r="L121" s="241">
        <f t="shared" si="66"/>
        <v>339.12913568152169</v>
      </c>
      <c r="M121" s="242">
        <f t="shared" si="67"/>
        <v>310.71981736184756</v>
      </c>
      <c r="N121" s="241">
        <f t="shared" si="72"/>
        <v>0</v>
      </c>
      <c r="O121" s="239">
        <f t="shared" si="73"/>
        <v>0</v>
      </c>
      <c r="P121" s="240">
        <f t="shared" si="74"/>
        <v>0</v>
      </c>
      <c r="Q121" s="241">
        <f t="shared" si="68"/>
        <v>166.05374103408653</v>
      </c>
      <c r="R121" s="243">
        <f t="shared" si="69"/>
        <v>138.31151527810562</v>
      </c>
      <c r="S121" s="244">
        <f t="shared" si="61"/>
        <v>0</v>
      </c>
      <c r="T121" s="239">
        <f t="shared" si="62"/>
        <v>0</v>
      </c>
      <c r="U121" s="240">
        <f t="shared" si="63"/>
        <v>0</v>
      </c>
      <c r="V121" s="245">
        <f t="shared" si="70"/>
        <v>173.07539464743505</v>
      </c>
      <c r="W121" s="241">
        <f t="shared" si="71"/>
        <v>172.40830208374203</v>
      </c>
      <c r="X121" s="246">
        <f t="shared" si="64"/>
        <v>0</v>
      </c>
      <c r="Y121" s="247">
        <f t="shared" si="65"/>
        <v>0</v>
      </c>
      <c r="AB121" s="188"/>
      <c r="AC121" s="188"/>
    </row>
    <row r="122" spans="1:29">
      <c r="A122" s="248">
        <v>814</v>
      </c>
      <c r="B122" s="173">
        <v>26070</v>
      </c>
      <c r="C122" s="171"/>
      <c r="D122" s="173" t="s">
        <v>233</v>
      </c>
      <c r="E122" s="173" t="s">
        <v>149</v>
      </c>
      <c r="F122" s="174" t="s">
        <v>149</v>
      </c>
      <c r="G122" s="175">
        <f t="shared" si="58"/>
        <v>1.0249999999999999</v>
      </c>
      <c r="H122" s="176" t="str">
        <f t="shared" si="75"/>
        <v>UNAV</v>
      </c>
      <c r="I122" s="199">
        <f t="shared" si="76"/>
        <v>-0.79664760658170852</v>
      </c>
      <c r="J122" s="200">
        <f t="shared" si="59"/>
        <v>-0.89833402777990701</v>
      </c>
      <c r="K122" s="201">
        <f t="shared" si="60"/>
        <v>0.10168642119819848</v>
      </c>
      <c r="L122" s="78">
        <f t="shared" si="66"/>
        <v>338.33248807493999</v>
      </c>
      <c r="M122" s="195">
        <f t="shared" si="67"/>
        <v>309.82148333406764</v>
      </c>
      <c r="N122" s="78">
        <f t="shared" si="72"/>
        <v>-0.79664760658170852</v>
      </c>
      <c r="O122" s="200">
        <f t="shared" si="73"/>
        <v>-0.89833402777990701</v>
      </c>
      <c r="P122" s="201">
        <f t="shared" si="74"/>
        <v>0.10168642119819848</v>
      </c>
      <c r="Q122" s="78">
        <f t="shared" si="68"/>
        <v>165.25709342750483</v>
      </c>
      <c r="R122" s="196">
        <f t="shared" si="69"/>
        <v>137.41318125032572</v>
      </c>
      <c r="S122" s="202">
        <f t="shared" si="61"/>
        <v>0</v>
      </c>
      <c r="T122" s="200">
        <f t="shared" si="62"/>
        <v>0</v>
      </c>
      <c r="U122" s="201">
        <f t="shared" si="63"/>
        <v>0</v>
      </c>
      <c r="V122" s="198">
        <f t="shared" si="70"/>
        <v>173.07539464743505</v>
      </c>
      <c r="W122" s="78">
        <f t="shared" si="71"/>
        <v>172.40830208374203</v>
      </c>
      <c r="X122" s="203">
        <f t="shared" si="64"/>
        <v>0</v>
      </c>
      <c r="Y122" s="204">
        <f t="shared" si="65"/>
        <v>0</v>
      </c>
      <c r="AB122" s="188"/>
      <c r="AC122" s="188"/>
    </row>
    <row r="123" spans="1:29">
      <c r="A123" s="248">
        <v>814</v>
      </c>
      <c r="B123" s="173">
        <v>16367</v>
      </c>
      <c r="C123" s="171"/>
      <c r="D123" s="173" t="s">
        <v>234</v>
      </c>
      <c r="E123" s="173" t="s">
        <v>116</v>
      </c>
      <c r="F123" s="174" t="s">
        <v>116</v>
      </c>
      <c r="G123" s="175">
        <f t="shared" ref="G123:G154" si="77">VLOOKUP($B123,BTU,2,FALSE)/1000</f>
        <v>1.04</v>
      </c>
      <c r="H123" s="176" t="str">
        <f t="shared" si="75"/>
        <v xml:space="preserve">    </v>
      </c>
      <c r="I123" s="199">
        <f t="shared" si="76"/>
        <v>36.086513111999999</v>
      </c>
      <c r="J123" s="200">
        <f t="shared" si="59"/>
        <v>39.906250000094587</v>
      </c>
      <c r="K123" s="201">
        <f t="shared" si="60"/>
        <v>-3.8197368880945888</v>
      </c>
      <c r="L123" s="78">
        <f t="shared" si="66"/>
        <v>374.41900118693997</v>
      </c>
      <c r="M123" s="195">
        <f t="shared" si="67"/>
        <v>349.72773333416222</v>
      </c>
      <c r="N123" s="78">
        <f t="shared" si="72"/>
        <v>0</v>
      </c>
      <c r="O123" s="200">
        <f t="shared" si="73"/>
        <v>0</v>
      </c>
      <c r="P123" s="201">
        <f t="shared" si="74"/>
        <v>0</v>
      </c>
      <c r="Q123" s="78">
        <f t="shared" si="68"/>
        <v>165.25709342750483</v>
      </c>
      <c r="R123" s="196">
        <f t="shared" si="69"/>
        <v>137.41318125032572</v>
      </c>
      <c r="S123" s="202">
        <f t="shared" si="61"/>
        <v>36.086513111999999</v>
      </c>
      <c r="T123" s="200">
        <f t="shared" si="62"/>
        <v>39.906250000094587</v>
      </c>
      <c r="U123" s="201">
        <f t="shared" si="63"/>
        <v>-3.8197368880945888</v>
      </c>
      <c r="V123" s="198">
        <f t="shared" si="70"/>
        <v>209.16190775943505</v>
      </c>
      <c r="W123" s="78">
        <f t="shared" si="71"/>
        <v>212.31455208383662</v>
      </c>
      <c r="X123" s="203">
        <f t="shared" si="64"/>
        <v>36.086513111999999</v>
      </c>
      <c r="Y123" s="204">
        <f t="shared" si="65"/>
        <v>0</v>
      </c>
      <c r="AB123" s="188"/>
      <c r="AC123" s="188"/>
    </row>
    <row r="124" spans="1:29">
      <c r="A124" s="248">
        <v>814</v>
      </c>
      <c r="B124" s="209">
        <v>26005</v>
      </c>
      <c r="C124" s="171"/>
      <c r="D124" s="173" t="s">
        <v>235</v>
      </c>
      <c r="E124" s="173" t="s">
        <v>116</v>
      </c>
      <c r="F124" s="174" t="s">
        <v>116</v>
      </c>
      <c r="G124" s="175">
        <f t="shared" si="77"/>
        <v>1.0229999999999999</v>
      </c>
      <c r="H124" s="176" t="str">
        <f t="shared" si="75"/>
        <v xml:space="preserve">    </v>
      </c>
      <c r="I124" s="199">
        <f t="shared" si="76"/>
        <v>0</v>
      </c>
      <c r="J124" s="200">
        <f t="shared" ref="J124:J155" si="78">O124+T124</f>
        <v>0</v>
      </c>
      <c r="K124" s="201">
        <f t="shared" ref="K124:K155" si="79">I124-J124</f>
        <v>0</v>
      </c>
      <c r="L124" s="78">
        <f t="shared" si="66"/>
        <v>374.41900118693997</v>
      </c>
      <c r="M124" s="195">
        <f t="shared" si="67"/>
        <v>349.72773333416222</v>
      </c>
      <c r="N124" s="78">
        <f t="shared" si="72"/>
        <v>0</v>
      </c>
      <c r="O124" s="200">
        <f t="shared" si="73"/>
        <v>0</v>
      </c>
      <c r="P124" s="201">
        <f t="shared" si="74"/>
        <v>0</v>
      </c>
      <c r="Q124" s="78">
        <f t="shared" si="68"/>
        <v>165.25709342750483</v>
      </c>
      <c r="R124" s="196">
        <f t="shared" si="69"/>
        <v>137.41318125032572</v>
      </c>
      <c r="S124" s="202">
        <f t="shared" ref="S124:S155" si="80">I124-N124</f>
        <v>0</v>
      </c>
      <c r="T124" s="200">
        <f t="shared" ref="T124:T155" si="81">IF(LEFT(B124,1)="1",VLOOKUP(B124,Cigsch,2,FALSE)/1000,VLOOKUP(B124,Cigsch,2,FALSE)/1000*-1)*POLLHOURSFLOWED</f>
        <v>0</v>
      </c>
      <c r="U124" s="201">
        <f t="shared" ref="U124:U155" si="82">S124-T124</f>
        <v>0</v>
      </c>
      <c r="V124" s="198">
        <f t="shared" si="70"/>
        <v>209.16190775943505</v>
      </c>
      <c r="W124" s="78">
        <f t="shared" si="71"/>
        <v>212.31455208383662</v>
      </c>
      <c r="X124" s="203">
        <f t="shared" ref="X124:X155" si="83">S124-Y124</f>
        <v>0</v>
      </c>
      <c r="Y124" s="204">
        <f t="shared" ref="Y124:Y155" si="84">IF(F124="OBA",I124-J124,0)</f>
        <v>0</v>
      </c>
      <c r="AB124" s="188"/>
      <c r="AC124" s="188"/>
    </row>
    <row r="125" spans="1:29">
      <c r="A125" s="248">
        <v>814</v>
      </c>
      <c r="B125" s="173">
        <v>26144</v>
      </c>
      <c r="C125" s="171"/>
      <c r="D125" s="173" t="s">
        <v>236</v>
      </c>
      <c r="E125" s="173" t="s">
        <v>149</v>
      </c>
      <c r="F125" s="174" t="s">
        <v>149</v>
      </c>
      <c r="G125" s="175">
        <f t="shared" si="77"/>
        <v>1.0249999999999999</v>
      </c>
      <c r="H125" s="176" t="str">
        <f t="shared" si="75"/>
        <v>UNAV</v>
      </c>
      <c r="I125" s="199">
        <f t="shared" si="76"/>
        <v>-7.8642409336792556E-4</v>
      </c>
      <c r="J125" s="200">
        <f t="shared" si="78"/>
        <v>-8.8680555555765755E-4</v>
      </c>
      <c r="K125" s="201">
        <f t="shared" si="79"/>
        <v>1.0038146218973199E-4</v>
      </c>
      <c r="L125" s="78">
        <f t="shared" ref="L125:L156" si="85">L124+I125</f>
        <v>374.41821476284662</v>
      </c>
      <c r="M125" s="195">
        <f t="shared" ref="M125:M156" si="86">M124+J125</f>
        <v>349.72684652860664</v>
      </c>
      <c r="N125" s="78">
        <f t="shared" si="72"/>
        <v>-7.8642409336792556E-4</v>
      </c>
      <c r="O125" s="200">
        <f t="shared" si="73"/>
        <v>-8.8680555555765755E-4</v>
      </c>
      <c r="P125" s="201">
        <f t="shared" si="74"/>
        <v>1.0038146218973199E-4</v>
      </c>
      <c r="Q125" s="78">
        <f t="shared" ref="Q125:Q156" si="87">Q124+N125</f>
        <v>165.25630700341145</v>
      </c>
      <c r="R125" s="196">
        <f t="shared" ref="R125:R156" si="88">R124+O125</f>
        <v>137.41229444477017</v>
      </c>
      <c r="S125" s="202">
        <f t="shared" si="80"/>
        <v>0</v>
      </c>
      <c r="T125" s="200">
        <f t="shared" si="81"/>
        <v>0</v>
      </c>
      <c r="U125" s="201">
        <f t="shared" si="82"/>
        <v>0</v>
      </c>
      <c r="V125" s="198">
        <f t="shared" ref="V125:V156" si="89">V124+S125</f>
        <v>209.16190775943505</v>
      </c>
      <c r="W125" s="78">
        <f t="shared" ref="W125:W156" si="90">W124+T125</f>
        <v>212.31455208383662</v>
      </c>
      <c r="X125" s="203">
        <f t="shared" si="83"/>
        <v>0</v>
      </c>
      <c r="Y125" s="204">
        <f t="shared" si="84"/>
        <v>0</v>
      </c>
      <c r="AB125" s="188"/>
      <c r="AC125" s="188"/>
    </row>
    <row r="126" spans="1:29" s="230" customFormat="1" ht="13.8" thickBot="1">
      <c r="A126" s="269">
        <v>814</v>
      </c>
      <c r="B126" s="234">
        <v>16058</v>
      </c>
      <c r="C126" s="233">
        <v>4045</v>
      </c>
      <c r="D126" s="234" t="s">
        <v>237</v>
      </c>
      <c r="E126" s="234" t="s">
        <v>149</v>
      </c>
      <c r="F126" s="235" t="s">
        <v>156</v>
      </c>
      <c r="G126" s="236">
        <f t="shared" si="77"/>
        <v>1.0249999999999999</v>
      </c>
      <c r="H126" s="237" t="str">
        <f t="shared" si="75"/>
        <v xml:space="preserve">    </v>
      </c>
      <c r="I126" s="238">
        <f t="shared" si="76"/>
        <v>37.767822707499995</v>
      </c>
      <c r="J126" s="239">
        <f t="shared" si="78"/>
        <v>37.657311111200372</v>
      </c>
      <c r="K126" s="240">
        <f t="shared" si="79"/>
        <v>0.1105115962996237</v>
      </c>
      <c r="L126" s="241">
        <f t="shared" si="85"/>
        <v>412.18603747034661</v>
      </c>
      <c r="M126" s="242">
        <f t="shared" si="86"/>
        <v>387.38415763980703</v>
      </c>
      <c r="N126" s="241">
        <f t="shared" si="72"/>
        <v>14.13536186629374</v>
      </c>
      <c r="O126" s="239">
        <f t="shared" si="73"/>
        <v>14.094000694477851</v>
      </c>
      <c r="P126" s="240">
        <f t="shared" si="74"/>
        <v>4.1361171815889719E-2</v>
      </c>
      <c r="Q126" s="241">
        <f t="shared" si="87"/>
        <v>179.3916688697052</v>
      </c>
      <c r="R126" s="243">
        <f t="shared" si="88"/>
        <v>151.50629513924801</v>
      </c>
      <c r="S126" s="244">
        <f t="shared" si="80"/>
        <v>23.632460841206253</v>
      </c>
      <c r="T126" s="239">
        <f t="shared" si="81"/>
        <v>23.563310416722519</v>
      </c>
      <c r="U126" s="240">
        <f t="shared" si="82"/>
        <v>6.9150424483733985E-2</v>
      </c>
      <c r="V126" s="245">
        <f t="shared" si="89"/>
        <v>232.79436860064129</v>
      </c>
      <c r="W126" s="241">
        <f t="shared" si="90"/>
        <v>235.87786250055913</v>
      </c>
      <c r="X126" s="246">
        <f t="shared" si="83"/>
        <v>23.632460841206253</v>
      </c>
      <c r="Y126" s="247">
        <f t="shared" si="84"/>
        <v>0</v>
      </c>
      <c r="AB126" s="231"/>
      <c r="AC126" s="231"/>
    </row>
    <row r="127" spans="1:29">
      <c r="A127" s="248">
        <v>814.1</v>
      </c>
      <c r="B127" s="173">
        <v>26088</v>
      </c>
      <c r="C127" s="171">
        <v>3541</v>
      </c>
      <c r="D127" s="173" t="s">
        <v>40</v>
      </c>
      <c r="E127" s="173" t="s">
        <v>149</v>
      </c>
      <c r="F127" s="174" t="s">
        <v>149</v>
      </c>
      <c r="G127" s="175">
        <f t="shared" si="77"/>
        <v>1.0249999999999999</v>
      </c>
      <c r="H127" s="176" t="str">
        <f t="shared" si="75"/>
        <v xml:space="preserve">    </v>
      </c>
      <c r="I127" s="199">
        <f t="shared" si="76"/>
        <v>-26.130118769999996</v>
      </c>
      <c r="J127" s="200">
        <f t="shared" si="78"/>
        <v>-25.717361111172067</v>
      </c>
      <c r="K127" s="201">
        <f t="shared" si="79"/>
        <v>-0.41275765882792825</v>
      </c>
      <c r="L127" s="78">
        <f t="shared" si="85"/>
        <v>386.05591870034664</v>
      </c>
      <c r="M127" s="195">
        <f t="shared" si="86"/>
        <v>361.66679652863496</v>
      </c>
      <c r="N127" s="78">
        <f t="shared" si="72"/>
        <v>-26.130118769999996</v>
      </c>
      <c r="O127" s="200">
        <f t="shared" si="73"/>
        <v>-25.717361111172067</v>
      </c>
      <c r="P127" s="201">
        <f t="shared" si="74"/>
        <v>-0.41275765882792825</v>
      </c>
      <c r="Q127" s="78">
        <f t="shared" si="87"/>
        <v>153.2615500997052</v>
      </c>
      <c r="R127" s="196">
        <f t="shared" si="88"/>
        <v>125.78893402807594</v>
      </c>
      <c r="S127" s="202">
        <f t="shared" si="80"/>
        <v>0</v>
      </c>
      <c r="T127" s="200">
        <f t="shared" si="81"/>
        <v>0</v>
      </c>
      <c r="U127" s="201">
        <f t="shared" si="82"/>
        <v>0</v>
      </c>
      <c r="V127" s="198">
        <f t="shared" si="89"/>
        <v>232.79436860064129</v>
      </c>
      <c r="W127" s="78">
        <f t="shared" si="90"/>
        <v>235.87786250055913</v>
      </c>
      <c r="X127" s="203">
        <f t="shared" si="83"/>
        <v>0</v>
      </c>
      <c r="Y127" s="204">
        <f t="shared" si="84"/>
        <v>0</v>
      </c>
      <c r="AB127" s="188"/>
      <c r="AC127" s="188"/>
    </row>
    <row r="128" spans="1:29">
      <c r="A128" s="248">
        <v>814.1</v>
      </c>
      <c r="B128" s="173">
        <v>26135</v>
      </c>
      <c r="C128" s="171"/>
      <c r="D128" s="173" t="s">
        <v>238</v>
      </c>
      <c r="E128" s="173" t="s">
        <v>149</v>
      </c>
      <c r="F128" s="174" t="s">
        <v>149</v>
      </c>
      <c r="G128" s="175">
        <f t="shared" si="77"/>
        <v>1.0249999999999999</v>
      </c>
      <c r="H128" s="176" t="str">
        <f t="shared" si="75"/>
        <v xml:space="preserve">    </v>
      </c>
      <c r="I128" s="199">
        <f t="shared" si="76"/>
        <v>-0.25217397679999998</v>
      </c>
      <c r="J128" s="200">
        <f t="shared" si="78"/>
        <v>0</v>
      </c>
      <c r="K128" s="201">
        <f t="shared" si="79"/>
        <v>-0.25217397679999998</v>
      </c>
      <c r="L128" s="78">
        <f t="shared" si="85"/>
        <v>385.80374472354663</v>
      </c>
      <c r="M128" s="195">
        <f t="shared" si="86"/>
        <v>361.66679652863496</v>
      </c>
      <c r="N128" s="78">
        <f t="shared" ref="N128:N159" si="91">IF(F128="CIG",O128,IF(F128="OBA",O128,IF(F128="HPL",I128-T128,IF(ISERR((O128/$J128)*$I128),0,IF(F128="TP",(O128/$J128)*$I128)))))</f>
        <v>-0.25217397679999998</v>
      </c>
      <c r="O128" s="200">
        <f t="shared" ref="O128:O159" si="92">IF(LEFT(B128,1)="1",VLOOKUP(B128,Cigsch,3,FALSE)/1000,VLOOKUP(B128,Cigsch,3,FALSE)/1000*-1)*POLLHOURSFLOWED</f>
        <v>0</v>
      </c>
      <c r="P128" s="201">
        <f t="shared" ref="P128:P159" si="93">N128-O128</f>
        <v>-0.25217397679999998</v>
      </c>
      <c r="Q128" s="78">
        <f t="shared" si="87"/>
        <v>153.00937612290519</v>
      </c>
      <c r="R128" s="196">
        <f t="shared" si="88"/>
        <v>125.78893402807594</v>
      </c>
      <c r="S128" s="202">
        <f t="shared" si="80"/>
        <v>0</v>
      </c>
      <c r="T128" s="200">
        <f t="shared" si="81"/>
        <v>0</v>
      </c>
      <c r="U128" s="201">
        <f t="shared" si="82"/>
        <v>0</v>
      </c>
      <c r="V128" s="198">
        <f t="shared" si="89"/>
        <v>232.79436860064129</v>
      </c>
      <c r="W128" s="78">
        <f t="shared" si="90"/>
        <v>235.87786250055913</v>
      </c>
      <c r="X128" s="203">
        <f t="shared" si="83"/>
        <v>0</v>
      </c>
      <c r="Y128" s="204">
        <f t="shared" si="84"/>
        <v>0</v>
      </c>
      <c r="AB128" s="188"/>
      <c r="AC128" s="188"/>
    </row>
    <row r="129" spans="1:29">
      <c r="A129" s="248">
        <v>814.1</v>
      </c>
      <c r="B129" s="173">
        <v>26150</v>
      </c>
      <c r="C129" s="171"/>
      <c r="D129" s="173" t="s">
        <v>239</v>
      </c>
      <c r="E129" s="173" t="s">
        <v>116</v>
      </c>
      <c r="F129" s="174" t="s">
        <v>116</v>
      </c>
      <c r="G129" s="175">
        <f t="shared" si="77"/>
        <v>1.024</v>
      </c>
      <c r="H129" s="176" t="str">
        <f t="shared" ref="H129:H160" si="94">VLOOKUP($B129,spotdata,3,FALSE)</f>
        <v xml:space="preserve">    </v>
      </c>
      <c r="I129" s="199">
        <f t="shared" ref="I129:I160" si="95">IF(VLOOKUP($B129,errordata,3,FALSE)="UNAV",J129*POLLHOURSFLOWED,IF(LEFT(B129,1)="1",VLOOKUP($B129,totalvolume,2,FALSE)*G129/1000,VLOOKUP($B129,totalvolume,2,FALSE)*G129/1000*-1))</f>
        <v>0</v>
      </c>
      <c r="J129" s="200">
        <f t="shared" si="78"/>
        <v>0</v>
      </c>
      <c r="K129" s="201">
        <f t="shared" si="79"/>
        <v>0</v>
      </c>
      <c r="L129" s="78">
        <f t="shared" si="85"/>
        <v>385.80374472354663</v>
      </c>
      <c r="M129" s="195">
        <f t="shared" si="86"/>
        <v>361.66679652863496</v>
      </c>
      <c r="N129" s="78">
        <f t="shared" si="91"/>
        <v>0</v>
      </c>
      <c r="O129" s="200">
        <f t="shared" si="92"/>
        <v>0</v>
      </c>
      <c r="P129" s="201">
        <f t="shared" si="93"/>
        <v>0</v>
      </c>
      <c r="Q129" s="78">
        <f t="shared" si="87"/>
        <v>153.00937612290519</v>
      </c>
      <c r="R129" s="196">
        <f t="shared" si="88"/>
        <v>125.78893402807594</v>
      </c>
      <c r="S129" s="202">
        <f t="shared" si="80"/>
        <v>0</v>
      </c>
      <c r="T129" s="200">
        <f t="shared" si="81"/>
        <v>0</v>
      </c>
      <c r="U129" s="201">
        <f t="shared" si="82"/>
        <v>0</v>
      </c>
      <c r="V129" s="198">
        <f t="shared" si="89"/>
        <v>232.79436860064129</v>
      </c>
      <c r="W129" s="78">
        <f t="shared" si="90"/>
        <v>235.87786250055913</v>
      </c>
      <c r="X129" s="203">
        <f t="shared" si="83"/>
        <v>0</v>
      </c>
      <c r="Y129" s="204">
        <f t="shared" si="84"/>
        <v>0</v>
      </c>
      <c r="AB129" s="188"/>
      <c r="AC129" s="188"/>
    </row>
    <row r="130" spans="1:29">
      <c r="A130" s="248">
        <v>814.1</v>
      </c>
      <c r="B130" s="173">
        <v>26143</v>
      </c>
      <c r="C130" s="171"/>
      <c r="D130" s="173" t="s">
        <v>240</v>
      </c>
      <c r="E130" s="173" t="s">
        <v>116</v>
      </c>
      <c r="F130" s="174" t="s">
        <v>116</v>
      </c>
      <c r="G130" s="175">
        <f t="shared" si="77"/>
        <v>1.0249999999999999</v>
      </c>
      <c r="H130" s="176" t="str">
        <f t="shared" si="94"/>
        <v>UNAV</v>
      </c>
      <c r="I130" s="199">
        <f t="shared" si="95"/>
        <v>-0.78642409336792551</v>
      </c>
      <c r="J130" s="200">
        <f t="shared" si="78"/>
        <v>-0.8868055555576575</v>
      </c>
      <c r="K130" s="201">
        <f t="shared" si="79"/>
        <v>0.10038146218973198</v>
      </c>
      <c r="L130" s="78">
        <f t="shared" si="85"/>
        <v>385.01732063017869</v>
      </c>
      <c r="M130" s="195">
        <f t="shared" si="86"/>
        <v>360.7799909730773</v>
      </c>
      <c r="N130" s="78">
        <f t="shared" si="91"/>
        <v>0</v>
      </c>
      <c r="O130" s="200">
        <f t="shared" si="92"/>
        <v>0</v>
      </c>
      <c r="P130" s="201">
        <f t="shared" si="93"/>
        <v>0</v>
      </c>
      <c r="Q130" s="78">
        <f t="shared" si="87"/>
        <v>153.00937612290519</v>
      </c>
      <c r="R130" s="196">
        <f t="shared" si="88"/>
        <v>125.78893402807594</v>
      </c>
      <c r="S130" s="202">
        <f t="shared" si="80"/>
        <v>-0.78642409336792551</v>
      </c>
      <c r="T130" s="200">
        <f t="shared" si="81"/>
        <v>-0.8868055555576575</v>
      </c>
      <c r="U130" s="201">
        <f t="shared" si="82"/>
        <v>0.10038146218973198</v>
      </c>
      <c r="V130" s="198">
        <f t="shared" si="89"/>
        <v>232.00794450727338</v>
      </c>
      <c r="W130" s="78">
        <f t="shared" si="90"/>
        <v>234.99105694500147</v>
      </c>
      <c r="X130" s="203">
        <f t="shared" si="83"/>
        <v>-0.78642409336792551</v>
      </c>
      <c r="Y130" s="204">
        <f t="shared" si="84"/>
        <v>0</v>
      </c>
      <c r="AB130" s="188"/>
      <c r="AC130" s="188"/>
    </row>
    <row r="131" spans="1:29">
      <c r="A131" s="248">
        <v>814.1</v>
      </c>
      <c r="B131" s="173">
        <v>26206</v>
      </c>
      <c r="C131" s="171">
        <v>1575</v>
      </c>
      <c r="D131" s="173" t="s">
        <v>241</v>
      </c>
      <c r="E131" s="173" t="s">
        <v>149</v>
      </c>
      <c r="F131" s="207" t="s">
        <v>149</v>
      </c>
      <c r="G131" s="208">
        <f t="shared" si="77"/>
        <v>1.0249999999999999</v>
      </c>
      <c r="H131" s="176" t="str">
        <f t="shared" si="94"/>
        <v>UNAV</v>
      </c>
      <c r="I131" s="199">
        <f t="shared" si="95"/>
        <v>-2.988411554798117E-2</v>
      </c>
      <c r="J131" s="200">
        <f t="shared" si="78"/>
        <v>-3.3698611111190983E-2</v>
      </c>
      <c r="K131" s="201">
        <f t="shared" si="79"/>
        <v>3.8144955632098132E-3</v>
      </c>
      <c r="L131" s="78">
        <f t="shared" si="85"/>
        <v>384.9874365146307</v>
      </c>
      <c r="M131" s="195">
        <f t="shared" si="86"/>
        <v>360.74629236196614</v>
      </c>
      <c r="N131" s="78">
        <f t="shared" si="91"/>
        <v>-2.988411554798117E-2</v>
      </c>
      <c r="O131" s="200">
        <f t="shared" si="92"/>
        <v>-3.3698611111190983E-2</v>
      </c>
      <c r="P131" s="201">
        <f t="shared" si="93"/>
        <v>3.8144955632098132E-3</v>
      </c>
      <c r="Q131" s="78">
        <f t="shared" si="87"/>
        <v>152.97949200735721</v>
      </c>
      <c r="R131" s="196">
        <f t="shared" si="88"/>
        <v>125.75523541696475</v>
      </c>
      <c r="S131" s="202">
        <f t="shared" si="80"/>
        <v>0</v>
      </c>
      <c r="T131" s="200">
        <f t="shared" si="81"/>
        <v>0</v>
      </c>
      <c r="U131" s="201">
        <f t="shared" si="82"/>
        <v>0</v>
      </c>
      <c r="V131" s="198">
        <f t="shared" si="89"/>
        <v>232.00794450727338</v>
      </c>
      <c r="W131" s="78">
        <f t="shared" si="90"/>
        <v>234.99105694500147</v>
      </c>
      <c r="X131" s="203">
        <f t="shared" si="83"/>
        <v>0</v>
      </c>
      <c r="Y131" s="204">
        <f t="shared" si="84"/>
        <v>0</v>
      </c>
      <c r="AB131" s="188"/>
      <c r="AC131" s="188"/>
    </row>
    <row r="132" spans="1:29">
      <c r="A132" s="248">
        <v>814.1</v>
      </c>
      <c r="B132" s="173">
        <v>26109</v>
      </c>
      <c r="C132" s="171"/>
      <c r="D132" s="173" t="s">
        <v>242</v>
      </c>
      <c r="E132" s="173" t="s">
        <v>116</v>
      </c>
      <c r="F132" s="174" t="s">
        <v>116</v>
      </c>
      <c r="G132" s="175">
        <f t="shared" si="77"/>
        <v>1.0249999999999999</v>
      </c>
      <c r="H132" s="176" t="str">
        <f t="shared" si="94"/>
        <v>UNAV</v>
      </c>
      <c r="I132" s="199">
        <f t="shared" si="95"/>
        <v>-1.9660602334198141E-2</v>
      </c>
      <c r="J132" s="200">
        <f t="shared" si="78"/>
        <v>-2.217013888894144E-2</v>
      </c>
      <c r="K132" s="201">
        <f t="shared" si="79"/>
        <v>2.5095365547432996E-3</v>
      </c>
      <c r="L132" s="78">
        <f t="shared" si="85"/>
        <v>384.96777591229653</v>
      </c>
      <c r="M132" s="195">
        <f t="shared" si="86"/>
        <v>360.72412222307719</v>
      </c>
      <c r="N132" s="78">
        <f t="shared" si="91"/>
        <v>0</v>
      </c>
      <c r="O132" s="200">
        <f t="shared" si="92"/>
        <v>0</v>
      </c>
      <c r="P132" s="201">
        <f t="shared" si="93"/>
        <v>0</v>
      </c>
      <c r="Q132" s="78">
        <f t="shared" si="87"/>
        <v>152.97949200735721</v>
      </c>
      <c r="R132" s="196">
        <f t="shared" si="88"/>
        <v>125.75523541696475</v>
      </c>
      <c r="S132" s="202">
        <f t="shared" si="80"/>
        <v>-1.9660602334198141E-2</v>
      </c>
      <c r="T132" s="200">
        <f t="shared" si="81"/>
        <v>-2.217013888894144E-2</v>
      </c>
      <c r="U132" s="201">
        <f t="shared" si="82"/>
        <v>2.5095365547432996E-3</v>
      </c>
      <c r="V132" s="198">
        <f t="shared" si="89"/>
        <v>231.98828390493918</v>
      </c>
      <c r="W132" s="78">
        <f t="shared" si="90"/>
        <v>234.96888680611252</v>
      </c>
      <c r="X132" s="203">
        <f t="shared" si="83"/>
        <v>-1.9660602334198141E-2</v>
      </c>
      <c r="Y132" s="204">
        <f t="shared" si="84"/>
        <v>0</v>
      </c>
      <c r="AB132" s="188"/>
      <c r="AC132" s="188"/>
    </row>
    <row r="133" spans="1:29" s="230" customFormat="1">
      <c r="A133" s="248">
        <v>814.1</v>
      </c>
      <c r="B133" s="173">
        <v>26127</v>
      </c>
      <c r="C133" s="171">
        <v>1424</v>
      </c>
      <c r="D133" s="173" t="s">
        <v>41</v>
      </c>
      <c r="E133" s="173" t="s">
        <v>149</v>
      </c>
      <c r="F133" s="174" t="s">
        <v>149</v>
      </c>
      <c r="G133" s="175">
        <f t="shared" si="77"/>
        <v>1.0249999999999999</v>
      </c>
      <c r="H133" s="176" t="str">
        <f t="shared" si="94"/>
        <v xml:space="preserve">    </v>
      </c>
      <c r="I133" s="199">
        <f t="shared" si="95"/>
        <v>-69.464177942499987</v>
      </c>
      <c r="J133" s="200">
        <f t="shared" si="78"/>
        <v>-64.736805555708997</v>
      </c>
      <c r="K133" s="201">
        <f t="shared" si="79"/>
        <v>-4.7273723867909894</v>
      </c>
      <c r="L133" s="78">
        <f t="shared" si="85"/>
        <v>315.50359796979654</v>
      </c>
      <c r="M133" s="195">
        <f t="shared" si="86"/>
        <v>295.98731666736819</v>
      </c>
      <c r="N133" s="78">
        <f t="shared" si="91"/>
        <v>-69.464177942499987</v>
      </c>
      <c r="O133" s="200">
        <f t="shared" si="92"/>
        <v>-64.736805555708997</v>
      </c>
      <c r="P133" s="201">
        <f t="shared" si="93"/>
        <v>-4.7273723867909894</v>
      </c>
      <c r="Q133" s="78">
        <f t="shared" si="87"/>
        <v>83.515314064857222</v>
      </c>
      <c r="R133" s="196">
        <f t="shared" si="88"/>
        <v>61.018429861255754</v>
      </c>
      <c r="S133" s="202">
        <f t="shared" si="80"/>
        <v>0</v>
      </c>
      <c r="T133" s="200">
        <f t="shared" si="81"/>
        <v>0</v>
      </c>
      <c r="U133" s="201">
        <f t="shared" si="82"/>
        <v>0</v>
      </c>
      <c r="V133" s="198">
        <f t="shared" si="89"/>
        <v>231.98828390493918</v>
      </c>
      <c r="W133" s="78">
        <f t="shared" si="90"/>
        <v>234.96888680611252</v>
      </c>
      <c r="X133" s="203">
        <f t="shared" si="83"/>
        <v>0</v>
      </c>
      <c r="Y133" s="204">
        <f t="shared" si="84"/>
        <v>0</v>
      </c>
      <c r="AB133" s="231"/>
      <c r="AC133" s="231"/>
    </row>
    <row r="134" spans="1:29">
      <c r="A134" s="248">
        <v>814.1</v>
      </c>
      <c r="B134" s="173">
        <v>26215</v>
      </c>
      <c r="C134" s="171"/>
      <c r="D134" s="173" t="s">
        <v>42</v>
      </c>
      <c r="E134" s="173" t="s">
        <v>149</v>
      </c>
      <c r="F134" s="174" t="s">
        <v>149</v>
      </c>
      <c r="G134" s="175">
        <f t="shared" si="77"/>
        <v>1.0249999999999999</v>
      </c>
      <c r="H134" s="176" t="str">
        <f t="shared" si="94"/>
        <v xml:space="preserve">    </v>
      </c>
      <c r="I134" s="199">
        <f t="shared" si="95"/>
        <v>-32.376272584999995</v>
      </c>
      <c r="J134" s="200">
        <f t="shared" si="78"/>
        <v>-31.038194444518012</v>
      </c>
      <c r="K134" s="201">
        <f t="shared" si="79"/>
        <v>-1.3380781404819828</v>
      </c>
      <c r="L134" s="78">
        <f t="shared" si="85"/>
        <v>283.12732538479656</v>
      </c>
      <c r="M134" s="195">
        <f t="shared" si="86"/>
        <v>264.94912222285018</v>
      </c>
      <c r="N134" s="78">
        <f t="shared" si="91"/>
        <v>-32.376272584999995</v>
      </c>
      <c r="O134" s="200">
        <f t="shared" si="92"/>
        <v>-31.038194444518012</v>
      </c>
      <c r="P134" s="201">
        <f t="shared" si="93"/>
        <v>-1.3380781404819828</v>
      </c>
      <c r="Q134" s="78">
        <f t="shared" si="87"/>
        <v>51.139041479857227</v>
      </c>
      <c r="R134" s="196">
        <f t="shared" si="88"/>
        <v>29.980235416737742</v>
      </c>
      <c r="S134" s="202">
        <f t="shared" si="80"/>
        <v>0</v>
      </c>
      <c r="T134" s="200">
        <f t="shared" si="81"/>
        <v>0</v>
      </c>
      <c r="U134" s="201">
        <f t="shared" si="82"/>
        <v>0</v>
      </c>
      <c r="V134" s="198">
        <f t="shared" si="89"/>
        <v>231.98828390493918</v>
      </c>
      <c r="W134" s="78">
        <f t="shared" si="90"/>
        <v>234.96888680611252</v>
      </c>
      <c r="X134" s="203">
        <f t="shared" si="83"/>
        <v>0</v>
      </c>
      <c r="Y134" s="204">
        <f t="shared" si="84"/>
        <v>0</v>
      </c>
      <c r="AB134" s="188"/>
      <c r="AC134" s="188"/>
    </row>
    <row r="135" spans="1:29">
      <c r="A135" s="248">
        <v>814.1</v>
      </c>
      <c r="B135" s="173">
        <v>26035</v>
      </c>
      <c r="C135" s="171"/>
      <c r="D135" s="173" t="s">
        <v>243</v>
      </c>
      <c r="E135" s="173" t="s">
        <v>116</v>
      </c>
      <c r="F135" s="174" t="s">
        <v>116</v>
      </c>
      <c r="G135" s="175">
        <f t="shared" si="77"/>
        <v>1.02666272</v>
      </c>
      <c r="H135" s="176" t="str">
        <f t="shared" si="94"/>
        <v xml:space="preserve">    </v>
      </c>
      <c r="I135" s="199">
        <f t="shared" si="95"/>
        <v>-37.040972282849218</v>
      </c>
      <c r="J135" s="200">
        <f t="shared" si="78"/>
        <v>-34.851458333415934</v>
      </c>
      <c r="K135" s="201">
        <f t="shared" si="79"/>
        <v>-2.1895139494332838</v>
      </c>
      <c r="L135" s="78">
        <f t="shared" si="85"/>
        <v>246.08635310194734</v>
      </c>
      <c r="M135" s="195">
        <f t="shared" si="86"/>
        <v>230.09766388943424</v>
      </c>
      <c r="N135" s="78">
        <f t="shared" si="91"/>
        <v>0</v>
      </c>
      <c r="O135" s="200">
        <f t="shared" si="92"/>
        <v>0</v>
      </c>
      <c r="P135" s="201">
        <f t="shared" si="93"/>
        <v>0</v>
      </c>
      <c r="Q135" s="78">
        <f t="shared" si="87"/>
        <v>51.139041479857227</v>
      </c>
      <c r="R135" s="196">
        <f t="shared" si="88"/>
        <v>29.980235416737742</v>
      </c>
      <c r="S135" s="202">
        <f t="shared" si="80"/>
        <v>-37.040972282849218</v>
      </c>
      <c r="T135" s="200">
        <f t="shared" si="81"/>
        <v>-34.851458333415934</v>
      </c>
      <c r="U135" s="201">
        <f t="shared" si="82"/>
        <v>-2.1895139494332838</v>
      </c>
      <c r="V135" s="198">
        <f t="shared" si="89"/>
        <v>194.94731162208996</v>
      </c>
      <c r="W135" s="78">
        <f t="shared" si="90"/>
        <v>200.11742847269659</v>
      </c>
      <c r="X135" s="203">
        <f t="shared" si="83"/>
        <v>-37.040972282849218</v>
      </c>
      <c r="Y135" s="204">
        <f t="shared" si="84"/>
        <v>0</v>
      </c>
      <c r="AB135" s="188"/>
      <c r="AC135" s="188"/>
    </row>
    <row r="136" spans="1:29">
      <c r="A136" s="248">
        <v>814.1</v>
      </c>
      <c r="B136" s="173">
        <v>26059</v>
      </c>
      <c r="C136" s="171">
        <v>3528</v>
      </c>
      <c r="D136" s="173" t="s">
        <v>43</v>
      </c>
      <c r="E136" s="173" t="s">
        <v>149</v>
      </c>
      <c r="F136" s="174" t="s">
        <v>149</v>
      </c>
      <c r="G136" s="175">
        <f t="shared" si="77"/>
        <v>1.0249999999999999</v>
      </c>
      <c r="H136" s="176" t="str">
        <f t="shared" si="94"/>
        <v xml:space="preserve">    </v>
      </c>
      <c r="I136" s="199">
        <f t="shared" si="95"/>
        <v>-15.754273984999998</v>
      </c>
      <c r="J136" s="200">
        <f t="shared" si="78"/>
        <v>-15.075694444480177</v>
      </c>
      <c r="K136" s="201">
        <f t="shared" si="79"/>
        <v>-0.67857954051982006</v>
      </c>
      <c r="L136" s="78">
        <f t="shared" si="85"/>
        <v>230.33207911694734</v>
      </c>
      <c r="M136" s="195">
        <f t="shared" si="86"/>
        <v>215.02196944495407</v>
      </c>
      <c r="N136" s="78">
        <f t="shared" si="91"/>
        <v>-15.754273984999998</v>
      </c>
      <c r="O136" s="200">
        <f t="shared" si="92"/>
        <v>-15.075694444480177</v>
      </c>
      <c r="P136" s="201">
        <f t="shared" si="93"/>
        <v>-0.67857954051982006</v>
      </c>
      <c r="Q136" s="78">
        <f t="shared" si="87"/>
        <v>35.384767494857229</v>
      </c>
      <c r="R136" s="196">
        <f t="shared" si="88"/>
        <v>14.904540972257564</v>
      </c>
      <c r="S136" s="202">
        <f t="shared" si="80"/>
        <v>0</v>
      </c>
      <c r="T136" s="200">
        <f t="shared" si="81"/>
        <v>0</v>
      </c>
      <c r="U136" s="201">
        <f t="shared" si="82"/>
        <v>0</v>
      </c>
      <c r="V136" s="198">
        <f t="shared" si="89"/>
        <v>194.94731162208996</v>
      </c>
      <c r="W136" s="78">
        <f t="shared" si="90"/>
        <v>200.11742847269659</v>
      </c>
      <c r="X136" s="203">
        <f t="shared" si="83"/>
        <v>0</v>
      </c>
      <c r="Y136" s="204">
        <f t="shared" si="84"/>
        <v>0</v>
      </c>
      <c r="AB136" s="188"/>
      <c r="AC136" s="188"/>
    </row>
    <row r="137" spans="1:29">
      <c r="A137" s="248">
        <v>814.1</v>
      </c>
      <c r="B137" s="173">
        <v>26056</v>
      </c>
      <c r="C137" s="171">
        <v>8085</v>
      </c>
      <c r="D137" s="173" t="s">
        <v>244</v>
      </c>
      <c r="E137" s="173" t="s">
        <v>149</v>
      </c>
      <c r="F137" s="174" t="s">
        <v>149</v>
      </c>
      <c r="G137" s="175">
        <f t="shared" si="77"/>
        <v>1.0249999999999999</v>
      </c>
      <c r="H137" s="176" t="str">
        <f t="shared" si="94"/>
        <v>UNAV</v>
      </c>
      <c r="I137" s="199">
        <f t="shared" si="95"/>
        <v>0</v>
      </c>
      <c r="J137" s="200">
        <f t="shared" si="78"/>
        <v>0</v>
      </c>
      <c r="K137" s="201">
        <f t="shared" si="79"/>
        <v>0</v>
      </c>
      <c r="L137" s="78">
        <f t="shared" si="85"/>
        <v>230.33207911694734</v>
      </c>
      <c r="M137" s="195">
        <f t="shared" si="86"/>
        <v>215.02196944495407</v>
      </c>
      <c r="N137" s="78">
        <f t="shared" si="91"/>
        <v>0</v>
      </c>
      <c r="O137" s="200">
        <f t="shared" si="92"/>
        <v>0</v>
      </c>
      <c r="P137" s="201">
        <f t="shared" si="93"/>
        <v>0</v>
      </c>
      <c r="Q137" s="78">
        <f t="shared" si="87"/>
        <v>35.384767494857229</v>
      </c>
      <c r="R137" s="196">
        <f t="shared" si="88"/>
        <v>14.904540972257564</v>
      </c>
      <c r="S137" s="202">
        <f t="shared" si="80"/>
        <v>0</v>
      </c>
      <c r="T137" s="200">
        <f t="shared" si="81"/>
        <v>0</v>
      </c>
      <c r="U137" s="201">
        <f t="shared" si="82"/>
        <v>0</v>
      </c>
      <c r="V137" s="198">
        <f t="shared" si="89"/>
        <v>194.94731162208996</v>
      </c>
      <c r="W137" s="78">
        <f t="shared" si="90"/>
        <v>200.11742847269659</v>
      </c>
      <c r="X137" s="203">
        <f t="shared" si="83"/>
        <v>0</v>
      </c>
      <c r="Y137" s="204">
        <f t="shared" si="84"/>
        <v>0</v>
      </c>
      <c r="AB137" s="188"/>
      <c r="AC137" s="188"/>
    </row>
    <row r="138" spans="1:29">
      <c r="A138" s="248">
        <v>814.1</v>
      </c>
      <c r="B138" s="173">
        <v>26099</v>
      </c>
      <c r="C138" s="171"/>
      <c r="D138" s="173" t="s">
        <v>245</v>
      </c>
      <c r="E138" s="173" t="s">
        <v>149</v>
      </c>
      <c r="F138" s="174" t="s">
        <v>116</v>
      </c>
      <c r="G138" s="175">
        <f t="shared" si="77"/>
        <v>1.0249999999999999</v>
      </c>
      <c r="H138" s="176" t="str">
        <f t="shared" si="94"/>
        <v>UNAV</v>
      </c>
      <c r="I138" s="199">
        <f t="shared" si="95"/>
        <v>0</v>
      </c>
      <c r="J138" s="200">
        <f t="shared" si="78"/>
        <v>0</v>
      </c>
      <c r="K138" s="201">
        <f t="shared" si="79"/>
        <v>0</v>
      </c>
      <c r="L138" s="78">
        <f t="shared" si="85"/>
        <v>230.33207911694734</v>
      </c>
      <c r="M138" s="195">
        <f t="shared" si="86"/>
        <v>215.02196944495407</v>
      </c>
      <c r="N138" s="78">
        <f t="shared" si="91"/>
        <v>0</v>
      </c>
      <c r="O138" s="200">
        <f t="shared" si="92"/>
        <v>0</v>
      </c>
      <c r="P138" s="201">
        <f t="shared" si="93"/>
        <v>0</v>
      </c>
      <c r="Q138" s="78">
        <f t="shared" si="87"/>
        <v>35.384767494857229</v>
      </c>
      <c r="R138" s="196">
        <f t="shared" si="88"/>
        <v>14.904540972257564</v>
      </c>
      <c r="S138" s="202">
        <f t="shared" si="80"/>
        <v>0</v>
      </c>
      <c r="T138" s="200">
        <f t="shared" si="81"/>
        <v>0</v>
      </c>
      <c r="U138" s="201">
        <f t="shared" si="82"/>
        <v>0</v>
      </c>
      <c r="V138" s="198">
        <f t="shared" si="89"/>
        <v>194.94731162208996</v>
      </c>
      <c r="W138" s="78">
        <f t="shared" si="90"/>
        <v>200.11742847269659</v>
      </c>
      <c r="X138" s="203">
        <f t="shared" si="83"/>
        <v>0</v>
      </c>
      <c r="Y138" s="204">
        <f t="shared" si="84"/>
        <v>0</v>
      </c>
      <c r="AB138" s="188"/>
      <c r="AC138" s="188"/>
    </row>
    <row r="139" spans="1:29">
      <c r="A139" s="248">
        <v>814.1</v>
      </c>
      <c r="B139" s="173">
        <v>26186</v>
      </c>
      <c r="C139" s="171"/>
      <c r="D139" s="173" t="s">
        <v>246</v>
      </c>
      <c r="E139" s="173" t="s">
        <v>116</v>
      </c>
      <c r="F139" s="174" t="s">
        <v>116</v>
      </c>
      <c r="G139" s="175">
        <f t="shared" si="77"/>
        <v>1.0237869899999998</v>
      </c>
      <c r="H139" s="176" t="str">
        <f t="shared" si="94"/>
        <v xml:space="preserve">    </v>
      </c>
      <c r="I139" s="199">
        <f t="shared" si="95"/>
        <v>-1.6665868753840412</v>
      </c>
      <c r="J139" s="200">
        <f t="shared" si="78"/>
        <v>-0.8868055555576575</v>
      </c>
      <c r="K139" s="201">
        <f t="shared" si="79"/>
        <v>-0.77978131982638366</v>
      </c>
      <c r="L139" s="78">
        <f t="shared" si="85"/>
        <v>228.6654922415633</v>
      </c>
      <c r="M139" s="195">
        <f t="shared" si="86"/>
        <v>214.13516388939641</v>
      </c>
      <c r="N139" s="78">
        <f t="shared" si="91"/>
        <v>0</v>
      </c>
      <c r="O139" s="200">
        <f t="shared" si="92"/>
        <v>0</v>
      </c>
      <c r="P139" s="201">
        <f t="shared" si="93"/>
        <v>0</v>
      </c>
      <c r="Q139" s="78">
        <f t="shared" si="87"/>
        <v>35.384767494857229</v>
      </c>
      <c r="R139" s="196">
        <f t="shared" si="88"/>
        <v>14.904540972257564</v>
      </c>
      <c r="S139" s="202">
        <f t="shared" si="80"/>
        <v>-1.6665868753840412</v>
      </c>
      <c r="T139" s="200">
        <f t="shared" si="81"/>
        <v>-0.8868055555576575</v>
      </c>
      <c r="U139" s="201">
        <f t="shared" si="82"/>
        <v>-0.77978131982638366</v>
      </c>
      <c r="V139" s="198">
        <f t="shared" si="89"/>
        <v>193.28072474670591</v>
      </c>
      <c r="W139" s="78">
        <f t="shared" si="90"/>
        <v>199.23062291713893</v>
      </c>
      <c r="X139" s="203">
        <f t="shared" si="83"/>
        <v>-1.6665868753840412</v>
      </c>
      <c r="Y139" s="204">
        <f t="shared" si="84"/>
        <v>0</v>
      </c>
      <c r="AB139" s="188"/>
      <c r="AC139" s="188"/>
    </row>
    <row r="140" spans="1:29">
      <c r="A140" s="248">
        <v>814.1</v>
      </c>
      <c r="B140" s="173">
        <v>26030</v>
      </c>
      <c r="C140" s="171"/>
      <c r="D140" s="173" t="s">
        <v>247</v>
      </c>
      <c r="E140" s="173" t="s">
        <v>149</v>
      </c>
      <c r="F140" s="174" t="s">
        <v>149</v>
      </c>
      <c r="G140" s="175">
        <f t="shared" si="77"/>
        <v>1.0249999999999999</v>
      </c>
      <c r="H140" s="176" t="str">
        <f t="shared" si="94"/>
        <v>UNAV</v>
      </c>
      <c r="I140" s="199">
        <f t="shared" si="95"/>
        <v>-6.4486775656169892E-2</v>
      </c>
      <c r="J140" s="200">
        <f t="shared" si="78"/>
        <v>-7.2718055555727912E-2</v>
      </c>
      <c r="K140" s="201">
        <f t="shared" si="79"/>
        <v>8.2312798995580194E-3</v>
      </c>
      <c r="L140" s="78">
        <f t="shared" si="85"/>
        <v>228.60100546590712</v>
      </c>
      <c r="M140" s="195">
        <f t="shared" si="86"/>
        <v>214.06244583384068</v>
      </c>
      <c r="N140" s="78">
        <f t="shared" si="91"/>
        <v>-6.4486775656169892E-2</v>
      </c>
      <c r="O140" s="200">
        <f t="shared" si="92"/>
        <v>-7.2718055555727912E-2</v>
      </c>
      <c r="P140" s="201">
        <f t="shared" si="93"/>
        <v>8.2312798995580194E-3</v>
      </c>
      <c r="Q140" s="78">
        <f t="shared" si="87"/>
        <v>35.320280719201058</v>
      </c>
      <c r="R140" s="196">
        <f t="shared" si="88"/>
        <v>14.831822916701837</v>
      </c>
      <c r="S140" s="202">
        <f t="shared" si="80"/>
        <v>0</v>
      </c>
      <c r="T140" s="200">
        <f t="shared" si="81"/>
        <v>0</v>
      </c>
      <c r="U140" s="201">
        <f t="shared" si="82"/>
        <v>0</v>
      </c>
      <c r="V140" s="198">
        <f t="shared" si="89"/>
        <v>193.28072474670591</v>
      </c>
      <c r="W140" s="78">
        <f t="shared" si="90"/>
        <v>199.23062291713893</v>
      </c>
      <c r="X140" s="203">
        <f t="shared" si="83"/>
        <v>0</v>
      </c>
      <c r="Y140" s="204">
        <f t="shared" si="84"/>
        <v>0</v>
      </c>
      <c r="AB140" s="188"/>
      <c r="AC140" s="188"/>
    </row>
    <row r="141" spans="1:29">
      <c r="A141" s="248">
        <v>814.1</v>
      </c>
      <c r="B141" s="173">
        <v>26149</v>
      </c>
      <c r="C141" s="171"/>
      <c r="D141" s="173" t="s">
        <v>248</v>
      </c>
      <c r="E141" s="173" t="s">
        <v>116</v>
      </c>
      <c r="F141" s="174" t="s">
        <v>116</v>
      </c>
      <c r="G141" s="175">
        <f t="shared" si="77"/>
        <v>1.0249999999999999</v>
      </c>
      <c r="H141" s="176" t="str">
        <f t="shared" si="94"/>
        <v>UNAV</v>
      </c>
      <c r="I141" s="199">
        <f t="shared" si="95"/>
        <v>-0.31456963734717025</v>
      </c>
      <c r="J141" s="200">
        <f t="shared" si="78"/>
        <v>-0.35472222222306304</v>
      </c>
      <c r="K141" s="201">
        <f t="shared" si="79"/>
        <v>4.0152584875892794E-2</v>
      </c>
      <c r="L141" s="78">
        <f t="shared" si="85"/>
        <v>228.28643582855995</v>
      </c>
      <c r="M141" s="195">
        <f t="shared" si="86"/>
        <v>213.70772361161761</v>
      </c>
      <c r="N141" s="78">
        <f t="shared" si="91"/>
        <v>0</v>
      </c>
      <c r="O141" s="200">
        <f t="shared" si="92"/>
        <v>0</v>
      </c>
      <c r="P141" s="201">
        <f t="shared" si="93"/>
        <v>0</v>
      </c>
      <c r="Q141" s="78">
        <f t="shared" si="87"/>
        <v>35.320280719201058</v>
      </c>
      <c r="R141" s="196">
        <f t="shared" si="88"/>
        <v>14.831822916701837</v>
      </c>
      <c r="S141" s="202">
        <f t="shared" si="80"/>
        <v>-0.31456963734717025</v>
      </c>
      <c r="T141" s="200">
        <f t="shared" si="81"/>
        <v>-0.35472222222306304</v>
      </c>
      <c r="U141" s="201">
        <f t="shared" si="82"/>
        <v>4.0152584875892794E-2</v>
      </c>
      <c r="V141" s="198">
        <f t="shared" si="89"/>
        <v>192.96615510935874</v>
      </c>
      <c r="W141" s="78">
        <f t="shared" si="90"/>
        <v>198.87590069491586</v>
      </c>
      <c r="X141" s="203">
        <f t="shared" si="83"/>
        <v>-0.31456963734717025</v>
      </c>
      <c r="Y141" s="204">
        <f t="shared" si="84"/>
        <v>0</v>
      </c>
      <c r="AB141" s="188"/>
      <c r="AC141" s="188"/>
    </row>
    <row r="142" spans="1:29">
      <c r="A142" s="248">
        <v>814.1</v>
      </c>
      <c r="B142" s="173">
        <v>26198</v>
      </c>
      <c r="C142" s="171"/>
      <c r="D142" s="173" t="s">
        <v>249</v>
      </c>
      <c r="E142" s="173" t="s">
        <v>116</v>
      </c>
      <c r="F142" s="174" t="s">
        <v>116</v>
      </c>
      <c r="G142" s="175">
        <f t="shared" si="77"/>
        <v>1.0237869899999998</v>
      </c>
      <c r="H142" s="176" t="str">
        <f t="shared" si="94"/>
        <v xml:space="preserve">    </v>
      </c>
      <c r="I142" s="199">
        <f t="shared" si="95"/>
        <v>-8.2237549578438625</v>
      </c>
      <c r="J142" s="200">
        <f t="shared" si="78"/>
        <v>-8.0841194444636049</v>
      </c>
      <c r="K142" s="201">
        <f t="shared" si="79"/>
        <v>-0.13963551338025759</v>
      </c>
      <c r="L142" s="78">
        <f t="shared" si="85"/>
        <v>220.06268087071609</v>
      </c>
      <c r="M142" s="195">
        <f t="shared" si="86"/>
        <v>205.62360416715401</v>
      </c>
      <c r="N142" s="78">
        <f t="shared" si="91"/>
        <v>0</v>
      </c>
      <c r="O142" s="200">
        <f t="shared" si="92"/>
        <v>0</v>
      </c>
      <c r="P142" s="201">
        <f t="shared" si="93"/>
        <v>0</v>
      </c>
      <c r="Q142" s="78">
        <f t="shared" si="87"/>
        <v>35.320280719201058</v>
      </c>
      <c r="R142" s="196">
        <f t="shared" si="88"/>
        <v>14.831822916701837</v>
      </c>
      <c r="S142" s="202">
        <f t="shared" si="80"/>
        <v>-8.2237549578438625</v>
      </c>
      <c r="T142" s="200">
        <f t="shared" si="81"/>
        <v>-8.0841194444636049</v>
      </c>
      <c r="U142" s="201">
        <f t="shared" si="82"/>
        <v>-0.13963551338025759</v>
      </c>
      <c r="V142" s="198">
        <f t="shared" si="89"/>
        <v>184.74240015151489</v>
      </c>
      <c r="W142" s="78">
        <f t="shared" si="90"/>
        <v>190.79178125045226</v>
      </c>
      <c r="X142" s="203">
        <f t="shared" si="83"/>
        <v>-8.2237549578438625</v>
      </c>
      <c r="Y142" s="204">
        <f t="shared" si="84"/>
        <v>0</v>
      </c>
      <c r="AB142" s="188"/>
      <c r="AC142" s="188"/>
    </row>
    <row r="143" spans="1:29">
      <c r="A143" s="248">
        <v>814.1</v>
      </c>
      <c r="B143" s="209">
        <v>26203</v>
      </c>
      <c r="C143" s="171"/>
      <c r="D143" s="173" t="s">
        <v>250</v>
      </c>
      <c r="E143" s="173" t="s">
        <v>116</v>
      </c>
      <c r="F143" s="174" t="s">
        <v>116</v>
      </c>
      <c r="G143" s="175">
        <f t="shared" si="77"/>
        <v>1.0237869899999998</v>
      </c>
      <c r="H143" s="176" t="str">
        <f t="shared" si="94"/>
        <v xml:space="preserve">    </v>
      </c>
      <c r="I143" s="199">
        <f t="shared" si="95"/>
        <v>-30.995673048857498</v>
      </c>
      <c r="J143" s="200">
        <f t="shared" si="78"/>
        <v>-31.038194444518012</v>
      </c>
      <c r="K143" s="201">
        <f t="shared" si="79"/>
        <v>4.2521395660514827E-2</v>
      </c>
      <c r="L143" s="78">
        <f t="shared" si="85"/>
        <v>189.0670078218586</v>
      </c>
      <c r="M143" s="195">
        <f t="shared" si="86"/>
        <v>174.585409722636</v>
      </c>
      <c r="N143" s="78">
        <f t="shared" si="91"/>
        <v>0</v>
      </c>
      <c r="O143" s="200">
        <f t="shared" si="92"/>
        <v>0</v>
      </c>
      <c r="P143" s="201">
        <f t="shared" si="93"/>
        <v>0</v>
      </c>
      <c r="Q143" s="78">
        <f t="shared" si="87"/>
        <v>35.320280719201058</v>
      </c>
      <c r="R143" s="196">
        <f t="shared" si="88"/>
        <v>14.831822916701837</v>
      </c>
      <c r="S143" s="202">
        <f t="shared" si="80"/>
        <v>-30.995673048857498</v>
      </c>
      <c r="T143" s="200">
        <f t="shared" si="81"/>
        <v>-31.038194444518012</v>
      </c>
      <c r="U143" s="201">
        <f t="shared" si="82"/>
        <v>4.2521395660514827E-2</v>
      </c>
      <c r="V143" s="198">
        <f t="shared" si="89"/>
        <v>153.74672710265739</v>
      </c>
      <c r="W143" s="78">
        <f t="shared" si="90"/>
        <v>159.75358680593425</v>
      </c>
      <c r="X143" s="203">
        <f t="shared" si="83"/>
        <v>-30.995673048857498</v>
      </c>
      <c r="Y143" s="204">
        <f t="shared" si="84"/>
        <v>0</v>
      </c>
      <c r="AB143" s="188"/>
      <c r="AC143" s="188"/>
    </row>
    <row r="144" spans="1:29">
      <c r="A144" s="248">
        <v>814.1</v>
      </c>
      <c r="B144" s="209">
        <v>26190</v>
      </c>
      <c r="C144" s="171"/>
      <c r="D144" s="173" t="s">
        <v>251</v>
      </c>
      <c r="E144" s="173" t="s">
        <v>116</v>
      </c>
      <c r="F144" s="174" t="s">
        <v>116</v>
      </c>
      <c r="G144" s="175">
        <f t="shared" si="77"/>
        <v>1.0237869899999998</v>
      </c>
      <c r="H144" s="176" t="str">
        <f t="shared" si="94"/>
        <v xml:space="preserve">    </v>
      </c>
      <c r="I144" s="199">
        <f t="shared" si="95"/>
        <v>-8.8612103270525271</v>
      </c>
      <c r="J144" s="200">
        <f t="shared" si="78"/>
        <v>-8.868055555576575</v>
      </c>
      <c r="K144" s="201">
        <f t="shared" si="79"/>
        <v>6.8452285240478972E-3</v>
      </c>
      <c r="L144" s="78">
        <f t="shared" si="85"/>
        <v>180.20579749480606</v>
      </c>
      <c r="M144" s="195">
        <f t="shared" si="86"/>
        <v>165.71735416705943</v>
      </c>
      <c r="N144" s="78">
        <f t="shared" si="91"/>
        <v>0</v>
      </c>
      <c r="O144" s="200">
        <f t="shared" si="92"/>
        <v>0</v>
      </c>
      <c r="P144" s="201">
        <f t="shared" si="93"/>
        <v>0</v>
      </c>
      <c r="Q144" s="78">
        <f t="shared" si="87"/>
        <v>35.320280719201058</v>
      </c>
      <c r="R144" s="196">
        <f t="shared" si="88"/>
        <v>14.831822916701837</v>
      </c>
      <c r="S144" s="202">
        <f t="shared" si="80"/>
        <v>-8.8612103270525271</v>
      </c>
      <c r="T144" s="200">
        <f t="shared" si="81"/>
        <v>-8.868055555576575</v>
      </c>
      <c r="U144" s="201">
        <f t="shared" si="82"/>
        <v>6.8452285240478972E-3</v>
      </c>
      <c r="V144" s="198">
        <f t="shared" si="89"/>
        <v>144.88551677560486</v>
      </c>
      <c r="W144" s="78">
        <f t="shared" si="90"/>
        <v>150.88553125035767</v>
      </c>
      <c r="X144" s="203">
        <f t="shared" si="83"/>
        <v>-8.8612103270525271</v>
      </c>
      <c r="Y144" s="204">
        <f t="shared" si="84"/>
        <v>0</v>
      </c>
      <c r="AB144" s="188"/>
      <c r="AC144" s="188"/>
    </row>
    <row r="145" spans="1:29">
      <c r="A145" s="268">
        <v>814.1</v>
      </c>
      <c r="B145" s="206">
        <v>16068</v>
      </c>
      <c r="C145" s="205"/>
      <c r="D145" s="206" t="s">
        <v>252</v>
      </c>
      <c r="E145" s="206" t="s">
        <v>118</v>
      </c>
      <c r="F145" s="207" t="s">
        <v>116</v>
      </c>
      <c r="G145" s="208">
        <f t="shared" si="77"/>
        <v>1.026</v>
      </c>
      <c r="H145" s="176" t="str">
        <f t="shared" si="94"/>
        <v xml:space="preserve">    </v>
      </c>
      <c r="I145" s="199">
        <f t="shared" si="95"/>
        <v>0</v>
      </c>
      <c r="J145" s="200">
        <f t="shared" si="78"/>
        <v>0</v>
      </c>
      <c r="K145" s="201">
        <f t="shared" si="79"/>
        <v>0</v>
      </c>
      <c r="L145" s="78">
        <f t="shared" si="85"/>
        <v>180.20579749480606</v>
      </c>
      <c r="M145" s="195">
        <f t="shared" si="86"/>
        <v>165.71735416705943</v>
      </c>
      <c r="N145" s="78">
        <f t="shared" si="91"/>
        <v>0</v>
      </c>
      <c r="O145" s="200">
        <f t="shared" si="92"/>
        <v>0</v>
      </c>
      <c r="P145" s="201">
        <f t="shared" si="93"/>
        <v>0</v>
      </c>
      <c r="Q145" s="78">
        <f t="shared" si="87"/>
        <v>35.320280719201058</v>
      </c>
      <c r="R145" s="196">
        <f t="shared" si="88"/>
        <v>14.831822916701837</v>
      </c>
      <c r="S145" s="202">
        <f t="shared" si="80"/>
        <v>0</v>
      </c>
      <c r="T145" s="200">
        <f t="shared" si="81"/>
        <v>0</v>
      </c>
      <c r="U145" s="201">
        <f t="shared" si="82"/>
        <v>0</v>
      </c>
      <c r="V145" s="198">
        <f t="shared" si="89"/>
        <v>144.88551677560486</v>
      </c>
      <c r="W145" s="78">
        <f t="shared" si="90"/>
        <v>150.88553125035767</v>
      </c>
      <c r="X145" s="203">
        <f t="shared" si="83"/>
        <v>0</v>
      </c>
      <c r="Y145" s="204">
        <f t="shared" si="84"/>
        <v>0</v>
      </c>
      <c r="AB145" s="188"/>
      <c r="AC145" s="188"/>
    </row>
    <row r="146" spans="1:29">
      <c r="A146" s="248">
        <v>814.1</v>
      </c>
      <c r="B146" s="209">
        <v>26165</v>
      </c>
      <c r="C146" s="171"/>
      <c r="D146" s="173" t="s">
        <v>253</v>
      </c>
      <c r="E146" s="173" t="s">
        <v>116</v>
      </c>
      <c r="F146" s="174" t="s">
        <v>116</v>
      </c>
      <c r="G146" s="175">
        <f t="shared" si="77"/>
        <v>1.0237869899999998</v>
      </c>
      <c r="H146" s="176" t="str">
        <f t="shared" si="94"/>
        <v xml:space="preserve">    </v>
      </c>
      <c r="I146" s="199">
        <f t="shared" si="95"/>
        <v>-23.025999232433239</v>
      </c>
      <c r="J146" s="200">
        <f t="shared" si="78"/>
        <v>-23.056944444499095</v>
      </c>
      <c r="K146" s="201">
        <f t="shared" si="79"/>
        <v>3.0945212065855543E-2</v>
      </c>
      <c r="L146" s="78">
        <f t="shared" si="85"/>
        <v>157.17979826237283</v>
      </c>
      <c r="M146" s="195">
        <f t="shared" si="86"/>
        <v>142.66040972256033</v>
      </c>
      <c r="N146" s="78">
        <f t="shared" si="91"/>
        <v>0</v>
      </c>
      <c r="O146" s="200">
        <f t="shared" si="92"/>
        <v>0</v>
      </c>
      <c r="P146" s="201">
        <f t="shared" si="93"/>
        <v>0</v>
      </c>
      <c r="Q146" s="78">
        <f t="shared" si="87"/>
        <v>35.320280719201058</v>
      </c>
      <c r="R146" s="196">
        <f t="shared" si="88"/>
        <v>14.831822916701837</v>
      </c>
      <c r="S146" s="202">
        <f t="shared" si="80"/>
        <v>-23.025999232433239</v>
      </c>
      <c r="T146" s="200">
        <f t="shared" si="81"/>
        <v>-23.056944444499095</v>
      </c>
      <c r="U146" s="201">
        <f t="shared" si="82"/>
        <v>3.0945212065855543E-2</v>
      </c>
      <c r="V146" s="198">
        <f t="shared" si="89"/>
        <v>121.85951754317162</v>
      </c>
      <c r="W146" s="78">
        <f t="shared" si="90"/>
        <v>127.82858680585858</v>
      </c>
      <c r="X146" s="203">
        <f t="shared" si="83"/>
        <v>-23.025999232433239</v>
      </c>
      <c r="Y146" s="204">
        <f t="shared" si="84"/>
        <v>0</v>
      </c>
      <c r="AB146" s="188"/>
      <c r="AC146" s="188"/>
    </row>
    <row r="147" spans="1:29">
      <c r="A147" s="248">
        <v>814.1</v>
      </c>
      <c r="B147" s="305">
        <v>26166</v>
      </c>
      <c r="C147" s="171"/>
      <c r="D147" s="173" t="s">
        <v>254</v>
      </c>
      <c r="E147" s="173" t="s">
        <v>116</v>
      </c>
      <c r="F147" s="174" t="s">
        <v>116</v>
      </c>
      <c r="G147" s="175">
        <f t="shared" si="77"/>
        <v>1.0237869899999998</v>
      </c>
      <c r="H147" s="176" t="str">
        <f t="shared" si="94"/>
        <v xml:space="preserve">    </v>
      </c>
      <c r="I147" s="199">
        <f t="shared" si="95"/>
        <v>-4.4199078948091755</v>
      </c>
      <c r="J147" s="200">
        <f t="shared" si="78"/>
        <v>-4.4340277777882875</v>
      </c>
      <c r="K147" s="201">
        <f t="shared" si="79"/>
        <v>1.4119882979112042E-2</v>
      </c>
      <c r="L147" s="78">
        <f t="shared" si="85"/>
        <v>152.75989036756366</v>
      </c>
      <c r="M147" s="195">
        <f t="shared" si="86"/>
        <v>138.22638194477204</v>
      </c>
      <c r="N147" s="78">
        <f t="shared" si="91"/>
        <v>0</v>
      </c>
      <c r="O147" s="200">
        <f t="shared" si="92"/>
        <v>0</v>
      </c>
      <c r="P147" s="201">
        <f t="shared" si="93"/>
        <v>0</v>
      </c>
      <c r="Q147" s="78">
        <f t="shared" si="87"/>
        <v>35.320280719201058</v>
      </c>
      <c r="R147" s="196">
        <f t="shared" si="88"/>
        <v>14.831822916701837</v>
      </c>
      <c r="S147" s="202">
        <f t="shared" si="80"/>
        <v>-4.4199078948091755</v>
      </c>
      <c r="T147" s="200">
        <f t="shared" si="81"/>
        <v>-4.4340277777882875</v>
      </c>
      <c r="U147" s="201">
        <f t="shared" si="82"/>
        <v>1.4119882979112042E-2</v>
      </c>
      <c r="V147" s="198">
        <f t="shared" si="89"/>
        <v>117.43960964836245</v>
      </c>
      <c r="W147" s="78">
        <f t="shared" si="90"/>
        <v>123.39455902807029</v>
      </c>
      <c r="X147" s="203">
        <f t="shared" si="83"/>
        <v>-4.4199078948091755</v>
      </c>
      <c r="Y147" s="204">
        <f t="shared" si="84"/>
        <v>0</v>
      </c>
      <c r="AB147" s="188"/>
      <c r="AC147" s="188"/>
    </row>
    <row r="148" spans="1:29">
      <c r="A148" s="248">
        <v>814.1</v>
      </c>
      <c r="B148" s="173">
        <v>26025</v>
      </c>
      <c r="C148" s="171"/>
      <c r="D148" s="173" t="s">
        <v>255</v>
      </c>
      <c r="E148" s="173" t="s">
        <v>116</v>
      </c>
      <c r="F148" s="174" t="s">
        <v>116</v>
      </c>
      <c r="G148" s="175">
        <f t="shared" si="77"/>
        <v>1.0237869899999998</v>
      </c>
      <c r="H148" s="176" t="str">
        <f t="shared" si="94"/>
        <v xml:space="preserve">    </v>
      </c>
      <c r="I148" s="199">
        <f t="shared" si="95"/>
        <v>0</v>
      </c>
      <c r="J148" s="200">
        <f t="shared" si="78"/>
        <v>0</v>
      </c>
      <c r="K148" s="201">
        <f t="shared" si="79"/>
        <v>0</v>
      </c>
      <c r="L148" s="78">
        <f t="shared" si="85"/>
        <v>152.75989036756366</v>
      </c>
      <c r="M148" s="195">
        <f t="shared" si="86"/>
        <v>138.22638194477204</v>
      </c>
      <c r="N148" s="78">
        <f t="shared" si="91"/>
        <v>0</v>
      </c>
      <c r="O148" s="200">
        <f t="shared" si="92"/>
        <v>0</v>
      </c>
      <c r="P148" s="201">
        <f t="shared" si="93"/>
        <v>0</v>
      </c>
      <c r="Q148" s="78">
        <f t="shared" si="87"/>
        <v>35.320280719201058</v>
      </c>
      <c r="R148" s="196">
        <f t="shared" si="88"/>
        <v>14.831822916701837</v>
      </c>
      <c r="S148" s="202">
        <f t="shared" si="80"/>
        <v>0</v>
      </c>
      <c r="T148" s="200">
        <f t="shared" si="81"/>
        <v>0</v>
      </c>
      <c r="U148" s="201">
        <f t="shared" si="82"/>
        <v>0</v>
      </c>
      <c r="V148" s="198">
        <f t="shared" si="89"/>
        <v>117.43960964836245</v>
      </c>
      <c r="W148" s="78">
        <f t="shared" si="90"/>
        <v>123.39455902807029</v>
      </c>
      <c r="X148" s="203">
        <f t="shared" si="83"/>
        <v>0</v>
      </c>
      <c r="Y148" s="204">
        <f t="shared" si="84"/>
        <v>0</v>
      </c>
      <c r="AB148" s="188"/>
      <c r="AC148" s="188"/>
    </row>
    <row r="149" spans="1:29">
      <c r="A149" s="248">
        <v>814.1</v>
      </c>
      <c r="B149" s="209">
        <v>26147</v>
      </c>
      <c r="C149" s="171"/>
      <c r="D149" s="173" t="s">
        <v>256</v>
      </c>
      <c r="E149" s="173" t="s">
        <v>116</v>
      </c>
      <c r="F149" s="174" t="s">
        <v>116</v>
      </c>
      <c r="G149" s="175">
        <f t="shared" si="77"/>
        <v>1.0237869899999998</v>
      </c>
      <c r="H149" s="176" t="str">
        <f t="shared" si="94"/>
        <v xml:space="preserve">    </v>
      </c>
      <c r="I149" s="199">
        <f t="shared" si="95"/>
        <v>0</v>
      </c>
      <c r="J149" s="200">
        <f t="shared" si="78"/>
        <v>0</v>
      </c>
      <c r="K149" s="201">
        <f t="shared" si="79"/>
        <v>0</v>
      </c>
      <c r="L149" s="78">
        <f t="shared" si="85"/>
        <v>152.75989036756366</v>
      </c>
      <c r="M149" s="195">
        <f t="shared" si="86"/>
        <v>138.22638194477204</v>
      </c>
      <c r="N149" s="78">
        <f t="shared" si="91"/>
        <v>0</v>
      </c>
      <c r="O149" s="200">
        <f t="shared" si="92"/>
        <v>0</v>
      </c>
      <c r="P149" s="201">
        <f t="shared" si="93"/>
        <v>0</v>
      </c>
      <c r="Q149" s="78">
        <f t="shared" si="87"/>
        <v>35.320280719201058</v>
      </c>
      <c r="R149" s="196">
        <f t="shared" si="88"/>
        <v>14.831822916701837</v>
      </c>
      <c r="S149" s="202">
        <f t="shared" si="80"/>
        <v>0</v>
      </c>
      <c r="T149" s="200">
        <f t="shared" si="81"/>
        <v>0</v>
      </c>
      <c r="U149" s="201">
        <f t="shared" si="82"/>
        <v>0</v>
      </c>
      <c r="V149" s="198">
        <f t="shared" si="89"/>
        <v>117.43960964836245</v>
      </c>
      <c r="W149" s="78">
        <f t="shared" si="90"/>
        <v>123.39455902807029</v>
      </c>
      <c r="X149" s="203">
        <f t="shared" si="83"/>
        <v>0</v>
      </c>
      <c r="Y149" s="204">
        <f t="shared" si="84"/>
        <v>0</v>
      </c>
      <c r="AB149" s="188"/>
      <c r="AC149" s="188"/>
    </row>
    <row r="150" spans="1:29">
      <c r="A150" s="248">
        <v>814.1</v>
      </c>
      <c r="B150" s="209">
        <v>26212</v>
      </c>
      <c r="C150" s="171"/>
      <c r="D150" s="173" t="s">
        <v>257</v>
      </c>
      <c r="E150" s="173" t="s">
        <v>116</v>
      </c>
      <c r="F150" s="174" t="s">
        <v>116</v>
      </c>
      <c r="G150" s="175">
        <f t="shared" si="77"/>
        <v>1.0237869899999998</v>
      </c>
      <c r="H150" s="176" t="str">
        <f t="shared" si="94"/>
        <v xml:space="preserve">    </v>
      </c>
      <c r="I150" s="199">
        <f t="shared" si="95"/>
        <v>0</v>
      </c>
      <c r="J150" s="200">
        <f t="shared" si="78"/>
        <v>0</v>
      </c>
      <c r="K150" s="201">
        <f t="shared" si="79"/>
        <v>0</v>
      </c>
      <c r="L150" s="78">
        <f t="shared" si="85"/>
        <v>152.75989036756366</v>
      </c>
      <c r="M150" s="195">
        <f t="shared" si="86"/>
        <v>138.22638194477204</v>
      </c>
      <c r="N150" s="78">
        <f t="shared" si="91"/>
        <v>0</v>
      </c>
      <c r="O150" s="200">
        <f t="shared" si="92"/>
        <v>0</v>
      </c>
      <c r="P150" s="201">
        <f t="shared" si="93"/>
        <v>0</v>
      </c>
      <c r="Q150" s="78">
        <f t="shared" si="87"/>
        <v>35.320280719201058</v>
      </c>
      <c r="R150" s="196">
        <f t="shared" si="88"/>
        <v>14.831822916701837</v>
      </c>
      <c r="S150" s="202">
        <f t="shared" si="80"/>
        <v>0</v>
      </c>
      <c r="T150" s="200">
        <f t="shared" si="81"/>
        <v>0</v>
      </c>
      <c r="U150" s="201">
        <f t="shared" si="82"/>
        <v>0</v>
      </c>
      <c r="V150" s="198">
        <f t="shared" si="89"/>
        <v>117.43960964836245</v>
      </c>
      <c r="W150" s="78">
        <f t="shared" si="90"/>
        <v>123.39455902807029</v>
      </c>
      <c r="X150" s="203">
        <f t="shared" si="83"/>
        <v>0</v>
      </c>
      <c r="Y150" s="204">
        <f t="shared" si="84"/>
        <v>0</v>
      </c>
      <c r="AB150" s="188"/>
      <c r="AC150" s="188"/>
    </row>
    <row r="151" spans="1:29">
      <c r="A151" s="248">
        <v>814.1</v>
      </c>
      <c r="B151" s="209">
        <v>26216</v>
      </c>
      <c r="C151" s="171"/>
      <c r="D151" s="173" t="s">
        <v>258</v>
      </c>
      <c r="E151" s="173" t="s">
        <v>116</v>
      </c>
      <c r="F151" s="174" t="s">
        <v>116</v>
      </c>
      <c r="G151" s="175">
        <f t="shared" si="77"/>
        <v>1.0237869899999998</v>
      </c>
      <c r="H151" s="176" t="str">
        <f t="shared" si="94"/>
        <v xml:space="preserve">    </v>
      </c>
      <c r="I151" s="199">
        <f t="shared" si="95"/>
        <v>-13.210732323692099</v>
      </c>
      <c r="J151" s="200">
        <f t="shared" si="78"/>
        <v>-13.302083333364862</v>
      </c>
      <c r="K151" s="201">
        <f t="shared" si="79"/>
        <v>9.1351009672763439E-2</v>
      </c>
      <c r="L151" s="78">
        <f t="shared" si="85"/>
        <v>139.54915804387156</v>
      </c>
      <c r="M151" s="195">
        <f t="shared" si="86"/>
        <v>124.92429861140718</v>
      </c>
      <c r="N151" s="78">
        <f t="shared" si="91"/>
        <v>0</v>
      </c>
      <c r="O151" s="200">
        <f t="shared" si="92"/>
        <v>0</v>
      </c>
      <c r="P151" s="201">
        <f t="shared" si="93"/>
        <v>0</v>
      </c>
      <c r="Q151" s="78">
        <f t="shared" si="87"/>
        <v>35.320280719201058</v>
      </c>
      <c r="R151" s="196">
        <f t="shared" si="88"/>
        <v>14.831822916701837</v>
      </c>
      <c r="S151" s="202">
        <f t="shared" si="80"/>
        <v>-13.210732323692099</v>
      </c>
      <c r="T151" s="200">
        <f t="shared" si="81"/>
        <v>-13.302083333364862</v>
      </c>
      <c r="U151" s="201">
        <f t="shared" si="82"/>
        <v>9.1351009672763439E-2</v>
      </c>
      <c r="V151" s="198">
        <f t="shared" si="89"/>
        <v>104.22887732467035</v>
      </c>
      <c r="W151" s="78">
        <f t="shared" si="90"/>
        <v>110.09247569470543</v>
      </c>
      <c r="X151" s="203">
        <f t="shared" si="83"/>
        <v>-13.210732323692099</v>
      </c>
      <c r="Y151" s="204">
        <f t="shared" si="84"/>
        <v>0</v>
      </c>
      <c r="AB151" s="188"/>
      <c r="AC151" s="188"/>
    </row>
    <row r="152" spans="1:29">
      <c r="A152" s="248">
        <v>814.1</v>
      </c>
      <c r="B152" s="173">
        <v>26158</v>
      </c>
      <c r="C152" s="171"/>
      <c r="D152" s="173" t="s">
        <v>259</v>
      </c>
      <c r="E152" s="173" t="s">
        <v>116</v>
      </c>
      <c r="F152" s="174" t="s">
        <v>116</v>
      </c>
      <c r="G152" s="175">
        <f t="shared" si="77"/>
        <v>1.0237869899999998</v>
      </c>
      <c r="H152" s="176" t="str">
        <f t="shared" si="94"/>
        <v xml:space="preserve">    </v>
      </c>
      <c r="I152" s="199">
        <f t="shared" si="95"/>
        <v>-10.198062184987357</v>
      </c>
      <c r="J152" s="200">
        <f t="shared" si="78"/>
        <v>-8.868055555576575</v>
      </c>
      <c r="K152" s="201">
        <f t="shared" si="79"/>
        <v>-1.3300066294107822</v>
      </c>
      <c r="L152" s="78">
        <f t="shared" si="85"/>
        <v>129.35109585888421</v>
      </c>
      <c r="M152" s="195">
        <f t="shared" si="86"/>
        <v>116.05624305583061</v>
      </c>
      <c r="N152" s="78">
        <f t="shared" si="91"/>
        <v>0</v>
      </c>
      <c r="O152" s="200">
        <f t="shared" si="92"/>
        <v>0</v>
      </c>
      <c r="P152" s="201">
        <f t="shared" si="93"/>
        <v>0</v>
      </c>
      <c r="Q152" s="78">
        <f t="shared" si="87"/>
        <v>35.320280719201058</v>
      </c>
      <c r="R152" s="196">
        <f t="shared" si="88"/>
        <v>14.831822916701837</v>
      </c>
      <c r="S152" s="202">
        <f t="shared" si="80"/>
        <v>-10.198062184987357</v>
      </c>
      <c r="T152" s="200">
        <f t="shared" si="81"/>
        <v>-8.868055555576575</v>
      </c>
      <c r="U152" s="201">
        <f t="shared" si="82"/>
        <v>-1.3300066294107822</v>
      </c>
      <c r="V152" s="198">
        <f t="shared" si="89"/>
        <v>94.030815139683</v>
      </c>
      <c r="W152" s="78">
        <f t="shared" si="90"/>
        <v>101.22442013912885</v>
      </c>
      <c r="X152" s="203">
        <f t="shared" si="83"/>
        <v>-10.198062184987357</v>
      </c>
      <c r="Y152" s="204">
        <f t="shared" si="84"/>
        <v>0</v>
      </c>
      <c r="AB152" s="188"/>
      <c r="AC152" s="188"/>
    </row>
    <row r="153" spans="1:29">
      <c r="A153" s="268">
        <v>814.1</v>
      </c>
      <c r="B153" s="206">
        <v>26189</v>
      </c>
      <c r="C153" s="205"/>
      <c r="D153" s="206" t="s">
        <v>260</v>
      </c>
      <c r="E153" s="206" t="s">
        <v>118</v>
      </c>
      <c r="F153" s="207" t="s">
        <v>116</v>
      </c>
      <c r="G153" s="208">
        <f t="shared" si="77"/>
        <v>1.0237869899999998</v>
      </c>
      <c r="H153" s="176" t="str">
        <f t="shared" si="94"/>
        <v>COMM</v>
      </c>
      <c r="I153" s="199">
        <f t="shared" si="95"/>
        <v>0</v>
      </c>
      <c r="J153" s="200">
        <f t="shared" si="78"/>
        <v>0</v>
      </c>
      <c r="K153" s="201">
        <f t="shared" si="79"/>
        <v>0</v>
      </c>
      <c r="L153" s="78">
        <f t="shared" si="85"/>
        <v>129.35109585888421</v>
      </c>
      <c r="M153" s="195">
        <f t="shared" si="86"/>
        <v>116.05624305583061</v>
      </c>
      <c r="N153" s="78">
        <f t="shared" si="91"/>
        <v>0</v>
      </c>
      <c r="O153" s="200">
        <f t="shared" si="92"/>
        <v>0</v>
      </c>
      <c r="P153" s="201">
        <f t="shared" si="93"/>
        <v>0</v>
      </c>
      <c r="Q153" s="78">
        <f t="shared" si="87"/>
        <v>35.320280719201058</v>
      </c>
      <c r="R153" s="196">
        <f t="shared" si="88"/>
        <v>14.831822916701837</v>
      </c>
      <c r="S153" s="202">
        <f t="shared" si="80"/>
        <v>0</v>
      </c>
      <c r="T153" s="200">
        <f t="shared" si="81"/>
        <v>0</v>
      </c>
      <c r="U153" s="201">
        <f t="shared" si="82"/>
        <v>0</v>
      </c>
      <c r="V153" s="198">
        <f t="shared" si="89"/>
        <v>94.030815139683</v>
      </c>
      <c r="W153" s="78">
        <f t="shared" si="90"/>
        <v>101.22442013912885</v>
      </c>
      <c r="X153" s="203">
        <f t="shared" si="83"/>
        <v>0</v>
      </c>
      <c r="Y153" s="204">
        <f t="shared" si="84"/>
        <v>0</v>
      </c>
      <c r="AB153" s="188"/>
      <c r="AC153" s="188"/>
    </row>
    <row r="154" spans="1:29">
      <c r="A154" s="248">
        <v>814.1</v>
      </c>
      <c r="B154" s="173">
        <v>26188</v>
      </c>
      <c r="C154" s="171"/>
      <c r="D154" s="173" t="s">
        <v>261</v>
      </c>
      <c r="E154" s="173" t="s">
        <v>116</v>
      </c>
      <c r="F154" s="174" t="s">
        <v>116</v>
      </c>
      <c r="G154" s="175">
        <f t="shared" si="77"/>
        <v>1.0237869899999998</v>
      </c>
      <c r="H154" s="176" t="str">
        <f t="shared" si="94"/>
        <v xml:space="preserve">    </v>
      </c>
      <c r="I154" s="199">
        <f t="shared" si="95"/>
        <v>-6.9297481861636072</v>
      </c>
      <c r="J154" s="200">
        <f t="shared" si="78"/>
        <v>-4.4340277777882875</v>
      </c>
      <c r="K154" s="201">
        <f t="shared" si="79"/>
        <v>-2.4957204083753197</v>
      </c>
      <c r="L154" s="78">
        <f t="shared" si="85"/>
        <v>122.4213476727206</v>
      </c>
      <c r="M154" s="195">
        <f t="shared" si="86"/>
        <v>111.62221527804232</v>
      </c>
      <c r="N154" s="78">
        <f t="shared" si="91"/>
        <v>0</v>
      </c>
      <c r="O154" s="200">
        <f t="shared" si="92"/>
        <v>0</v>
      </c>
      <c r="P154" s="201">
        <f t="shared" si="93"/>
        <v>0</v>
      </c>
      <c r="Q154" s="78">
        <f t="shared" si="87"/>
        <v>35.320280719201058</v>
      </c>
      <c r="R154" s="196">
        <f t="shared" si="88"/>
        <v>14.831822916701837</v>
      </c>
      <c r="S154" s="202">
        <f t="shared" si="80"/>
        <v>-6.9297481861636072</v>
      </c>
      <c r="T154" s="200">
        <f t="shared" si="81"/>
        <v>-4.4340277777882875</v>
      </c>
      <c r="U154" s="201">
        <f t="shared" si="82"/>
        <v>-2.4957204083753197</v>
      </c>
      <c r="V154" s="198">
        <f t="shared" si="89"/>
        <v>87.101066953519393</v>
      </c>
      <c r="W154" s="78">
        <f t="shared" si="90"/>
        <v>96.790392361340565</v>
      </c>
      <c r="X154" s="203">
        <f t="shared" si="83"/>
        <v>-6.9297481861636072</v>
      </c>
      <c r="Y154" s="204">
        <f t="shared" si="84"/>
        <v>0</v>
      </c>
      <c r="AB154" s="188"/>
      <c r="AC154" s="188"/>
    </row>
    <row r="155" spans="1:29">
      <c r="A155" s="248">
        <v>814.1</v>
      </c>
      <c r="B155" s="209">
        <v>26187</v>
      </c>
      <c r="C155" s="171"/>
      <c r="D155" s="173" t="s">
        <v>262</v>
      </c>
      <c r="E155" s="173" t="s">
        <v>116</v>
      </c>
      <c r="F155" s="174" t="s">
        <v>116</v>
      </c>
      <c r="G155" s="175">
        <f t="shared" ref="G155:G174" si="96">VLOOKUP($B155,BTU,2,FALSE)/1000</f>
        <v>1.0237869899999998</v>
      </c>
      <c r="H155" s="176" t="str">
        <f t="shared" si="94"/>
        <v xml:space="preserve">    </v>
      </c>
      <c r="I155" s="199">
        <f t="shared" si="95"/>
        <v>0</v>
      </c>
      <c r="J155" s="200">
        <f t="shared" si="78"/>
        <v>0</v>
      </c>
      <c r="K155" s="201">
        <f t="shared" si="79"/>
        <v>0</v>
      </c>
      <c r="L155" s="78">
        <f t="shared" si="85"/>
        <v>122.4213476727206</v>
      </c>
      <c r="M155" s="195">
        <f t="shared" si="86"/>
        <v>111.62221527804232</v>
      </c>
      <c r="N155" s="78">
        <f t="shared" si="91"/>
        <v>0</v>
      </c>
      <c r="O155" s="200">
        <f t="shared" si="92"/>
        <v>0</v>
      </c>
      <c r="P155" s="201">
        <f t="shared" si="93"/>
        <v>0</v>
      </c>
      <c r="Q155" s="78">
        <f t="shared" si="87"/>
        <v>35.320280719201058</v>
      </c>
      <c r="R155" s="196">
        <f t="shared" si="88"/>
        <v>14.831822916701837</v>
      </c>
      <c r="S155" s="202">
        <f t="shared" si="80"/>
        <v>0</v>
      </c>
      <c r="T155" s="200">
        <f t="shared" si="81"/>
        <v>0</v>
      </c>
      <c r="U155" s="201">
        <f t="shared" si="82"/>
        <v>0</v>
      </c>
      <c r="V155" s="198">
        <f t="shared" si="89"/>
        <v>87.101066953519393</v>
      </c>
      <c r="W155" s="78">
        <f t="shared" si="90"/>
        <v>96.790392361340565</v>
      </c>
      <c r="X155" s="203">
        <f t="shared" si="83"/>
        <v>0</v>
      </c>
      <c r="Y155" s="204">
        <f t="shared" si="84"/>
        <v>0</v>
      </c>
      <c r="AB155" s="188"/>
      <c r="AC155" s="188"/>
    </row>
    <row r="156" spans="1:29">
      <c r="A156" s="248">
        <v>814.1</v>
      </c>
      <c r="B156" s="209">
        <v>26202</v>
      </c>
      <c r="C156" s="171"/>
      <c r="D156" s="173" t="s">
        <v>263</v>
      </c>
      <c r="E156" s="173" t="s">
        <v>116</v>
      </c>
      <c r="F156" s="174" t="s">
        <v>116</v>
      </c>
      <c r="G156" s="175">
        <f t="shared" si="96"/>
        <v>1.0237869899999998</v>
      </c>
      <c r="H156" s="176" t="str">
        <f t="shared" si="94"/>
        <v xml:space="preserve">    </v>
      </c>
      <c r="I156" s="199">
        <f t="shared" si="95"/>
        <v>0</v>
      </c>
      <c r="J156" s="200">
        <f t="shared" ref="J156:J187" si="97">O156+T156</f>
        <v>0</v>
      </c>
      <c r="K156" s="201">
        <f t="shared" ref="K156:K187" si="98">I156-J156</f>
        <v>0</v>
      </c>
      <c r="L156" s="78">
        <f t="shared" si="85"/>
        <v>122.4213476727206</v>
      </c>
      <c r="M156" s="195">
        <f t="shared" si="86"/>
        <v>111.62221527804232</v>
      </c>
      <c r="N156" s="78">
        <f t="shared" si="91"/>
        <v>0</v>
      </c>
      <c r="O156" s="200">
        <f t="shared" si="92"/>
        <v>0</v>
      </c>
      <c r="P156" s="201">
        <f t="shared" si="93"/>
        <v>0</v>
      </c>
      <c r="Q156" s="78">
        <f t="shared" si="87"/>
        <v>35.320280719201058</v>
      </c>
      <c r="R156" s="196">
        <f t="shared" si="88"/>
        <v>14.831822916701837</v>
      </c>
      <c r="S156" s="202">
        <f t="shared" ref="S156:S187" si="99">I156-N156</f>
        <v>0</v>
      </c>
      <c r="T156" s="200">
        <f t="shared" ref="T156:T187" si="100">IF(LEFT(B156,1)="1",VLOOKUP(B156,Cigsch,2,FALSE)/1000,VLOOKUP(B156,Cigsch,2,FALSE)/1000*-1)*POLLHOURSFLOWED</f>
        <v>0</v>
      </c>
      <c r="U156" s="201">
        <f t="shared" ref="U156:U187" si="101">S156-T156</f>
        <v>0</v>
      </c>
      <c r="V156" s="198">
        <f t="shared" si="89"/>
        <v>87.101066953519393</v>
      </c>
      <c r="W156" s="78">
        <f t="shared" si="90"/>
        <v>96.790392361340565</v>
      </c>
      <c r="X156" s="203">
        <f t="shared" ref="X156:X187" si="102">S156-Y156</f>
        <v>0</v>
      </c>
      <c r="Y156" s="204">
        <f t="shared" ref="Y156:Y187" si="103">IF(F156="OBA",I156-J156,0)</f>
        <v>0</v>
      </c>
      <c r="AB156" s="188"/>
      <c r="AC156" s="188"/>
    </row>
    <row r="157" spans="1:29">
      <c r="A157" s="248">
        <v>814.1</v>
      </c>
      <c r="B157" s="209">
        <v>26204</v>
      </c>
      <c r="C157" s="171"/>
      <c r="D157" s="173" t="s">
        <v>264</v>
      </c>
      <c r="E157" s="173" t="s">
        <v>116</v>
      </c>
      <c r="F157" s="174" t="s">
        <v>116</v>
      </c>
      <c r="G157" s="175">
        <f t="shared" si="96"/>
        <v>1.0237869899999998</v>
      </c>
      <c r="H157" s="176" t="str">
        <f t="shared" si="94"/>
        <v xml:space="preserve">    </v>
      </c>
      <c r="I157" s="199">
        <f t="shared" si="95"/>
        <v>-8.8171284958761635</v>
      </c>
      <c r="J157" s="200">
        <f t="shared" si="97"/>
        <v>-8.868055555576575</v>
      </c>
      <c r="K157" s="201">
        <f t="shared" si="98"/>
        <v>5.0927059700411448E-2</v>
      </c>
      <c r="L157" s="78">
        <f t="shared" ref="L157:L188" si="104">L156+I157</f>
        <v>113.60421917684444</v>
      </c>
      <c r="M157" s="195">
        <f t="shared" ref="M157:M188" si="105">M156+J157</f>
        <v>102.75415972246574</v>
      </c>
      <c r="N157" s="78">
        <f t="shared" si="91"/>
        <v>0</v>
      </c>
      <c r="O157" s="200">
        <f t="shared" si="92"/>
        <v>0</v>
      </c>
      <c r="P157" s="201">
        <f t="shared" si="93"/>
        <v>0</v>
      </c>
      <c r="Q157" s="78">
        <f t="shared" ref="Q157:Q188" si="106">Q156+N157</f>
        <v>35.320280719201058</v>
      </c>
      <c r="R157" s="196">
        <f t="shared" ref="R157:R188" si="107">R156+O157</f>
        <v>14.831822916701837</v>
      </c>
      <c r="S157" s="202">
        <f t="shared" si="99"/>
        <v>-8.8171284958761635</v>
      </c>
      <c r="T157" s="200">
        <f t="shared" si="100"/>
        <v>-8.868055555576575</v>
      </c>
      <c r="U157" s="201">
        <f t="shared" si="101"/>
        <v>5.0927059700411448E-2</v>
      </c>
      <c r="V157" s="198">
        <f t="shared" ref="V157:V188" si="108">V156+S157</f>
        <v>78.283938457643231</v>
      </c>
      <c r="W157" s="78">
        <f t="shared" ref="W157:W188" si="109">W156+T157</f>
        <v>87.92233680576399</v>
      </c>
      <c r="X157" s="203">
        <f t="shared" si="102"/>
        <v>-8.8171284958761635</v>
      </c>
      <c r="Y157" s="204">
        <f t="shared" si="103"/>
        <v>0</v>
      </c>
      <c r="AB157" s="188"/>
      <c r="AC157" s="188"/>
    </row>
    <row r="158" spans="1:29">
      <c r="A158" s="248">
        <v>814.1</v>
      </c>
      <c r="B158" s="173">
        <v>26153</v>
      </c>
      <c r="C158" s="171">
        <v>8291</v>
      </c>
      <c r="D158" s="173" t="s">
        <v>44</v>
      </c>
      <c r="E158" s="173" t="s">
        <v>116</v>
      </c>
      <c r="F158" s="174" t="s">
        <v>149</v>
      </c>
      <c r="G158" s="175">
        <f t="shared" si="96"/>
        <v>1.0237869899999998</v>
      </c>
      <c r="H158" s="176" t="str">
        <f t="shared" si="94"/>
        <v xml:space="preserve">    </v>
      </c>
      <c r="I158" s="199">
        <f t="shared" si="95"/>
        <v>-37.136165385550676</v>
      </c>
      <c r="J158" s="200">
        <f t="shared" si="97"/>
        <v>-30.151388888960355</v>
      </c>
      <c r="K158" s="201">
        <f t="shared" si="98"/>
        <v>-6.984776496590321</v>
      </c>
      <c r="L158" s="78">
        <f t="shared" si="104"/>
        <v>76.468053791293755</v>
      </c>
      <c r="M158" s="195">
        <f t="shared" si="105"/>
        <v>72.602770833505389</v>
      </c>
      <c r="N158" s="78">
        <f t="shared" si="91"/>
        <v>-37.136165385550676</v>
      </c>
      <c r="O158" s="200">
        <f t="shared" si="92"/>
        <v>-30.151388888960355</v>
      </c>
      <c r="P158" s="201">
        <f t="shared" si="93"/>
        <v>-6.984776496590321</v>
      </c>
      <c r="Q158" s="78">
        <f t="shared" si="106"/>
        <v>-1.8158846663496178</v>
      </c>
      <c r="R158" s="196">
        <f t="shared" si="107"/>
        <v>-15.319565972258518</v>
      </c>
      <c r="S158" s="202">
        <f t="shared" si="99"/>
        <v>0</v>
      </c>
      <c r="T158" s="200">
        <f t="shared" si="100"/>
        <v>0</v>
      </c>
      <c r="U158" s="201">
        <f t="shared" si="101"/>
        <v>0</v>
      </c>
      <c r="V158" s="198">
        <f t="shared" si="108"/>
        <v>78.283938457643231</v>
      </c>
      <c r="W158" s="78">
        <f t="shared" si="109"/>
        <v>87.92233680576399</v>
      </c>
      <c r="X158" s="203">
        <f t="shared" si="102"/>
        <v>0</v>
      </c>
      <c r="Y158" s="204">
        <f t="shared" si="103"/>
        <v>0</v>
      </c>
      <c r="AB158" s="188"/>
      <c r="AC158" s="188"/>
    </row>
    <row r="159" spans="1:29">
      <c r="A159" s="248">
        <v>814.1</v>
      </c>
      <c r="B159" s="173">
        <v>26001</v>
      </c>
      <c r="C159" s="171"/>
      <c r="D159" s="173" t="s">
        <v>265</v>
      </c>
      <c r="E159" s="173" t="s">
        <v>116</v>
      </c>
      <c r="F159" s="174" t="s">
        <v>116</v>
      </c>
      <c r="G159" s="175">
        <f t="shared" si="96"/>
        <v>1.0237869899999998</v>
      </c>
      <c r="H159" s="176" t="str">
        <f t="shared" si="94"/>
        <v xml:space="preserve">    </v>
      </c>
      <c r="I159" s="199">
        <f t="shared" si="95"/>
        <v>-3.1826590650627979</v>
      </c>
      <c r="J159" s="200">
        <f t="shared" si="97"/>
        <v>-1.773611111115315</v>
      </c>
      <c r="K159" s="201">
        <f t="shared" si="98"/>
        <v>-1.4090479539474829</v>
      </c>
      <c r="L159" s="78">
        <f t="shared" si="104"/>
        <v>73.285394726230962</v>
      </c>
      <c r="M159" s="195">
        <f t="shared" si="105"/>
        <v>70.829159722390074</v>
      </c>
      <c r="N159" s="78">
        <f t="shared" si="91"/>
        <v>0</v>
      </c>
      <c r="O159" s="200">
        <f t="shared" si="92"/>
        <v>0</v>
      </c>
      <c r="P159" s="201">
        <f t="shared" si="93"/>
        <v>0</v>
      </c>
      <c r="Q159" s="78">
        <f t="shared" si="106"/>
        <v>-1.8158846663496178</v>
      </c>
      <c r="R159" s="196">
        <f t="shared" si="107"/>
        <v>-15.319565972258518</v>
      </c>
      <c r="S159" s="202">
        <f t="shared" si="99"/>
        <v>-3.1826590650627979</v>
      </c>
      <c r="T159" s="200">
        <f t="shared" si="100"/>
        <v>-1.773611111115315</v>
      </c>
      <c r="U159" s="201">
        <f t="shared" si="101"/>
        <v>-1.4090479539474829</v>
      </c>
      <c r="V159" s="198">
        <f t="shared" si="108"/>
        <v>75.101279392580437</v>
      </c>
      <c r="W159" s="78">
        <f t="shared" si="109"/>
        <v>86.148725694648675</v>
      </c>
      <c r="X159" s="203">
        <f t="shared" si="102"/>
        <v>-3.1826590650627979</v>
      </c>
      <c r="Y159" s="204">
        <f t="shared" si="103"/>
        <v>0</v>
      </c>
      <c r="AB159" s="188"/>
      <c r="AC159" s="188"/>
    </row>
    <row r="160" spans="1:29">
      <c r="A160" s="268">
        <v>814.1</v>
      </c>
      <c r="B160" s="206">
        <v>26114</v>
      </c>
      <c r="C160" s="205"/>
      <c r="D160" s="206" t="s">
        <v>266</v>
      </c>
      <c r="E160" s="206" t="s">
        <v>116</v>
      </c>
      <c r="F160" s="207" t="s">
        <v>116</v>
      </c>
      <c r="G160" s="208">
        <f t="shared" si="96"/>
        <v>1.0237869899999998</v>
      </c>
      <c r="H160" s="176" t="str">
        <f t="shared" si="94"/>
        <v xml:space="preserve">    </v>
      </c>
      <c r="I160" s="199">
        <f t="shared" si="95"/>
        <v>-6.9370446750898571</v>
      </c>
      <c r="J160" s="200">
        <f t="shared" si="97"/>
        <v>-6.6510416666824312</v>
      </c>
      <c r="K160" s="201">
        <f t="shared" si="98"/>
        <v>-0.28600300840742587</v>
      </c>
      <c r="L160" s="78">
        <f t="shared" si="104"/>
        <v>66.348350051141111</v>
      </c>
      <c r="M160" s="195">
        <f t="shared" si="105"/>
        <v>64.178118055707642</v>
      </c>
      <c r="N160" s="78">
        <f t="shared" ref="N160:N191" si="110">IF(F160="CIG",O160,IF(F160="OBA",O160,IF(F160="HPL",I160-T160,IF(ISERR((O160/$J160)*$I160),0,IF(F160="TP",(O160/$J160)*$I160)))))</f>
        <v>0</v>
      </c>
      <c r="O160" s="200">
        <f t="shared" ref="O160:O191" si="111">IF(LEFT(B160,1)="1",VLOOKUP(B160,Cigsch,3,FALSE)/1000,VLOOKUP(B160,Cigsch,3,FALSE)/1000*-1)*POLLHOURSFLOWED</f>
        <v>0</v>
      </c>
      <c r="P160" s="201">
        <f t="shared" ref="P160:P191" si="112">N160-O160</f>
        <v>0</v>
      </c>
      <c r="Q160" s="78">
        <f t="shared" si="106"/>
        <v>-1.8158846663496178</v>
      </c>
      <c r="R160" s="196">
        <f t="shared" si="107"/>
        <v>-15.319565972258518</v>
      </c>
      <c r="S160" s="202">
        <f t="shared" si="99"/>
        <v>-6.9370446750898571</v>
      </c>
      <c r="T160" s="200">
        <f t="shared" si="100"/>
        <v>-6.6510416666824312</v>
      </c>
      <c r="U160" s="201">
        <f t="shared" si="101"/>
        <v>-0.28600300840742587</v>
      </c>
      <c r="V160" s="198">
        <f t="shared" si="108"/>
        <v>68.164234717490586</v>
      </c>
      <c r="W160" s="78">
        <f t="shared" si="109"/>
        <v>79.497684027966244</v>
      </c>
      <c r="X160" s="203">
        <f t="shared" si="102"/>
        <v>-6.9370446750898571</v>
      </c>
      <c r="Y160" s="204">
        <f t="shared" si="103"/>
        <v>0</v>
      </c>
      <c r="AB160" s="188"/>
      <c r="AC160" s="188"/>
    </row>
    <row r="161" spans="1:29">
      <c r="A161" s="248">
        <v>814.1</v>
      </c>
      <c r="B161" s="173">
        <v>26082</v>
      </c>
      <c r="C161" s="171">
        <v>3538</v>
      </c>
      <c r="D161" s="173" t="s">
        <v>267</v>
      </c>
      <c r="E161" s="173" t="s">
        <v>149</v>
      </c>
      <c r="F161" s="174" t="s">
        <v>149</v>
      </c>
      <c r="G161" s="175">
        <f t="shared" si="96"/>
        <v>1.0249999999999999</v>
      </c>
      <c r="H161" s="176" t="str">
        <f t="shared" ref="H161:H192" si="113">VLOOKUP($B161,spotdata,3,FALSE)</f>
        <v xml:space="preserve">    </v>
      </c>
      <c r="I161" s="199">
        <f t="shared" ref="I161:I192" si="114">IF(VLOOKUP($B161,errordata,3,FALSE)="UNAV",J161*POLLHOURSFLOWED,IF(LEFT(B161,1)="1",VLOOKUP($B161,totalvolume,2,FALSE)*G161/1000,VLOOKUP($B161,totalvolume,2,FALSE)*G161/1000*-1))</f>
        <v>0</v>
      </c>
      <c r="J161" s="200">
        <f t="shared" si="97"/>
        <v>0</v>
      </c>
      <c r="K161" s="201">
        <f t="shared" si="98"/>
        <v>0</v>
      </c>
      <c r="L161" s="78">
        <f t="shared" si="104"/>
        <v>66.348350051141111</v>
      </c>
      <c r="M161" s="195">
        <f t="shared" si="105"/>
        <v>64.178118055707642</v>
      </c>
      <c r="N161" s="78">
        <f t="shared" si="110"/>
        <v>0</v>
      </c>
      <c r="O161" s="200">
        <f t="shared" si="111"/>
        <v>0</v>
      </c>
      <c r="P161" s="201">
        <f t="shared" si="112"/>
        <v>0</v>
      </c>
      <c r="Q161" s="78">
        <f t="shared" si="106"/>
        <v>-1.8158846663496178</v>
      </c>
      <c r="R161" s="196">
        <f t="shared" si="107"/>
        <v>-15.319565972258518</v>
      </c>
      <c r="S161" s="202">
        <f t="shared" si="99"/>
        <v>0</v>
      </c>
      <c r="T161" s="200">
        <f t="shared" si="100"/>
        <v>0</v>
      </c>
      <c r="U161" s="201">
        <f t="shared" si="101"/>
        <v>0</v>
      </c>
      <c r="V161" s="198">
        <f t="shared" si="108"/>
        <v>68.164234717490586</v>
      </c>
      <c r="W161" s="78">
        <f t="shared" si="109"/>
        <v>79.497684027966244</v>
      </c>
      <c r="X161" s="203">
        <f t="shared" si="102"/>
        <v>0</v>
      </c>
      <c r="Y161" s="204">
        <f t="shared" si="103"/>
        <v>0</v>
      </c>
      <c r="AB161" s="188"/>
      <c r="AC161" s="188"/>
    </row>
    <row r="162" spans="1:29">
      <c r="A162" s="248">
        <v>814.1</v>
      </c>
      <c r="B162" s="173">
        <v>26044</v>
      </c>
      <c r="C162" s="171">
        <v>3510</v>
      </c>
      <c r="D162" s="173" t="s">
        <v>45</v>
      </c>
      <c r="E162" s="173" t="s">
        <v>149</v>
      </c>
      <c r="F162" s="174" t="s">
        <v>149</v>
      </c>
      <c r="G162" s="175">
        <f t="shared" si="96"/>
        <v>1.0249999999999999</v>
      </c>
      <c r="H162" s="176" t="str">
        <f t="shared" si="113"/>
        <v xml:space="preserve">    </v>
      </c>
      <c r="I162" s="199">
        <f t="shared" si="114"/>
        <v>0</v>
      </c>
      <c r="J162" s="200">
        <f t="shared" si="97"/>
        <v>0</v>
      </c>
      <c r="K162" s="201">
        <f t="shared" si="98"/>
        <v>0</v>
      </c>
      <c r="L162" s="78">
        <f t="shared" si="104"/>
        <v>66.348350051141111</v>
      </c>
      <c r="M162" s="195">
        <f t="shared" si="105"/>
        <v>64.178118055707642</v>
      </c>
      <c r="N162" s="78">
        <f t="shared" si="110"/>
        <v>0</v>
      </c>
      <c r="O162" s="200">
        <f t="shared" si="111"/>
        <v>0</v>
      </c>
      <c r="P162" s="201">
        <f t="shared" si="112"/>
        <v>0</v>
      </c>
      <c r="Q162" s="78">
        <f t="shared" si="106"/>
        <v>-1.8158846663496178</v>
      </c>
      <c r="R162" s="196">
        <f t="shared" si="107"/>
        <v>-15.319565972258518</v>
      </c>
      <c r="S162" s="202">
        <f t="shared" si="99"/>
        <v>0</v>
      </c>
      <c r="T162" s="200">
        <f t="shared" si="100"/>
        <v>0</v>
      </c>
      <c r="U162" s="201">
        <f t="shared" si="101"/>
        <v>0</v>
      </c>
      <c r="V162" s="198">
        <f t="shared" si="108"/>
        <v>68.164234717490586</v>
      </c>
      <c r="W162" s="78">
        <f t="shared" si="109"/>
        <v>79.497684027966244</v>
      </c>
      <c r="X162" s="203">
        <f t="shared" si="102"/>
        <v>0</v>
      </c>
      <c r="Y162" s="204">
        <f t="shared" si="103"/>
        <v>0</v>
      </c>
    </row>
    <row r="163" spans="1:29">
      <c r="A163" s="248">
        <v>814.1</v>
      </c>
      <c r="B163" s="173">
        <v>16226</v>
      </c>
      <c r="C163" s="171"/>
      <c r="D163" s="173" t="s">
        <v>46</v>
      </c>
      <c r="E163" s="173" t="s">
        <v>149</v>
      </c>
      <c r="F163" s="174" t="s">
        <v>149</v>
      </c>
      <c r="G163" s="175">
        <f t="shared" si="96"/>
        <v>1.0249999999999999</v>
      </c>
      <c r="H163" s="176" t="str">
        <f t="shared" si="113"/>
        <v xml:space="preserve">    </v>
      </c>
      <c r="I163" s="199">
        <f t="shared" si="114"/>
        <v>0</v>
      </c>
      <c r="J163" s="200">
        <f t="shared" si="97"/>
        <v>0</v>
      </c>
      <c r="K163" s="201">
        <f t="shared" si="98"/>
        <v>0</v>
      </c>
      <c r="L163" s="78">
        <f t="shared" si="104"/>
        <v>66.348350051141111</v>
      </c>
      <c r="M163" s="195">
        <f t="shared" si="105"/>
        <v>64.178118055707642</v>
      </c>
      <c r="N163" s="78">
        <f t="shared" si="110"/>
        <v>0</v>
      </c>
      <c r="O163" s="200">
        <f t="shared" si="111"/>
        <v>0</v>
      </c>
      <c r="P163" s="201">
        <f t="shared" si="112"/>
        <v>0</v>
      </c>
      <c r="Q163" s="78">
        <f t="shared" si="106"/>
        <v>-1.8158846663496178</v>
      </c>
      <c r="R163" s="196">
        <f t="shared" si="107"/>
        <v>-15.319565972258518</v>
      </c>
      <c r="S163" s="202">
        <f t="shared" si="99"/>
        <v>0</v>
      </c>
      <c r="T163" s="200">
        <f t="shared" si="100"/>
        <v>0</v>
      </c>
      <c r="U163" s="201">
        <f t="shared" si="101"/>
        <v>0</v>
      </c>
      <c r="V163" s="198">
        <f t="shared" si="108"/>
        <v>68.164234717490586</v>
      </c>
      <c r="W163" s="78">
        <f t="shared" si="109"/>
        <v>79.497684027966244</v>
      </c>
      <c r="X163" s="203">
        <f t="shared" si="102"/>
        <v>0</v>
      </c>
      <c r="Y163" s="204">
        <f t="shared" si="103"/>
        <v>0</v>
      </c>
      <c r="AB163" s="188"/>
      <c r="AC163" s="188"/>
    </row>
    <row r="164" spans="1:29" ht="13.8" thickBot="1">
      <c r="A164" s="269">
        <v>814.1</v>
      </c>
      <c r="B164" s="234">
        <v>26006</v>
      </c>
      <c r="C164" s="233">
        <v>8216</v>
      </c>
      <c r="D164" s="234" t="s">
        <v>47</v>
      </c>
      <c r="E164" s="234" t="s">
        <v>116</v>
      </c>
      <c r="F164" s="235" t="s">
        <v>149</v>
      </c>
      <c r="G164" s="236">
        <f t="shared" si="96"/>
        <v>1.0249999999999999</v>
      </c>
      <c r="H164" s="237" t="str">
        <f t="shared" si="113"/>
        <v xml:space="preserve">    </v>
      </c>
      <c r="I164" s="238">
        <f t="shared" si="114"/>
        <v>-8.9584719764999985</v>
      </c>
      <c r="J164" s="239">
        <f t="shared" si="97"/>
        <v>-7.9812500000189175</v>
      </c>
      <c r="K164" s="240">
        <f t="shared" si="98"/>
        <v>-0.977221976481081</v>
      </c>
      <c r="L164" s="241">
        <f t="shared" si="104"/>
        <v>57.389878074641111</v>
      </c>
      <c r="M164" s="242">
        <f t="shared" si="105"/>
        <v>56.196868055688725</v>
      </c>
      <c r="N164" s="241">
        <f t="shared" si="110"/>
        <v>-8.9584719764999985</v>
      </c>
      <c r="O164" s="239">
        <f t="shared" si="111"/>
        <v>-7.9812500000189175</v>
      </c>
      <c r="P164" s="240">
        <f t="shared" si="112"/>
        <v>-0.977221976481081</v>
      </c>
      <c r="Q164" s="241">
        <f t="shared" si="106"/>
        <v>-10.774356642849616</v>
      </c>
      <c r="R164" s="243">
        <f t="shared" si="107"/>
        <v>-23.300815972277434</v>
      </c>
      <c r="S164" s="244">
        <f t="shared" si="99"/>
        <v>0</v>
      </c>
      <c r="T164" s="239">
        <f t="shared" si="100"/>
        <v>0</v>
      </c>
      <c r="U164" s="240">
        <f t="shared" si="101"/>
        <v>0</v>
      </c>
      <c r="V164" s="245">
        <f t="shared" si="108"/>
        <v>68.164234717490586</v>
      </c>
      <c r="W164" s="241">
        <f t="shared" si="109"/>
        <v>79.497684027966244</v>
      </c>
      <c r="X164" s="246">
        <f t="shared" si="102"/>
        <v>0</v>
      </c>
      <c r="Y164" s="247">
        <f t="shared" si="103"/>
        <v>0</v>
      </c>
      <c r="AB164" s="188"/>
      <c r="AC164" s="188"/>
    </row>
    <row r="165" spans="1:29">
      <c r="A165" s="248">
        <v>815</v>
      </c>
      <c r="B165" s="173">
        <v>26037</v>
      </c>
      <c r="C165" s="171"/>
      <c r="D165" s="173" t="s">
        <v>268</v>
      </c>
      <c r="E165" s="173" t="s">
        <v>149</v>
      </c>
      <c r="F165" s="174" t="s">
        <v>149</v>
      </c>
      <c r="G165" s="175">
        <f t="shared" si="96"/>
        <v>1.0249999999999999</v>
      </c>
      <c r="H165" s="176" t="str">
        <f t="shared" si="113"/>
        <v>UNAV</v>
      </c>
      <c r="I165" s="199">
        <f t="shared" si="114"/>
        <v>-7.8642409336792556E-4</v>
      </c>
      <c r="J165" s="200">
        <f t="shared" si="97"/>
        <v>-8.8680555555765755E-4</v>
      </c>
      <c r="K165" s="201">
        <f t="shared" si="98"/>
        <v>1.0038146218973199E-4</v>
      </c>
      <c r="L165" s="78">
        <f t="shared" si="104"/>
        <v>57.389091650547741</v>
      </c>
      <c r="M165" s="195">
        <f t="shared" si="105"/>
        <v>56.195981250133165</v>
      </c>
      <c r="N165" s="78">
        <f t="shared" si="110"/>
        <v>-7.8642409336792556E-4</v>
      </c>
      <c r="O165" s="200">
        <f t="shared" si="111"/>
        <v>-8.8680555555765755E-4</v>
      </c>
      <c r="P165" s="201">
        <f t="shared" si="112"/>
        <v>1.0038146218973199E-4</v>
      </c>
      <c r="Q165" s="78">
        <f t="shared" si="106"/>
        <v>-10.775143066942984</v>
      </c>
      <c r="R165" s="196">
        <f t="shared" si="107"/>
        <v>-23.30170277783299</v>
      </c>
      <c r="S165" s="202">
        <f t="shared" si="99"/>
        <v>0</v>
      </c>
      <c r="T165" s="200">
        <f t="shared" si="100"/>
        <v>0</v>
      </c>
      <c r="U165" s="201">
        <f t="shared" si="101"/>
        <v>0</v>
      </c>
      <c r="V165" s="198">
        <f t="shared" si="108"/>
        <v>68.164234717490586</v>
      </c>
      <c r="W165" s="78">
        <f t="shared" si="109"/>
        <v>79.497684027966244</v>
      </c>
      <c r="X165" s="203">
        <f t="shared" si="102"/>
        <v>0</v>
      </c>
      <c r="Y165" s="204">
        <f t="shared" si="103"/>
        <v>0</v>
      </c>
      <c r="AB165" s="188"/>
      <c r="AC165" s="188"/>
    </row>
    <row r="166" spans="1:29">
      <c r="A166" s="268">
        <v>815</v>
      </c>
      <c r="B166" s="206">
        <v>26045</v>
      </c>
      <c r="C166" s="205"/>
      <c r="D166" s="206" t="s">
        <v>269</v>
      </c>
      <c r="E166" s="206" t="s">
        <v>116</v>
      </c>
      <c r="F166" s="207" t="s">
        <v>116</v>
      </c>
      <c r="G166" s="208">
        <f t="shared" si="96"/>
        <v>1.0629999999999999</v>
      </c>
      <c r="H166" s="176" t="str">
        <f t="shared" si="113"/>
        <v xml:space="preserve">    </v>
      </c>
      <c r="I166" s="199">
        <f t="shared" si="114"/>
        <v>-4.2103286354199998</v>
      </c>
      <c r="J166" s="200">
        <f t="shared" si="97"/>
        <v>-5.320833333345945</v>
      </c>
      <c r="K166" s="201">
        <f t="shared" si="98"/>
        <v>1.1105046979259452</v>
      </c>
      <c r="L166" s="78">
        <f t="shared" si="104"/>
        <v>53.178763015127743</v>
      </c>
      <c r="M166" s="195">
        <f t="shared" si="105"/>
        <v>50.87514791678722</v>
      </c>
      <c r="N166" s="78">
        <f t="shared" si="110"/>
        <v>0</v>
      </c>
      <c r="O166" s="200">
        <f t="shared" si="111"/>
        <v>0</v>
      </c>
      <c r="P166" s="201">
        <f t="shared" si="112"/>
        <v>0</v>
      </c>
      <c r="Q166" s="78">
        <f t="shared" si="106"/>
        <v>-10.775143066942984</v>
      </c>
      <c r="R166" s="196">
        <f t="shared" si="107"/>
        <v>-23.30170277783299</v>
      </c>
      <c r="S166" s="202">
        <f t="shared" si="99"/>
        <v>-4.2103286354199998</v>
      </c>
      <c r="T166" s="200">
        <f t="shared" si="100"/>
        <v>-5.320833333345945</v>
      </c>
      <c r="U166" s="201">
        <f t="shared" si="101"/>
        <v>1.1105046979259452</v>
      </c>
      <c r="V166" s="198">
        <f t="shared" si="108"/>
        <v>63.953906082070588</v>
      </c>
      <c r="W166" s="78">
        <f t="shared" si="109"/>
        <v>74.176850694620299</v>
      </c>
      <c r="X166" s="203">
        <f t="shared" si="102"/>
        <v>-4.2103286354199998</v>
      </c>
      <c r="Y166" s="204">
        <f t="shared" si="103"/>
        <v>0</v>
      </c>
      <c r="AB166" s="188"/>
      <c r="AC166" s="188"/>
    </row>
    <row r="167" spans="1:29">
      <c r="A167" s="251">
        <v>815</v>
      </c>
      <c r="B167" s="252">
        <v>16355</v>
      </c>
      <c r="C167" s="253"/>
      <c r="D167" s="252" t="s">
        <v>270</v>
      </c>
      <c r="E167" s="252" t="s">
        <v>116</v>
      </c>
      <c r="F167" s="255" t="s">
        <v>116</v>
      </c>
      <c r="G167" s="256">
        <f t="shared" si="96"/>
        <v>1.0449999999999999</v>
      </c>
      <c r="H167" s="257" t="str">
        <f t="shared" si="113"/>
        <v xml:space="preserve">    </v>
      </c>
      <c r="I167" s="258">
        <f t="shared" si="114"/>
        <v>7.8597812600999992</v>
      </c>
      <c r="J167" s="259">
        <f t="shared" si="97"/>
        <v>9.7557479166897902</v>
      </c>
      <c r="K167" s="260">
        <f t="shared" si="98"/>
        <v>-1.895966656589791</v>
      </c>
      <c r="L167" s="261">
        <f t="shared" si="104"/>
        <v>61.038544275227743</v>
      </c>
      <c r="M167" s="262">
        <f t="shared" si="105"/>
        <v>60.630895833477013</v>
      </c>
      <c r="N167" s="261">
        <f t="shared" si="110"/>
        <v>0</v>
      </c>
      <c r="O167" s="259">
        <f t="shared" si="111"/>
        <v>0</v>
      </c>
      <c r="P167" s="260">
        <f t="shared" si="112"/>
        <v>0</v>
      </c>
      <c r="Q167" s="261">
        <f t="shared" si="106"/>
        <v>-10.775143066942984</v>
      </c>
      <c r="R167" s="263">
        <f t="shared" si="107"/>
        <v>-23.30170277783299</v>
      </c>
      <c r="S167" s="264">
        <f t="shared" si="99"/>
        <v>7.8597812600999992</v>
      </c>
      <c r="T167" s="259">
        <f t="shared" si="100"/>
        <v>9.7557479166897902</v>
      </c>
      <c r="U167" s="260">
        <f t="shared" si="101"/>
        <v>-1.895966656589791</v>
      </c>
      <c r="V167" s="265">
        <f t="shared" si="108"/>
        <v>71.813687342170581</v>
      </c>
      <c r="W167" s="261">
        <f t="shared" si="109"/>
        <v>83.932598611310084</v>
      </c>
      <c r="X167" s="266">
        <f t="shared" si="102"/>
        <v>7.8597812600999992</v>
      </c>
      <c r="Y167" s="267">
        <f t="shared" si="103"/>
        <v>0</v>
      </c>
      <c r="AB167" s="188"/>
      <c r="AC167" s="188"/>
    </row>
    <row r="168" spans="1:29">
      <c r="A168" s="248">
        <v>816</v>
      </c>
      <c r="B168" s="173">
        <v>26084</v>
      </c>
      <c r="C168" s="171">
        <v>1401</v>
      </c>
      <c r="D168" s="173" t="s">
        <v>271</v>
      </c>
      <c r="E168" s="173" t="s">
        <v>149</v>
      </c>
      <c r="F168" s="174" t="s">
        <v>149</v>
      </c>
      <c r="G168" s="175">
        <f t="shared" si="96"/>
        <v>1.0249999999999999</v>
      </c>
      <c r="H168" s="176" t="str">
        <f t="shared" si="113"/>
        <v xml:space="preserve">    </v>
      </c>
      <c r="I168" s="199">
        <f t="shared" si="114"/>
        <v>-10.148794267499998</v>
      </c>
      <c r="J168" s="200">
        <f t="shared" si="97"/>
        <v>0</v>
      </c>
      <c r="K168" s="201">
        <f t="shared" si="98"/>
        <v>-10.148794267499998</v>
      </c>
      <c r="L168" s="78">
        <f t="shared" si="104"/>
        <v>50.889750007727741</v>
      </c>
      <c r="M168" s="195">
        <f t="shared" si="105"/>
        <v>60.630895833477013</v>
      </c>
      <c r="N168" s="78">
        <f t="shared" si="110"/>
        <v>-10.148794267499998</v>
      </c>
      <c r="O168" s="200">
        <f t="shared" si="111"/>
        <v>0</v>
      </c>
      <c r="P168" s="201">
        <f t="shared" si="112"/>
        <v>-10.148794267499998</v>
      </c>
      <c r="Q168" s="78">
        <f t="shared" si="106"/>
        <v>-20.923937334442982</v>
      </c>
      <c r="R168" s="196">
        <f t="shared" si="107"/>
        <v>-23.30170277783299</v>
      </c>
      <c r="S168" s="202">
        <f t="shared" si="99"/>
        <v>0</v>
      </c>
      <c r="T168" s="200">
        <f t="shared" si="100"/>
        <v>0</v>
      </c>
      <c r="U168" s="201">
        <f t="shared" si="101"/>
        <v>0</v>
      </c>
      <c r="V168" s="198">
        <f t="shared" si="108"/>
        <v>71.813687342170581</v>
      </c>
      <c r="W168" s="78">
        <f t="shared" si="109"/>
        <v>83.932598611310084</v>
      </c>
      <c r="X168" s="203">
        <f t="shared" si="102"/>
        <v>0</v>
      </c>
      <c r="Y168" s="204">
        <f t="shared" si="103"/>
        <v>0</v>
      </c>
      <c r="AB168" s="188"/>
      <c r="AC168" s="188"/>
    </row>
    <row r="169" spans="1:29">
      <c r="A169" s="248">
        <v>816</v>
      </c>
      <c r="B169" s="209">
        <v>26106</v>
      </c>
      <c r="C169" s="171"/>
      <c r="D169" s="173" t="s">
        <v>271</v>
      </c>
      <c r="E169" s="173" t="s">
        <v>116</v>
      </c>
      <c r="F169" s="174" t="s">
        <v>116</v>
      </c>
      <c r="G169" s="175">
        <f t="shared" si="96"/>
        <v>1.0265018299999999</v>
      </c>
      <c r="H169" s="176" t="str">
        <f t="shared" si="113"/>
        <v xml:space="preserve">    </v>
      </c>
      <c r="I169" s="199">
        <f t="shared" si="114"/>
        <v>-49.952229475525066</v>
      </c>
      <c r="J169" s="200">
        <f t="shared" si="97"/>
        <v>-62.076388889036025</v>
      </c>
      <c r="K169" s="201">
        <f t="shared" si="98"/>
        <v>12.124159413510959</v>
      </c>
      <c r="L169" s="78">
        <f t="shared" si="104"/>
        <v>0.93752053220267584</v>
      </c>
      <c r="M169" s="195">
        <f t="shared" si="105"/>
        <v>-1.4454930555590124</v>
      </c>
      <c r="N169" s="78">
        <f t="shared" si="110"/>
        <v>0</v>
      </c>
      <c r="O169" s="200">
        <f t="shared" si="111"/>
        <v>0</v>
      </c>
      <c r="P169" s="201">
        <f t="shared" si="112"/>
        <v>0</v>
      </c>
      <c r="Q169" s="78">
        <f t="shared" si="106"/>
        <v>-20.923937334442982</v>
      </c>
      <c r="R169" s="196">
        <f t="shared" si="107"/>
        <v>-23.30170277783299</v>
      </c>
      <c r="S169" s="202">
        <f t="shared" si="99"/>
        <v>-49.952229475525066</v>
      </c>
      <c r="T169" s="200">
        <f t="shared" si="100"/>
        <v>-62.076388889036025</v>
      </c>
      <c r="U169" s="201">
        <f t="shared" si="101"/>
        <v>12.124159413510959</v>
      </c>
      <c r="V169" s="198">
        <f t="shared" si="108"/>
        <v>21.861457866645516</v>
      </c>
      <c r="W169" s="78">
        <f t="shared" si="109"/>
        <v>21.856209722274059</v>
      </c>
      <c r="X169" s="203">
        <f t="shared" si="102"/>
        <v>-49.952229475525066</v>
      </c>
      <c r="Y169" s="204">
        <f t="shared" si="103"/>
        <v>0</v>
      </c>
      <c r="AB169" s="188"/>
      <c r="AC169" s="188"/>
    </row>
    <row r="170" spans="1:29">
      <c r="A170" s="248">
        <v>816</v>
      </c>
      <c r="B170" s="173">
        <v>26058</v>
      </c>
      <c r="C170" s="171">
        <v>8056</v>
      </c>
      <c r="D170" s="173" t="s">
        <v>272</v>
      </c>
      <c r="E170" s="173" t="s">
        <v>149</v>
      </c>
      <c r="F170" s="174" t="s">
        <v>149</v>
      </c>
      <c r="G170" s="175">
        <f t="shared" si="96"/>
        <v>1.0249999999999999</v>
      </c>
      <c r="H170" s="176" t="str">
        <f t="shared" si="113"/>
        <v xml:space="preserve">    </v>
      </c>
      <c r="I170" s="199">
        <f t="shared" si="114"/>
        <v>-6.5458902394999994</v>
      </c>
      <c r="J170" s="200">
        <f t="shared" si="97"/>
        <v>-8.868055555576575</v>
      </c>
      <c r="K170" s="201">
        <f t="shared" si="98"/>
        <v>2.3221653160765756</v>
      </c>
      <c r="L170" s="78">
        <f t="shared" si="104"/>
        <v>-5.6083697072973235</v>
      </c>
      <c r="M170" s="195">
        <f t="shared" si="105"/>
        <v>-10.313548611135587</v>
      </c>
      <c r="N170" s="78">
        <f t="shared" si="110"/>
        <v>-6.5458902394999994</v>
      </c>
      <c r="O170" s="200">
        <f t="shared" si="111"/>
        <v>-8.868055555576575</v>
      </c>
      <c r="P170" s="201">
        <f t="shared" si="112"/>
        <v>2.3221653160765756</v>
      </c>
      <c r="Q170" s="78">
        <f t="shared" si="106"/>
        <v>-27.469827573942982</v>
      </c>
      <c r="R170" s="196">
        <f t="shared" si="107"/>
        <v>-32.169758333409561</v>
      </c>
      <c r="S170" s="202">
        <f t="shared" si="99"/>
        <v>0</v>
      </c>
      <c r="T170" s="200">
        <f t="shared" si="100"/>
        <v>0</v>
      </c>
      <c r="U170" s="201">
        <f t="shared" si="101"/>
        <v>0</v>
      </c>
      <c r="V170" s="198">
        <f t="shared" si="108"/>
        <v>21.861457866645516</v>
      </c>
      <c r="W170" s="78">
        <f t="shared" si="109"/>
        <v>21.856209722274059</v>
      </c>
      <c r="X170" s="203">
        <f t="shared" si="102"/>
        <v>0</v>
      </c>
      <c r="Y170" s="204">
        <f t="shared" si="103"/>
        <v>0</v>
      </c>
      <c r="AB170" s="188"/>
      <c r="AC170" s="188"/>
    </row>
    <row r="171" spans="1:29">
      <c r="A171" s="248">
        <v>816</v>
      </c>
      <c r="B171" s="173">
        <v>26138</v>
      </c>
      <c r="C171" s="171"/>
      <c r="D171" s="173" t="s">
        <v>272</v>
      </c>
      <c r="E171" s="173" t="s">
        <v>116</v>
      </c>
      <c r="F171" s="174" t="s">
        <v>116</v>
      </c>
      <c r="G171" s="175">
        <f t="shared" si="96"/>
        <v>1.0369999999999999</v>
      </c>
      <c r="H171" s="176" t="str">
        <f t="shared" si="113"/>
        <v>UNAV</v>
      </c>
      <c r="I171" s="199">
        <f t="shared" si="114"/>
        <v>0</v>
      </c>
      <c r="J171" s="200">
        <f t="shared" si="97"/>
        <v>0</v>
      </c>
      <c r="K171" s="201">
        <f t="shared" si="98"/>
        <v>0</v>
      </c>
      <c r="L171" s="78">
        <f t="shared" si="104"/>
        <v>-5.6083697072973235</v>
      </c>
      <c r="M171" s="195">
        <f t="shared" si="105"/>
        <v>-10.313548611135587</v>
      </c>
      <c r="N171" s="78">
        <f t="shared" si="110"/>
        <v>0</v>
      </c>
      <c r="O171" s="200">
        <f t="shared" si="111"/>
        <v>0</v>
      </c>
      <c r="P171" s="201">
        <f t="shared" si="112"/>
        <v>0</v>
      </c>
      <c r="Q171" s="78">
        <f t="shared" si="106"/>
        <v>-27.469827573942982</v>
      </c>
      <c r="R171" s="196">
        <f t="shared" si="107"/>
        <v>-32.169758333409561</v>
      </c>
      <c r="S171" s="202">
        <f t="shared" si="99"/>
        <v>0</v>
      </c>
      <c r="T171" s="200">
        <f t="shared" si="100"/>
        <v>0</v>
      </c>
      <c r="U171" s="201">
        <f t="shared" si="101"/>
        <v>0</v>
      </c>
      <c r="V171" s="198">
        <f t="shared" si="108"/>
        <v>21.861457866645516</v>
      </c>
      <c r="W171" s="78">
        <f t="shared" si="109"/>
        <v>21.856209722274059</v>
      </c>
      <c r="X171" s="203">
        <f t="shared" si="102"/>
        <v>0</v>
      </c>
      <c r="Y171" s="204">
        <f t="shared" si="103"/>
        <v>0</v>
      </c>
      <c r="AB171" s="188"/>
      <c r="AC171" s="188"/>
    </row>
    <row r="172" spans="1:29">
      <c r="A172" s="248">
        <v>816</v>
      </c>
      <c r="B172" s="173">
        <v>26185</v>
      </c>
      <c r="C172" s="171">
        <v>1550</v>
      </c>
      <c r="D172" s="173" t="s">
        <v>272</v>
      </c>
      <c r="E172" s="173" t="s">
        <v>149</v>
      </c>
      <c r="F172" s="207" t="s">
        <v>149</v>
      </c>
      <c r="G172" s="208">
        <f t="shared" si="96"/>
        <v>1.0249999999999999</v>
      </c>
      <c r="H172" s="176" t="str">
        <f t="shared" si="113"/>
        <v xml:space="preserve">    </v>
      </c>
      <c r="I172" s="199">
        <f t="shared" si="114"/>
        <v>-3.8210223265000001</v>
      </c>
      <c r="J172" s="200">
        <f t="shared" si="97"/>
        <v>-3.54722222223063</v>
      </c>
      <c r="K172" s="201">
        <f t="shared" si="98"/>
        <v>-0.27380010426937007</v>
      </c>
      <c r="L172" s="78">
        <f t="shared" si="104"/>
        <v>-9.429392033797324</v>
      </c>
      <c r="M172" s="195">
        <f t="shared" si="105"/>
        <v>-13.860770833366217</v>
      </c>
      <c r="N172" s="78">
        <f t="shared" si="110"/>
        <v>-3.8210223265000001</v>
      </c>
      <c r="O172" s="200">
        <f t="shared" si="111"/>
        <v>-3.54722222223063</v>
      </c>
      <c r="P172" s="201">
        <f t="shared" si="112"/>
        <v>-0.27380010426937007</v>
      </c>
      <c r="Q172" s="78">
        <f t="shared" si="106"/>
        <v>-31.290849900442982</v>
      </c>
      <c r="R172" s="196">
        <f t="shared" si="107"/>
        <v>-35.716980555640191</v>
      </c>
      <c r="S172" s="202">
        <f t="shared" si="99"/>
        <v>0</v>
      </c>
      <c r="T172" s="200">
        <f t="shared" si="100"/>
        <v>0</v>
      </c>
      <c r="U172" s="201">
        <f t="shared" si="101"/>
        <v>0</v>
      </c>
      <c r="V172" s="198">
        <f t="shared" si="108"/>
        <v>21.861457866645516</v>
      </c>
      <c r="W172" s="78">
        <f t="shared" si="109"/>
        <v>21.856209722274059</v>
      </c>
      <c r="X172" s="203">
        <f t="shared" si="102"/>
        <v>0</v>
      </c>
      <c r="Y172" s="204">
        <f t="shared" si="103"/>
        <v>0</v>
      </c>
      <c r="AB172" s="188"/>
      <c r="AC172" s="188"/>
    </row>
    <row r="173" spans="1:29">
      <c r="A173" s="248">
        <v>816</v>
      </c>
      <c r="B173" s="173">
        <v>26026</v>
      </c>
      <c r="C173" s="171">
        <v>3522</v>
      </c>
      <c r="D173" s="173" t="s">
        <v>273</v>
      </c>
      <c r="E173" s="173" t="s">
        <v>149</v>
      </c>
      <c r="F173" s="174" t="s">
        <v>149</v>
      </c>
      <c r="G173" s="175">
        <f t="shared" si="96"/>
        <v>1.0249999999999999</v>
      </c>
      <c r="H173" s="176" t="str">
        <f t="shared" si="113"/>
        <v xml:space="preserve">    </v>
      </c>
      <c r="I173" s="199">
        <f t="shared" si="114"/>
        <v>-18.162743749999997</v>
      </c>
      <c r="J173" s="200">
        <f t="shared" si="97"/>
        <v>-20.396527777826122</v>
      </c>
      <c r="K173" s="201">
        <f t="shared" si="98"/>
        <v>2.2337840278261254</v>
      </c>
      <c r="L173" s="78">
        <f t="shared" si="104"/>
        <v>-27.592135783797321</v>
      </c>
      <c r="M173" s="195">
        <f t="shared" si="105"/>
        <v>-34.25729861119234</v>
      </c>
      <c r="N173" s="78">
        <f t="shared" si="110"/>
        <v>-18.162743749999997</v>
      </c>
      <c r="O173" s="200">
        <f t="shared" si="111"/>
        <v>-20.396527777826122</v>
      </c>
      <c r="P173" s="201">
        <f t="shared" si="112"/>
        <v>2.2337840278261254</v>
      </c>
      <c r="Q173" s="78">
        <f t="shared" si="106"/>
        <v>-49.453593650442983</v>
      </c>
      <c r="R173" s="196">
        <f t="shared" si="107"/>
        <v>-56.113508333466314</v>
      </c>
      <c r="S173" s="202">
        <f t="shared" si="99"/>
        <v>0</v>
      </c>
      <c r="T173" s="200">
        <f t="shared" si="100"/>
        <v>0</v>
      </c>
      <c r="U173" s="201">
        <f t="shared" si="101"/>
        <v>0</v>
      </c>
      <c r="V173" s="198">
        <f t="shared" si="108"/>
        <v>21.861457866645516</v>
      </c>
      <c r="W173" s="78">
        <f t="shared" si="109"/>
        <v>21.856209722274059</v>
      </c>
      <c r="X173" s="203">
        <f t="shared" si="102"/>
        <v>0</v>
      </c>
      <c r="Y173" s="204">
        <f t="shared" si="103"/>
        <v>0</v>
      </c>
      <c r="AB173" s="188"/>
      <c r="AC173" s="188"/>
    </row>
    <row r="174" spans="1:29">
      <c r="A174" s="248">
        <v>816</v>
      </c>
      <c r="B174" s="173">
        <v>16345</v>
      </c>
      <c r="C174" s="171"/>
      <c r="D174" s="173" t="s">
        <v>274</v>
      </c>
      <c r="E174" s="173" t="s">
        <v>116</v>
      </c>
      <c r="F174" s="174" t="s">
        <v>116</v>
      </c>
      <c r="G174" s="175">
        <f t="shared" si="96"/>
        <v>1.0249999999999999</v>
      </c>
      <c r="H174" s="176" t="str">
        <f t="shared" si="113"/>
        <v>UNAV</v>
      </c>
      <c r="I174" s="199">
        <f t="shared" si="114"/>
        <v>3.1456963734717028E-2</v>
      </c>
      <c r="J174" s="200">
        <f t="shared" si="97"/>
        <v>3.5472222222306303E-2</v>
      </c>
      <c r="K174" s="201">
        <f t="shared" si="98"/>
        <v>-4.0152584875892752E-3</v>
      </c>
      <c r="L174" s="78">
        <f t="shared" si="104"/>
        <v>-27.560678820062606</v>
      </c>
      <c r="M174" s="195">
        <f t="shared" si="105"/>
        <v>-34.221826388970037</v>
      </c>
      <c r="N174" s="78">
        <f t="shared" si="110"/>
        <v>0</v>
      </c>
      <c r="O174" s="200">
        <f t="shared" si="111"/>
        <v>0</v>
      </c>
      <c r="P174" s="201">
        <f t="shared" si="112"/>
        <v>0</v>
      </c>
      <c r="Q174" s="78">
        <f t="shared" si="106"/>
        <v>-49.453593650442983</v>
      </c>
      <c r="R174" s="196">
        <f t="shared" si="107"/>
        <v>-56.113508333466314</v>
      </c>
      <c r="S174" s="202">
        <f t="shared" si="99"/>
        <v>3.1456963734717028E-2</v>
      </c>
      <c r="T174" s="200">
        <f t="shared" si="100"/>
        <v>3.5472222222306303E-2</v>
      </c>
      <c r="U174" s="201">
        <f t="shared" si="101"/>
        <v>-4.0152584875892752E-3</v>
      </c>
      <c r="V174" s="198">
        <f t="shared" si="108"/>
        <v>21.892914830380231</v>
      </c>
      <c r="W174" s="78">
        <f t="shared" si="109"/>
        <v>21.891681944496366</v>
      </c>
      <c r="X174" s="203">
        <f t="shared" si="102"/>
        <v>3.1456963734717028E-2</v>
      </c>
      <c r="Y174" s="204">
        <f t="shared" si="103"/>
        <v>0</v>
      </c>
      <c r="AB174" s="188"/>
      <c r="AC174" s="188"/>
    </row>
    <row r="175" spans="1:29">
      <c r="A175" s="248">
        <v>816</v>
      </c>
      <c r="B175" s="173">
        <v>16365</v>
      </c>
      <c r="C175" s="171">
        <v>777</v>
      </c>
      <c r="D175" s="305" t="s">
        <v>275</v>
      </c>
      <c r="E175" s="173" t="s">
        <v>149</v>
      </c>
      <c r="F175" s="174" t="s">
        <v>149</v>
      </c>
      <c r="G175" s="175">
        <v>1.0249999999999999</v>
      </c>
      <c r="H175" s="176" t="str">
        <f t="shared" si="113"/>
        <v>UNAV</v>
      </c>
      <c r="I175" s="199">
        <f t="shared" si="114"/>
        <v>5.707079645571036</v>
      </c>
      <c r="J175" s="200">
        <f t="shared" si="97"/>
        <v>6.4355479166819203</v>
      </c>
      <c r="K175" s="201">
        <f t="shared" si="98"/>
        <v>-0.7284682711108843</v>
      </c>
      <c r="L175" s="78">
        <f t="shared" si="104"/>
        <v>-21.853599174491571</v>
      </c>
      <c r="M175" s="195">
        <f t="shared" si="105"/>
        <v>-27.786278472288117</v>
      </c>
      <c r="N175" s="78">
        <f t="shared" si="110"/>
        <v>5.707079645571036</v>
      </c>
      <c r="O175" s="200">
        <f t="shared" si="111"/>
        <v>6.4355479166819203</v>
      </c>
      <c r="P175" s="201">
        <f t="shared" si="112"/>
        <v>-0.7284682711108843</v>
      </c>
      <c r="Q175" s="78">
        <f t="shared" si="106"/>
        <v>-43.746514004871948</v>
      </c>
      <c r="R175" s="196">
        <f t="shared" si="107"/>
        <v>-49.677960416784394</v>
      </c>
      <c r="S175" s="202">
        <f t="shared" si="99"/>
        <v>0</v>
      </c>
      <c r="T175" s="200">
        <f t="shared" si="100"/>
        <v>0</v>
      </c>
      <c r="U175" s="201">
        <f t="shared" si="101"/>
        <v>0</v>
      </c>
      <c r="V175" s="198">
        <f t="shared" si="108"/>
        <v>21.892914830380231</v>
      </c>
      <c r="W175" s="78">
        <f t="shared" si="109"/>
        <v>21.891681944496366</v>
      </c>
      <c r="X175" s="203">
        <f t="shared" si="102"/>
        <v>0</v>
      </c>
      <c r="Y175" s="204">
        <f t="shared" si="103"/>
        <v>0</v>
      </c>
      <c r="AB175" s="188"/>
      <c r="AC175" s="188"/>
    </row>
    <row r="176" spans="1:29">
      <c r="A176" s="248">
        <v>816</v>
      </c>
      <c r="B176" s="173">
        <v>16357</v>
      </c>
      <c r="C176" s="171">
        <v>9659</v>
      </c>
      <c r="D176" s="173" t="s">
        <v>276</v>
      </c>
      <c r="E176" s="173" t="s">
        <v>149</v>
      </c>
      <c r="F176" s="174" t="s">
        <v>149</v>
      </c>
      <c r="G176" s="175">
        <f t="shared" ref="G176:G223" si="115">VLOOKUP($B176,BTU,2,FALSE)/1000</f>
        <v>1.0249999999999999</v>
      </c>
      <c r="H176" s="176" t="str">
        <f t="shared" si="113"/>
        <v>UNAV</v>
      </c>
      <c r="I176" s="199">
        <f t="shared" si="114"/>
        <v>1.0742553115405864</v>
      </c>
      <c r="J176" s="200">
        <f t="shared" si="97"/>
        <v>1.2113763888917601</v>
      </c>
      <c r="K176" s="201">
        <f t="shared" si="98"/>
        <v>-0.13712107735117374</v>
      </c>
      <c r="L176" s="78">
        <f t="shared" si="104"/>
        <v>-20.779343862950984</v>
      </c>
      <c r="M176" s="195">
        <f t="shared" si="105"/>
        <v>-26.574902083396356</v>
      </c>
      <c r="N176" s="78">
        <f t="shared" si="110"/>
        <v>1.0742553115405864</v>
      </c>
      <c r="O176" s="200">
        <f t="shared" si="111"/>
        <v>1.2113763888917601</v>
      </c>
      <c r="P176" s="201">
        <f t="shared" si="112"/>
        <v>-0.13712107735117374</v>
      </c>
      <c r="Q176" s="78">
        <f t="shared" si="106"/>
        <v>-42.672258693331358</v>
      </c>
      <c r="R176" s="196">
        <f t="shared" si="107"/>
        <v>-48.466584027892637</v>
      </c>
      <c r="S176" s="202">
        <f t="shared" si="99"/>
        <v>0</v>
      </c>
      <c r="T176" s="200">
        <f t="shared" si="100"/>
        <v>0</v>
      </c>
      <c r="U176" s="201">
        <f t="shared" si="101"/>
        <v>0</v>
      </c>
      <c r="V176" s="198">
        <f t="shared" si="108"/>
        <v>21.892914830380231</v>
      </c>
      <c r="W176" s="78">
        <f t="shared" si="109"/>
        <v>21.891681944496366</v>
      </c>
      <c r="X176" s="203">
        <f t="shared" si="102"/>
        <v>0</v>
      </c>
      <c r="Y176" s="204">
        <f t="shared" si="103"/>
        <v>0</v>
      </c>
      <c r="AB176" s="188"/>
      <c r="AC176" s="188"/>
    </row>
    <row r="177" spans="1:29">
      <c r="A177" s="248">
        <v>816</v>
      </c>
      <c r="B177" s="173">
        <v>16369</v>
      </c>
      <c r="C177" s="171">
        <v>9842</v>
      </c>
      <c r="D177" s="173" t="s">
        <v>277</v>
      </c>
      <c r="E177" s="173" t="s">
        <v>149</v>
      </c>
      <c r="F177" s="174" t="s">
        <v>149</v>
      </c>
      <c r="G177" s="175">
        <f t="shared" si="115"/>
        <v>1.0249999999999999</v>
      </c>
      <c r="H177" s="176" t="str">
        <f t="shared" si="113"/>
        <v>UNAV</v>
      </c>
      <c r="I177" s="199">
        <f t="shared" si="114"/>
        <v>6.6964011550278864</v>
      </c>
      <c r="J177" s="200">
        <f t="shared" si="97"/>
        <v>7.5511493055734542</v>
      </c>
      <c r="K177" s="201">
        <f t="shared" si="98"/>
        <v>-0.85474815054556785</v>
      </c>
      <c r="L177" s="78">
        <f t="shared" si="104"/>
        <v>-14.082942707923099</v>
      </c>
      <c r="M177" s="195">
        <f t="shared" si="105"/>
        <v>-19.023752777822903</v>
      </c>
      <c r="N177" s="78">
        <f t="shared" si="110"/>
        <v>6.6964011550278864</v>
      </c>
      <c r="O177" s="200">
        <f t="shared" si="111"/>
        <v>7.5511493055734542</v>
      </c>
      <c r="P177" s="201">
        <f t="shared" si="112"/>
        <v>-0.85474815054556785</v>
      </c>
      <c r="Q177" s="78">
        <f t="shared" si="106"/>
        <v>-35.975857538303472</v>
      </c>
      <c r="R177" s="196">
        <f t="shared" si="107"/>
        <v>-40.915434722319183</v>
      </c>
      <c r="S177" s="202">
        <f t="shared" si="99"/>
        <v>0</v>
      </c>
      <c r="T177" s="200">
        <f t="shared" si="100"/>
        <v>0</v>
      </c>
      <c r="U177" s="201">
        <f t="shared" si="101"/>
        <v>0</v>
      </c>
      <c r="V177" s="198">
        <f t="shared" si="108"/>
        <v>21.892914830380231</v>
      </c>
      <c r="W177" s="78">
        <f t="shared" si="109"/>
        <v>21.891681944496366</v>
      </c>
      <c r="X177" s="203">
        <f t="shared" si="102"/>
        <v>0</v>
      </c>
      <c r="Y177" s="204">
        <f t="shared" si="103"/>
        <v>0</v>
      </c>
      <c r="AB177" s="188"/>
      <c r="AC177" s="188"/>
    </row>
    <row r="178" spans="1:29" ht="13.8" thickBot="1">
      <c r="A178" s="251">
        <v>816</v>
      </c>
      <c r="B178" s="252">
        <v>16001</v>
      </c>
      <c r="C178" s="253"/>
      <c r="D178" s="252" t="s">
        <v>278</v>
      </c>
      <c r="E178" s="252" t="s">
        <v>118</v>
      </c>
      <c r="F178" s="255" t="s">
        <v>116</v>
      </c>
      <c r="G178" s="256">
        <f t="shared" si="115"/>
        <v>1.0249999999999999</v>
      </c>
      <c r="H178" s="257" t="str">
        <f t="shared" si="113"/>
        <v>UNAV</v>
      </c>
      <c r="I178" s="258">
        <f t="shared" si="114"/>
        <v>0.13290567177917945</v>
      </c>
      <c r="J178" s="259">
        <f t="shared" si="97"/>
        <v>0.14987013888924414</v>
      </c>
      <c r="K178" s="260">
        <f t="shared" si="98"/>
        <v>-1.696446711006469E-2</v>
      </c>
      <c r="L178" s="261">
        <f t="shared" si="104"/>
        <v>-13.95003703614392</v>
      </c>
      <c r="M178" s="262">
        <f t="shared" si="105"/>
        <v>-18.873882638933658</v>
      </c>
      <c r="N178" s="261">
        <f t="shared" si="110"/>
        <v>0</v>
      </c>
      <c r="O178" s="259">
        <f t="shared" si="111"/>
        <v>0</v>
      </c>
      <c r="P178" s="260">
        <f t="shared" si="112"/>
        <v>0</v>
      </c>
      <c r="Q178" s="261">
        <f t="shared" si="106"/>
        <v>-35.975857538303472</v>
      </c>
      <c r="R178" s="263">
        <f t="shared" si="107"/>
        <v>-40.915434722319183</v>
      </c>
      <c r="S178" s="264">
        <f t="shared" si="99"/>
        <v>0.13290567177917945</v>
      </c>
      <c r="T178" s="259">
        <f t="shared" si="100"/>
        <v>0.14987013888924414</v>
      </c>
      <c r="U178" s="260">
        <f t="shared" si="101"/>
        <v>-1.696446711006469E-2</v>
      </c>
      <c r="V178" s="265">
        <f t="shared" si="108"/>
        <v>22.025820502159412</v>
      </c>
      <c r="W178" s="261">
        <f t="shared" si="109"/>
        <v>22.041552083385611</v>
      </c>
      <c r="X178" s="266">
        <f t="shared" si="102"/>
        <v>0.13290567177917945</v>
      </c>
      <c r="Y178" s="267">
        <f t="shared" si="103"/>
        <v>0</v>
      </c>
      <c r="AB178" s="188"/>
      <c r="AC178" s="188"/>
    </row>
    <row r="179" spans="1:29">
      <c r="A179" s="248">
        <v>817</v>
      </c>
      <c r="B179" s="173">
        <v>16297</v>
      </c>
      <c r="C179" s="171">
        <v>7285</v>
      </c>
      <c r="D179" s="232" t="s">
        <v>279</v>
      </c>
      <c r="E179" s="173" t="s">
        <v>118</v>
      </c>
      <c r="F179" s="174" t="s">
        <v>142</v>
      </c>
      <c r="G179" s="175">
        <f t="shared" si="115"/>
        <v>1.0891505099999998</v>
      </c>
      <c r="H179" s="176" t="str">
        <f t="shared" si="113"/>
        <v xml:space="preserve">    </v>
      </c>
      <c r="I179" s="199">
        <f t="shared" si="114"/>
        <v>0</v>
      </c>
      <c r="J179" s="200">
        <f t="shared" si="97"/>
        <v>0</v>
      </c>
      <c r="K179" s="201">
        <f t="shared" si="98"/>
        <v>0</v>
      </c>
      <c r="L179" s="78">
        <f t="shared" si="104"/>
        <v>-13.95003703614392</v>
      </c>
      <c r="M179" s="195">
        <f t="shared" si="105"/>
        <v>-18.873882638933658</v>
      </c>
      <c r="N179" s="78">
        <f t="shared" si="110"/>
        <v>0</v>
      </c>
      <c r="O179" s="200">
        <f t="shared" si="111"/>
        <v>0</v>
      </c>
      <c r="P179" s="201">
        <f t="shared" si="112"/>
        <v>0</v>
      </c>
      <c r="Q179" s="78">
        <f t="shared" si="106"/>
        <v>-35.975857538303472</v>
      </c>
      <c r="R179" s="196">
        <f t="shared" si="107"/>
        <v>-40.915434722319183</v>
      </c>
      <c r="S179" s="202">
        <f t="shared" si="99"/>
        <v>0</v>
      </c>
      <c r="T179" s="200">
        <f t="shared" si="100"/>
        <v>0</v>
      </c>
      <c r="U179" s="201">
        <f t="shared" si="101"/>
        <v>0</v>
      </c>
      <c r="V179" s="198">
        <f t="shared" si="108"/>
        <v>22.025820502159412</v>
      </c>
      <c r="W179" s="78">
        <f t="shared" si="109"/>
        <v>22.041552083385611</v>
      </c>
      <c r="X179" s="306">
        <f t="shared" si="102"/>
        <v>0</v>
      </c>
      <c r="Y179" s="307">
        <f t="shared" si="103"/>
        <v>0</v>
      </c>
      <c r="AB179" s="188"/>
      <c r="AC179" s="188"/>
    </row>
    <row r="180" spans="1:29" ht="13.8" thickBot="1">
      <c r="A180" s="248">
        <v>817</v>
      </c>
      <c r="B180" s="173">
        <v>26164</v>
      </c>
      <c r="C180" s="171"/>
      <c r="D180" s="232" t="s">
        <v>280</v>
      </c>
      <c r="E180" s="173" t="s">
        <v>118</v>
      </c>
      <c r="F180" s="174" t="s">
        <v>142</v>
      </c>
      <c r="G180" s="175">
        <f t="shared" si="115"/>
        <v>1.0891505099999998</v>
      </c>
      <c r="H180" s="176" t="str">
        <f t="shared" si="113"/>
        <v xml:space="preserve">    </v>
      </c>
      <c r="I180" s="199">
        <f t="shared" si="114"/>
        <v>-12.394543477474995</v>
      </c>
      <c r="J180" s="200">
        <f t="shared" si="97"/>
        <v>-10.64166666669189</v>
      </c>
      <c r="K180" s="201">
        <f t="shared" si="98"/>
        <v>-1.7528768107831052</v>
      </c>
      <c r="L180" s="78">
        <f t="shared" si="104"/>
        <v>-26.344580513618915</v>
      </c>
      <c r="M180" s="195">
        <f t="shared" si="105"/>
        <v>-29.515549305625548</v>
      </c>
      <c r="N180" s="78">
        <f t="shared" si="110"/>
        <v>0</v>
      </c>
      <c r="O180" s="200">
        <f t="shared" si="111"/>
        <v>0</v>
      </c>
      <c r="P180" s="201">
        <f t="shared" si="112"/>
        <v>0</v>
      </c>
      <c r="Q180" s="78">
        <f t="shared" si="106"/>
        <v>-35.975857538303472</v>
      </c>
      <c r="R180" s="196">
        <f t="shared" si="107"/>
        <v>-40.915434722319183</v>
      </c>
      <c r="S180" s="202">
        <f t="shared" si="99"/>
        <v>-12.394543477474995</v>
      </c>
      <c r="T180" s="200">
        <f t="shared" si="100"/>
        <v>-10.64166666669189</v>
      </c>
      <c r="U180" s="201">
        <f t="shared" si="101"/>
        <v>-1.7528768107831052</v>
      </c>
      <c r="V180" s="198">
        <f t="shared" si="108"/>
        <v>9.631277024684417</v>
      </c>
      <c r="W180" s="78">
        <f t="shared" si="109"/>
        <v>11.399885416693721</v>
      </c>
      <c r="X180" s="306">
        <f t="shared" si="102"/>
        <v>-10.64166666669189</v>
      </c>
      <c r="Y180" s="308">
        <f t="shared" si="103"/>
        <v>-1.7528768107831052</v>
      </c>
      <c r="AB180" s="188"/>
      <c r="AC180" s="188"/>
    </row>
    <row r="181" spans="1:29">
      <c r="A181" s="248">
        <v>817</v>
      </c>
      <c r="B181" s="173">
        <v>16346</v>
      </c>
      <c r="C181" s="171"/>
      <c r="D181" s="173" t="s">
        <v>281</v>
      </c>
      <c r="E181" s="173" t="s">
        <v>116</v>
      </c>
      <c r="F181" s="174" t="s">
        <v>116</v>
      </c>
      <c r="G181" s="175">
        <f t="shared" si="115"/>
        <v>1.0249999999999999</v>
      </c>
      <c r="H181" s="176" t="str">
        <f t="shared" si="113"/>
        <v>UNAV</v>
      </c>
      <c r="I181" s="199">
        <f t="shared" si="114"/>
        <v>0.21783947386291541</v>
      </c>
      <c r="J181" s="200">
        <f t="shared" si="97"/>
        <v>0.24564513888947115</v>
      </c>
      <c r="K181" s="201">
        <f t="shared" si="98"/>
        <v>-2.7805665026555737E-2</v>
      </c>
      <c r="L181" s="78">
        <f t="shared" si="104"/>
        <v>-26.126741039755998</v>
      </c>
      <c r="M181" s="195">
        <f t="shared" si="105"/>
        <v>-29.269904166736076</v>
      </c>
      <c r="N181" s="78">
        <f t="shared" si="110"/>
        <v>0</v>
      </c>
      <c r="O181" s="200">
        <f t="shared" si="111"/>
        <v>0</v>
      </c>
      <c r="P181" s="201">
        <f t="shared" si="112"/>
        <v>0</v>
      </c>
      <c r="Q181" s="78">
        <f t="shared" si="106"/>
        <v>-35.975857538303472</v>
      </c>
      <c r="R181" s="196">
        <f t="shared" si="107"/>
        <v>-40.915434722319183</v>
      </c>
      <c r="S181" s="202">
        <f t="shared" si="99"/>
        <v>0.21783947386291541</v>
      </c>
      <c r="T181" s="200">
        <f t="shared" si="100"/>
        <v>0.24564513888947115</v>
      </c>
      <c r="U181" s="201">
        <f t="shared" si="101"/>
        <v>-2.7805665026555737E-2</v>
      </c>
      <c r="V181" s="198">
        <f t="shared" si="108"/>
        <v>9.8491164985473318</v>
      </c>
      <c r="W181" s="78">
        <f t="shared" si="109"/>
        <v>11.645530555583193</v>
      </c>
      <c r="X181" s="203">
        <f t="shared" si="102"/>
        <v>0.21783947386291541</v>
      </c>
      <c r="Y181" s="204">
        <f t="shared" si="103"/>
        <v>0</v>
      </c>
      <c r="AB181" s="188"/>
      <c r="AC181" s="188"/>
    </row>
    <row r="182" spans="1:29">
      <c r="A182" s="248">
        <v>817</v>
      </c>
      <c r="B182" s="173">
        <v>16083</v>
      </c>
      <c r="C182" s="171"/>
      <c r="D182" s="173" t="s">
        <v>282</v>
      </c>
      <c r="E182" s="173" t="s">
        <v>149</v>
      </c>
      <c r="F182" s="174" t="s">
        <v>149</v>
      </c>
      <c r="G182" s="175">
        <f t="shared" si="115"/>
        <v>1.0249999999999999</v>
      </c>
      <c r="H182" s="176" t="str">
        <f t="shared" si="113"/>
        <v>UNAV</v>
      </c>
      <c r="I182" s="199">
        <f t="shared" si="114"/>
        <v>0</v>
      </c>
      <c r="J182" s="200">
        <f t="shared" si="97"/>
        <v>0</v>
      </c>
      <c r="K182" s="201">
        <f t="shared" si="98"/>
        <v>0</v>
      </c>
      <c r="L182" s="78">
        <f t="shared" si="104"/>
        <v>-26.126741039755998</v>
      </c>
      <c r="M182" s="195">
        <f t="shared" si="105"/>
        <v>-29.269904166736076</v>
      </c>
      <c r="N182" s="78">
        <f t="shared" si="110"/>
        <v>0</v>
      </c>
      <c r="O182" s="200">
        <f t="shared" si="111"/>
        <v>0</v>
      </c>
      <c r="P182" s="201">
        <f t="shared" si="112"/>
        <v>0</v>
      </c>
      <c r="Q182" s="78">
        <f t="shared" si="106"/>
        <v>-35.975857538303472</v>
      </c>
      <c r="R182" s="196">
        <f t="shared" si="107"/>
        <v>-40.915434722319183</v>
      </c>
      <c r="S182" s="202">
        <f t="shared" si="99"/>
        <v>0</v>
      </c>
      <c r="T182" s="200">
        <f t="shared" si="100"/>
        <v>0</v>
      </c>
      <c r="U182" s="201">
        <f t="shared" si="101"/>
        <v>0</v>
      </c>
      <c r="V182" s="198">
        <f t="shared" si="108"/>
        <v>9.8491164985473318</v>
      </c>
      <c r="W182" s="78">
        <f t="shared" si="109"/>
        <v>11.645530555583193</v>
      </c>
      <c r="X182" s="203">
        <f t="shared" si="102"/>
        <v>0</v>
      </c>
      <c r="Y182" s="204">
        <f t="shared" si="103"/>
        <v>0</v>
      </c>
      <c r="AB182" s="188"/>
      <c r="AC182" s="188"/>
    </row>
    <row r="183" spans="1:29">
      <c r="A183" s="248">
        <v>817</v>
      </c>
      <c r="B183" s="173">
        <v>16198</v>
      </c>
      <c r="C183" s="171">
        <v>5646</v>
      </c>
      <c r="D183" s="173" t="s">
        <v>283</v>
      </c>
      <c r="E183" s="173" t="s">
        <v>149</v>
      </c>
      <c r="F183" s="174" t="s">
        <v>149</v>
      </c>
      <c r="G183" s="175">
        <f t="shared" si="115"/>
        <v>1.0249999999999999</v>
      </c>
      <c r="H183" s="176" t="str">
        <f t="shared" si="113"/>
        <v>UNAV</v>
      </c>
      <c r="I183" s="199">
        <f t="shared" si="114"/>
        <v>0</v>
      </c>
      <c r="J183" s="200">
        <f t="shared" si="97"/>
        <v>0</v>
      </c>
      <c r="K183" s="201">
        <f t="shared" si="98"/>
        <v>0</v>
      </c>
      <c r="L183" s="78">
        <f t="shared" si="104"/>
        <v>-26.126741039755998</v>
      </c>
      <c r="M183" s="195">
        <f t="shared" si="105"/>
        <v>-29.269904166736076</v>
      </c>
      <c r="N183" s="78">
        <f t="shared" si="110"/>
        <v>0</v>
      </c>
      <c r="O183" s="200">
        <f t="shared" si="111"/>
        <v>0</v>
      </c>
      <c r="P183" s="201">
        <f t="shared" si="112"/>
        <v>0</v>
      </c>
      <c r="Q183" s="78">
        <f t="shared" si="106"/>
        <v>-35.975857538303472</v>
      </c>
      <c r="R183" s="196">
        <f t="shared" si="107"/>
        <v>-40.915434722319183</v>
      </c>
      <c r="S183" s="202">
        <f t="shared" si="99"/>
        <v>0</v>
      </c>
      <c r="T183" s="200">
        <f t="shared" si="100"/>
        <v>0</v>
      </c>
      <c r="U183" s="201">
        <f t="shared" si="101"/>
        <v>0</v>
      </c>
      <c r="V183" s="198">
        <f t="shared" si="108"/>
        <v>9.8491164985473318</v>
      </c>
      <c r="W183" s="78">
        <f t="shared" si="109"/>
        <v>11.645530555583193</v>
      </c>
      <c r="X183" s="203">
        <f t="shared" si="102"/>
        <v>0</v>
      </c>
      <c r="Y183" s="204">
        <f t="shared" si="103"/>
        <v>0</v>
      </c>
      <c r="AB183" s="188"/>
      <c r="AC183" s="188"/>
    </row>
    <row r="184" spans="1:29">
      <c r="A184" s="248">
        <v>817</v>
      </c>
      <c r="B184" s="173">
        <v>16128</v>
      </c>
      <c r="C184" s="171">
        <v>5048</v>
      </c>
      <c r="D184" s="173" t="s">
        <v>284</v>
      </c>
      <c r="E184" s="173" t="s">
        <v>149</v>
      </c>
      <c r="F184" s="174" t="s">
        <v>149</v>
      </c>
      <c r="G184" s="175">
        <f t="shared" si="115"/>
        <v>1.0249999999999999</v>
      </c>
      <c r="H184" s="176" t="str">
        <f t="shared" si="113"/>
        <v>UNAV</v>
      </c>
      <c r="I184" s="199">
        <f t="shared" si="114"/>
        <v>0.11481791763171711</v>
      </c>
      <c r="J184" s="200">
        <f t="shared" si="97"/>
        <v>0.12947361111141797</v>
      </c>
      <c r="K184" s="201">
        <f t="shared" si="98"/>
        <v>-1.465569347970086E-2</v>
      </c>
      <c r="L184" s="78">
        <f t="shared" si="104"/>
        <v>-26.01192312212428</v>
      </c>
      <c r="M184" s="195">
        <f t="shared" si="105"/>
        <v>-29.140430555624658</v>
      </c>
      <c r="N184" s="78">
        <f t="shared" si="110"/>
        <v>0.11481791763171711</v>
      </c>
      <c r="O184" s="200">
        <f t="shared" si="111"/>
        <v>0.12947361111141797</v>
      </c>
      <c r="P184" s="201">
        <f t="shared" si="112"/>
        <v>-1.465569347970086E-2</v>
      </c>
      <c r="Q184" s="78">
        <f t="shared" si="106"/>
        <v>-35.861039620671754</v>
      </c>
      <c r="R184" s="196">
        <f t="shared" si="107"/>
        <v>-40.785961111207769</v>
      </c>
      <c r="S184" s="202">
        <f t="shared" si="99"/>
        <v>0</v>
      </c>
      <c r="T184" s="200">
        <f t="shared" si="100"/>
        <v>0</v>
      </c>
      <c r="U184" s="201">
        <f t="shared" si="101"/>
        <v>0</v>
      </c>
      <c r="V184" s="198">
        <f t="shared" si="108"/>
        <v>9.8491164985473318</v>
      </c>
      <c r="W184" s="78">
        <f t="shared" si="109"/>
        <v>11.645530555583193</v>
      </c>
      <c r="X184" s="203">
        <f t="shared" si="102"/>
        <v>0</v>
      </c>
      <c r="Y184" s="204">
        <f t="shared" si="103"/>
        <v>0</v>
      </c>
      <c r="AB184" s="188"/>
      <c r="AC184" s="188"/>
    </row>
    <row r="185" spans="1:29">
      <c r="A185" s="248">
        <v>817</v>
      </c>
      <c r="B185" s="173">
        <v>16324</v>
      </c>
      <c r="C185" s="171">
        <v>6848</v>
      </c>
      <c r="D185" s="173" t="s">
        <v>285</v>
      </c>
      <c r="E185" s="173" t="s">
        <v>149</v>
      </c>
      <c r="F185" s="174" t="s">
        <v>149</v>
      </c>
      <c r="G185" s="175">
        <f t="shared" si="115"/>
        <v>1.0249999999999999</v>
      </c>
      <c r="H185" s="176" t="str">
        <f t="shared" si="113"/>
        <v>UNAV</v>
      </c>
      <c r="I185" s="199">
        <f t="shared" si="114"/>
        <v>0.10302155623119826</v>
      </c>
      <c r="J185" s="200">
        <f t="shared" si="97"/>
        <v>0.11617152777805313</v>
      </c>
      <c r="K185" s="201">
        <f t="shared" si="98"/>
        <v>-1.3149971546854877E-2</v>
      </c>
      <c r="L185" s="78">
        <f t="shared" si="104"/>
        <v>-25.908901565893082</v>
      </c>
      <c r="M185" s="195">
        <f t="shared" si="105"/>
        <v>-29.024259027846604</v>
      </c>
      <c r="N185" s="78">
        <f t="shared" si="110"/>
        <v>0.10302155623119826</v>
      </c>
      <c r="O185" s="200">
        <f t="shared" si="111"/>
        <v>0.11617152777805313</v>
      </c>
      <c r="P185" s="201">
        <f t="shared" si="112"/>
        <v>-1.3149971546854877E-2</v>
      </c>
      <c r="Q185" s="78">
        <f t="shared" si="106"/>
        <v>-35.758018064440556</v>
      </c>
      <c r="R185" s="196">
        <f t="shared" si="107"/>
        <v>-40.669789583429719</v>
      </c>
      <c r="S185" s="202">
        <f t="shared" si="99"/>
        <v>0</v>
      </c>
      <c r="T185" s="200">
        <f t="shared" si="100"/>
        <v>0</v>
      </c>
      <c r="U185" s="201">
        <f t="shared" si="101"/>
        <v>0</v>
      </c>
      <c r="V185" s="198">
        <f t="shared" si="108"/>
        <v>9.8491164985473318</v>
      </c>
      <c r="W185" s="78">
        <f t="shared" si="109"/>
        <v>11.645530555583193</v>
      </c>
      <c r="X185" s="203">
        <f t="shared" si="102"/>
        <v>0</v>
      </c>
      <c r="Y185" s="204">
        <f t="shared" si="103"/>
        <v>0</v>
      </c>
      <c r="AB185" s="188"/>
      <c r="AC185" s="188"/>
    </row>
    <row r="186" spans="1:29">
      <c r="A186" s="248">
        <v>817</v>
      </c>
      <c r="B186" s="173">
        <v>16223</v>
      </c>
      <c r="C186" s="171">
        <v>6026</v>
      </c>
      <c r="D186" s="173" t="s">
        <v>286</v>
      </c>
      <c r="E186" s="173" t="s">
        <v>149</v>
      </c>
      <c r="F186" s="174" t="s">
        <v>149</v>
      </c>
      <c r="G186" s="175">
        <f t="shared" si="115"/>
        <v>1.0249999999999999</v>
      </c>
      <c r="H186" s="176" t="str">
        <f t="shared" si="113"/>
        <v>UNAV</v>
      </c>
      <c r="I186" s="199">
        <f t="shared" si="114"/>
        <v>4.01076287617642E-2</v>
      </c>
      <c r="J186" s="200">
        <f t="shared" si="97"/>
        <v>4.5227083333440526E-2</v>
      </c>
      <c r="K186" s="201">
        <f t="shared" si="98"/>
        <v>-5.1194545716763268E-3</v>
      </c>
      <c r="L186" s="78">
        <f t="shared" si="104"/>
        <v>-25.868793937131318</v>
      </c>
      <c r="M186" s="195">
        <f t="shared" si="105"/>
        <v>-28.979031944513164</v>
      </c>
      <c r="N186" s="78">
        <f t="shared" si="110"/>
        <v>4.01076287617642E-2</v>
      </c>
      <c r="O186" s="200">
        <f t="shared" si="111"/>
        <v>4.5227083333440526E-2</v>
      </c>
      <c r="P186" s="201">
        <f t="shared" si="112"/>
        <v>-5.1194545716763268E-3</v>
      </c>
      <c r="Q186" s="78">
        <f t="shared" si="106"/>
        <v>-35.717910435678789</v>
      </c>
      <c r="R186" s="196">
        <f t="shared" si="107"/>
        <v>-40.624562500096275</v>
      </c>
      <c r="S186" s="202">
        <f t="shared" si="99"/>
        <v>0</v>
      </c>
      <c r="T186" s="200">
        <f t="shared" si="100"/>
        <v>0</v>
      </c>
      <c r="U186" s="201">
        <f t="shared" si="101"/>
        <v>0</v>
      </c>
      <c r="V186" s="198">
        <f t="shared" si="108"/>
        <v>9.8491164985473318</v>
      </c>
      <c r="W186" s="78">
        <f t="shared" si="109"/>
        <v>11.645530555583193</v>
      </c>
      <c r="X186" s="203">
        <f t="shared" si="102"/>
        <v>0</v>
      </c>
      <c r="Y186" s="204">
        <f t="shared" si="103"/>
        <v>0</v>
      </c>
      <c r="AB186" s="188"/>
      <c r="AC186" s="188"/>
    </row>
    <row r="187" spans="1:29">
      <c r="A187" s="248">
        <v>817</v>
      </c>
      <c r="B187" s="172">
        <v>16168</v>
      </c>
      <c r="C187" s="171">
        <v>535</v>
      </c>
      <c r="D187" s="172" t="s">
        <v>287</v>
      </c>
      <c r="E187" s="172" t="s">
        <v>118</v>
      </c>
      <c r="F187" s="174" t="s">
        <v>149</v>
      </c>
      <c r="G187" s="175">
        <f t="shared" si="115"/>
        <v>1.0249999999999999</v>
      </c>
      <c r="H187" s="272" t="str">
        <f t="shared" si="113"/>
        <v xml:space="preserve">    </v>
      </c>
      <c r="I187" s="199">
        <f t="shared" si="114"/>
        <v>0</v>
      </c>
      <c r="J187" s="200">
        <f t="shared" si="97"/>
        <v>0</v>
      </c>
      <c r="K187" s="201">
        <f t="shared" si="98"/>
        <v>0</v>
      </c>
      <c r="L187" s="78">
        <f t="shared" si="104"/>
        <v>-25.868793937131318</v>
      </c>
      <c r="M187" s="195">
        <f t="shared" si="105"/>
        <v>-28.979031944513164</v>
      </c>
      <c r="N187" s="78">
        <f t="shared" si="110"/>
        <v>0</v>
      </c>
      <c r="O187" s="200">
        <f t="shared" si="111"/>
        <v>0</v>
      </c>
      <c r="P187" s="201">
        <f t="shared" si="112"/>
        <v>0</v>
      </c>
      <c r="Q187" s="78">
        <f t="shared" si="106"/>
        <v>-35.717910435678789</v>
      </c>
      <c r="R187" s="196">
        <f t="shared" si="107"/>
        <v>-40.624562500096275</v>
      </c>
      <c r="S187" s="202">
        <f t="shared" si="99"/>
        <v>0</v>
      </c>
      <c r="T187" s="200">
        <f t="shared" si="100"/>
        <v>0</v>
      </c>
      <c r="U187" s="201">
        <f t="shared" si="101"/>
        <v>0</v>
      </c>
      <c r="V187" s="198">
        <f t="shared" si="108"/>
        <v>9.8491164985473318</v>
      </c>
      <c r="W187" s="78">
        <f t="shared" si="109"/>
        <v>11.645530555583193</v>
      </c>
      <c r="X187" s="203">
        <f t="shared" si="102"/>
        <v>0</v>
      </c>
      <c r="Y187" s="204">
        <f t="shared" si="103"/>
        <v>0</v>
      </c>
      <c r="AB187" s="188"/>
      <c r="AC187" s="188"/>
    </row>
    <row r="188" spans="1:29">
      <c r="A188" s="251">
        <v>817</v>
      </c>
      <c r="B188" s="252">
        <v>16219</v>
      </c>
      <c r="C188" s="253">
        <v>5961</v>
      </c>
      <c r="D188" s="252" t="s">
        <v>288</v>
      </c>
      <c r="E188" s="252" t="s">
        <v>149</v>
      </c>
      <c r="F188" s="255" t="s">
        <v>149</v>
      </c>
      <c r="G188" s="256">
        <f t="shared" si="115"/>
        <v>1.0249999999999999</v>
      </c>
      <c r="H188" s="257" t="str">
        <f t="shared" si="113"/>
        <v>UNAV</v>
      </c>
      <c r="I188" s="258">
        <f t="shared" si="114"/>
        <v>0</v>
      </c>
      <c r="J188" s="259">
        <f t="shared" ref="J188:J223" si="116">O188+T188</f>
        <v>0</v>
      </c>
      <c r="K188" s="260">
        <f t="shared" ref="K188:K219" si="117">I188-J188</f>
        <v>0</v>
      </c>
      <c r="L188" s="261">
        <f t="shared" si="104"/>
        <v>-25.868793937131318</v>
      </c>
      <c r="M188" s="262">
        <f t="shared" si="105"/>
        <v>-28.979031944513164</v>
      </c>
      <c r="N188" s="261">
        <f t="shared" si="110"/>
        <v>0</v>
      </c>
      <c r="O188" s="259">
        <f t="shared" si="111"/>
        <v>0</v>
      </c>
      <c r="P188" s="260">
        <f t="shared" si="112"/>
        <v>0</v>
      </c>
      <c r="Q188" s="261">
        <f t="shared" si="106"/>
        <v>-35.717910435678789</v>
      </c>
      <c r="R188" s="263">
        <f t="shared" si="107"/>
        <v>-40.624562500096275</v>
      </c>
      <c r="S188" s="264">
        <f t="shared" ref="S188:S223" si="118">I188-N188</f>
        <v>0</v>
      </c>
      <c r="T188" s="259">
        <f t="shared" ref="T188:T223" si="119">IF(LEFT(B188,1)="1",VLOOKUP(B188,Cigsch,2,FALSE)/1000,VLOOKUP(B188,Cigsch,2,FALSE)/1000*-1)*POLLHOURSFLOWED</f>
        <v>0</v>
      </c>
      <c r="U188" s="260">
        <f t="shared" ref="U188:U219" si="120">S188-T188</f>
        <v>0</v>
      </c>
      <c r="V188" s="265">
        <f t="shared" si="108"/>
        <v>9.8491164985473318</v>
      </c>
      <c r="W188" s="261">
        <f t="shared" si="109"/>
        <v>11.645530555583193</v>
      </c>
      <c r="X188" s="266">
        <f t="shared" ref="X188:X219" si="121">S188-Y188</f>
        <v>0</v>
      </c>
      <c r="Y188" s="267">
        <f t="shared" ref="Y188:Y223" si="122">IF(F188="OBA",I188-J188,0)</f>
        <v>0</v>
      </c>
      <c r="AB188" s="188"/>
      <c r="AC188" s="188"/>
    </row>
    <row r="189" spans="1:29">
      <c r="A189" s="248">
        <v>818</v>
      </c>
      <c r="B189" s="173">
        <v>26015</v>
      </c>
      <c r="C189" s="171"/>
      <c r="D189" s="173" t="s">
        <v>289</v>
      </c>
      <c r="E189" s="173" t="s">
        <v>116</v>
      </c>
      <c r="F189" s="174" t="s">
        <v>116</v>
      </c>
      <c r="G189" s="175">
        <f t="shared" si="115"/>
        <v>1.0249999999999999</v>
      </c>
      <c r="H189" s="176" t="str">
        <f t="shared" si="113"/>
        <v>UNAV</v>
      </c>
      <c r="I189" s="199">
        <f t="shared" si="114"/>
        <v>-3.9321204668396281E-2</v>
      </c>
      <c r="J189" s="200">
        <f t="shared" si="116"/>
        <v>-4.434027777788288E-2</v>
      </c>
      <c r="K189" s="201">
        <f t="shared" si="117"/>
        <v>5.0190731094865992E-3</v>
      </c>
      <c r="L189" s="78">
        <f t="shared" ref="L189:L223" si="123">L188+I189</f>
        <v>-25.908115141799716</v>
      </c>
      <c r="M189" s="195">
        <f t="shared" ref="M189:M223" si="124">M188+J189</f>
        <v>-29.023372222291048</v>
      </c>
      <c r="N189" s="78">
        <f t="shared" si="110"/>
        <v>0</v>
      </c>
      <c r="O189" s="200">
        <f t="shared" si="111"/>
        <v>0</v>
      </c>
      <c r="P189" s="201">
        <f t="shared" si="112"/>
        <v>0</v>
      </c>
      <c r="Q189" s="78">
        <f t="shared" ref="Q189:Q223" si="125">Q188+N189</f>
        <v>-35.717910435678789</v>
      </c>
      <c r="R189" s="196">
        <f t="shared" ref="R189:R223" si="126">R188+O189</f>
        <v>-40.624562500096275</v>
      </c>
      <c r="S189" s="202">
        <f t="shared" si="118"/>
        <v>-3.9321204668396281E-2</v>
      </c>
      <c r="T189" s="200">
        <f t="shared" si="119"/>
        <v>-4.434027777788288E-2</v>
      </c>
      <c r="U189" s="201">
        <f t="shared" si="120"/>
        <v>5.0190731094865992E-3</v>
      </c>
      <c r="V189" s="198">
        <f t="shared" ref="V189:V223" si="127">V188+S189</f>
        <v>9.8097952938789348</v>
      </c>
      <c r="W189" s="78">
        <f t="shared" ref="W189:W223" si="128">W188+T189</f>
        <v>11.60119027780531</v>
      </c>
      <c r="X189" s="203">
        <f t="shared" si="121"/>
        <v>-3.9321204668396281E-2</v>
      </c>
      <c r="Y189" s="204">
        <f t="shared" si="122"/>
        <v>0</v>
      </c>
      <c r="AB189" s="188"/>
      <c r="AC189" s="188"/>
    </row>
    <row r="190" spans="1:29">
      <c r="A190" s="248">
        <v>818</v>
      </c>
      <c r="B190" s="173">
        <v>26016</v>
      </c>
      <c r="C190" s="171"/>
      <c r="D190" s="173" t="s">
        <v>290</v>
      </c>
      <c r="E190" s="173" t="s">
        <v>116</v>
      </c>
      <c r="F190" s="174" t="s">
        <v>116</v>
      </c>
      <c r="G190" s="175">
        <f t="shared" si="115"/>
        <v>1.0249999999999999</v>
      </c>
      <c r="H190" s="176" t="str">
        <f t="shared" si="113"/>
        <v>UNAV</v>
      </c>
      <c r="I190" s="199">
        <f t="shared" si="114"/>
        <v>-3.9321204668396281E-2</v>
      </c>
      <c r="J190" s="200">
        <f t="shared" si="116"/>
        <v>-4.434027777788288E-2</v>
      </c>
      <c r="K190" s="201">
        <f t="shared" si="117"/>
        <v>5.0190731094865992E-3</v>
      </c>
      <c r="L190" s="78">
        <f t="shared" si="123"/>
        <v>-25.947436346468113</v>
      </c>
      <c r="M190" s="195">
        <f t="shared" si="124"/>
        <v>-29.067712500068932</v>
      </c>
      <c r="N190" s="78">
        <f t="shared" si="110"/>
        <v>0</v>
      </c>
      <c r="O190" s="200">
        <f t="shared" si="111"/>
        <v>0</v>
      </c>
      <c r="P190" s="201">
        <f t="shared" si="112"/>
        <v>0</v>
      </c>
      <c r="Q190" s="78">
        <f t="shared" si="125"/>
        <v>-35.717910435678789</v>
      </c>
      <c r="R190" s="196">
        <f t="shared" si="126"/>
        <v>-40.624562500096275</v>
      </c>
      <c r="S190" s="202">
        <f t="shared" si="118"/>
        <v>-3.9321204668396281E-2</v>
      </c>
      <c r="T190" s="200">
        <f t="shared" si="119"/>
        <v>-4.434027777788288E-2</v>
      </c>
      <c r="U190" s="201">
        <f t="shared" si="120"/>
        <v>5.0190731094865992E-3</v>
      </c>
      <c r="V190" s="198">
        <f t="shared" si="127"/>
        <v>9.7704740892105377</v>
      </c>
      <c r="W190" s="78">
        <f t="shared" si="128"/>
        <v>11.556850000027428</v>
      </c>
      <c r="X190" s="203">
        <f t="shared" si="121"/>
        <v>-3.9321204668396281E-2</v>
      </c>
      <c r="Y190" s="204">
        <f t="shared" si="122"/>
        <v>0</v>
      </c>
      <c r="AB190" s="188"/>
      <c r="AC190" s="188"/>
    </row>
    <row r="191" spans="1:29">
      <c r="A191" s="248">
        <v>818</v>
      </c>
      <c r="B191" s="173">
        <v>16331</v>
      </c>
      <c r="C191" s="171"/>
      <c r="D191" s="173" t="s">
        <v>291</v>
      </c>
      <c r="E191" s="173" t="s">
        <v>116</v>
      </c>
      <c r="F191" s="174" t="s">
        <v>116</v>
      </c>
      <c r="G191" s="175">
        <f t="shared" si="115"/>
        <v>1.105</v>
      </c>
      <c r="H191" s="176" t="str">
        <f t="shared" si="113"/>
        <v xml:space="preserve">    </v>
      </c>
      <c r="I191" s="199">
        <f t="shared" si="114"/>
        <v>3.7229465188499997</v>
      </c>
      <c r="J191" s="200">
        <f t="shared" si="116"/>
        <v>3.9019444444536933</v>
      </c>
      <c r="K191" s="201">
        <f t="shared" si="117"/>
        <v>-0.17899792560369354</v>
      </c>
      <c r="L191" s="78">
        <f t="shared" si="123"/>
        <v>-22.224489827618115</v>
      </c>
      <c r="M191" s="195">
        <f t="shared" si="124"/>
        <v>-25.165768055615239</v>
      </c>
      <c r="N191" s="78">
        <f t="shared" si="110"/>
        <v>0</v>
      </c>
      <c r="O191" s="200">
        <f t="shared" si="111"/>
        <v>0</v>
      </c>
      <c r="P191" s="201">
        <f t="shared" si="112"/>
        <v>0</v>
      </c>
      <c r="Q191" s="78">
        <f t="shared" si="125"/>
        <v>-35.717910435678789</v>
      </c>
      <c r="R191" s="196">
        <f t="shared" si="126"/>
        <v>-40.624562500096275</v>
      </c>
      <c r="S191" s="202">
        <f t="shared" si="118"/>
        <v>3.7229465188499997</v>
      </c>
      <c r="T191" s="200">
        <f t="shared" si="119"/>
        <v>3.9019444444536933</v>
      </c>
      <c r="U191" s="201">
        <f t="shared" si="120"/>
        <v>-0.17899792560369354</v>
      </c>
      <c r="V191" s="198">
        <f t="shared" si="127"/>
        <v>13.493420608060537</v>
      </c>
      <c r="W191" s="78">
        <f t="shared" si="128"/>
        <v>15.458794444481121</v>
      </c>
      <c r="X191" s="203">
        <f t="shared" si="121"/>
        <v>3.7229465188499997</v>
      </c>
      <c r="Y191" s="204">
        <f t="shared" si="122"/>
        <v>0</v>
      </c>
      <c r="AB191" s="188"/>
      <c r="AC191" s="188"/>
    </row>
    <row r="192" spans="1:29">
      <c r="A192" s="251">
        <v>818</v>
      </c>
      <c r="B192" s="252">
        <v>26055</v>
      </c>
      <c r="C192" s="253"/>
      <c r="D192" s="252" t="s">
        <v>292</v>
      </c>
      <c r="E192" s="252" t="s">
        <v>149</v>
      </c>
      <c r="F192" s="255" t="s">
        <v>116</v>
      </c>
      <c r="G192" s="256">
        <f t="shared" si="115"/>
        <v>1.0249999999999999</v>
      </c>
      <c r="H192" s="257" t="str">
        <f t="shared" si="113"/>
        <v>COMM</v>
      </c>
      <c r="I192" s="258">
        <f t="shared" si="114"/>
        <v>0</v>
      </c>
      <c r="J192" s="259">
        <f t="shared" si="116"/>
        <v>0</v>
      </c>
      <c r="K192" s="260">
        <f t="shared" si="117"/>
        <v>0</v>
      </c>
      <c r="L192" s="261">
        <f t="shared" si="123"/>
        <v>-22.224489827618115</v>
      </c>
      <c r="M192" s="262">
        <f t="shared" si="124"/>
        <v>-25.165768055615239</v>
      </c>
      <c r="N192" s="261">
        <f t="shared" ref="N192:N223" si="129">IF(F192="CIG",O192,IF(F192="OBA",O192,IF(F192="HPL",I192-T192,IF(ISERR((O192/$J192)*$I192),0,IF(F192="TP",(O192/$J192)*$I192)))))</f>
        <v>0</v>
      </c>
      <c r="O192" s="259">
        <f t="shared" ref="O192:O223" si="130">IF(LEFT(B192,1)="1",VLOOKUP(B192,Cigsch,3,FALSE)/1000,VLOOKUP(B192,Cigsch,3,FALSE)/1000*-1)*POLLHOURSFLOWED</f>
        <v>0</v>
      </c>
      <c r="P192" s="260">
        <f t="shared" ref="P192:P223" si="131">N192-O192</f>
        <v>0</v>
      </c>
      <c r="Q192" s="261">
        <f t="shared" si="125"/>
        <v>-35.717910435678789</v>
      </c>
      <c r="R192" s="263">
        <f t="shared" si="126"/>
        <v>-40.624562500096275</v>
      </c>
      <c r="S192" s="264">
        <f t="shared" si="118"/>
        <v>0</v>
      </c>
      <c r="T192" s="259">
        <f t="shared" si="119"/>
        <v>0</v>
      </c>
      <c r="U192" s="260">
        <f t="shared" si="120"/>
        <v>0</v>
      </c>
      <c r="V192" s="265">
        <f t="shared" si="127"/>
        <v>13.493420608060537</v>
      </c>
      <c r="W192" s="261">
        <f t="shared" si="128"/>
        <v>15.458794444481121</v>
      </c>
      <c r="X192" s="266">
        <f t="shared" si="121"/>
        <v>0</v>
      </c>
      <c r="Y192" s="267">
        <f t="shared" si="122"/>
        <v>0</v>
      </c>
      <c r="AB192" s="188"/>
      <c r="AC192" s="188"/>
    </row>
    <row r="193" spans="1:29">
      <c r="A193" s="248">
        <v>819</v>
      </c>
      <c r="B193" s="173">
        <v>26021</v>
      </c>
      <c r="C193" s="171">
        <v>3501</v>
      </c>
      <c r="D193" s="173" t="s">
        <v>293</v>
      </c>
      <c r="E193" s="173" t="s">
        <v>149</v>
      </c>
      <c r="F193" s="174" t="s">
        <v>149</v>
      </c>
      <c r="G193" s="175">
        <f t="shared" si="115"/>
        <v>1.0249999999999999</v>
      </c>
      <c r="H193" s="176" t="str">
        <f t="shared" ref="H193:H223" si="132">VLOOKUP($B193,spotdata,3,FALSE)</f>
        <v xml:space="preserve">    </v>
      </c>
      <c r="I193" s="199">
        <f t="shared" ref="I193:I223" si="133">IF(VLOOKUP($B193,errordata,3,FALSE)="UNAV",J193*POLLHOURSFLOWED,IF(LEFT(B193,1)="1",VLOOKUP($B193,totalvolume,2,FALSE)*G193/1000,VLOOKUP($B193,totalvolume,2,FALSE)*G193/1000*-1))</f>
        <v>-11.381030407499999</v>
      </c>
      <c r="J193" s="200">
        <f t="shared" si="116"/>
        <v>-13.302083333364862</v>
      </c>
      <c r="K193" s="201">
        <f t="shared" si="117"/>
        <v>1.9210529258648634</v>
      </c>
      <c r="L193" s="78">
        <f t="shared" si="123"/>
        <v>-33.605520235118114</v>
      </c>
      <c r="M193" s="195">
        <f t="shared" si="124"/>
        <v>-38.467851388980101</v>
      </c>
      <c r="N193" s="78">
        <f t="shared" si="129"/>
        <v>-11.381030407499999</v>
      </c>
      <c r="O193" s="200">
        <f t="shared" si="130"/>
        <v>-13.302083333364862</v>
      </c>
      <c r="P193" s="201">
        <f t="shared" si="131"/>
        <v>1.9210529258648634</v>
      </c>
      <c r="Q193" s="78">
        <f t="shared" si="125"/>
        <v>-47.098940843178788</v>
      </c>
      <c r="R193" s="196">
        <f t="shared" si="126"/>
        <v>-53.926645833461137</v>
      </c>
      <c r="S193" s="202">
        <f t="shared" si="118"/>
        <v>0</v>
      </c>
      <c r="T193" s="200">
        <f t="shared" si="119"/>
        <v>0</v>
      </c>
      <c r="U193" s="201">
        <f t="shared" si="120"/>
        <v>0</v>
      </c>
      <c r="V193" s="198">
        <f t="shared" si="127"/>
        <v>13.493420608060537</v>
      </c>
      <c r="W193" s="78">
        <f t="shared" si="128"/>
        <v>15.458794444481121</v>
      </c>
      <c r="X193" s="203">
        <f t="shared" si="121"/>
        <v>0</v>
      </c>
      <c r="Y193" s="204">
        <f t="shared" si="122"/>
        <v>0</v>
      </c>
      <c r="AB193" s="188"/>
      <c r="AC193" s="188"/>
    </row>
    <row r="194" spans="1:29">
      <c r="A194" s="248">
        <v>819</v>
      </c>
      <c r="B194" s="173">
        <v>16363</v>
      </c>
      <c r="C194" s="171"/>
      <c r="D194" s="173" t="s">
        <v>294</v>
      </c>
      <c r="E194" s="173" t="s">
        <v>116</v>
      </c>
      <c r="F194" s="174" t="s">
        <v>116</v>
      </c>
      <c r="G194" s="175">
        <f t="shared" si="115"/>
        <v>1.0249999999999999</v>
      </c>
      <c r="H194" s="176" t="str">
        <f t="shared" si="132"/>
        <v>UNAV</v>
      </c>
      <c r="I194" s="199">
        <f t="shared" si="133"/>
        <v>5.5049686535754795E-2</v>
      </c>
      <c r="J194" s="200">
        <f t="shared" si="116"/>
        <v>6.2076388889036029E-2</v>
      </c>
      <c r="K194" s="201">
        <f t="shared" si="117"/>
        <v>-7.0267023532812334E-3</v>
      </c>
      <c r="L194" s="78">
        <f t="shared" si="123"/>
        <v>-33.550470548582361</v>
      </c>
      <c r="M194" s="195">
        <f t="shared" si="124"/>
        <v>-38.405775000091062</v>
      </c>
      <c r="N194" s="78">
        <f t="shared" si="129"/>
        <v>0</v>
      </c>
      <c r="O194" s="200">
        <f t="shared" si="130"/>
        <v>0</v>
      </c>
      <c r="P194" s="201">
        <f t="shared" si="131"/>
        <v>0</v>
      </c>
      <c r="Q194" s="78">
        <f t="shared" si="125"/>
        <v>-47.098940843178788</v>
      </c>
      <c r="R194" s="196">
        <f t="shared" si="126"/>
        <v>-53.926645833461137</v>
      </c>
      <c r="S194" s="202">
        <f t="shared" si="118"/>
        <v>5.5049686535754795E-2</v>
      </c>
      <c r="T194" s="200">
        <f t="shared" si="119"/>
        <v>6.2076388889036029E-2</v>
      </c>
      <c r="U194" s="201">
        <f t="shared" si="120"/>
        <v>-7.0267023532812334E-3</v>
      </c>
      <c r="V194" s="198">
        <f t="shared" si="127"/>
        <v>13.548470294596292</v>
      </c>
      <c r="W194" s="78">
        <f t="shared" si="128"/>
        <v>15.520870833370157</v>
      </c>
      <c r="X194" s="203">
        <f t="shared" si="121"/>
        <v>5.5049686535754795E-2</v>
      </c>
      <c r="Y194" s="204">
        <f t="shared" si="122"/>
        <v>0</v>
      </c>
      <c r="AB194" s="188"/>
      <c r="AC194" s="188"/>
    </row>
    <row r="195" spans="1:29">
      <c r="A195" s="248">
        <v>819</v>
      </c>
      <c r="B195" s="173">
        <v>16317</v>
      </c>
      <c r="C195" s="171"/>
      <c r="D195" s="173" t="s">
        <v>295</v>
      </c>
      <c r="E195" s="173" t="s">
        <v>116</v>
      </c>
      <c r="F195" s="174" t="s">
        <v>116</v>
      </c>
      <c r="G195" s="175">
        <f t="shared" si="115"/>
        <v>1.0249999999999999</v>
      </c>
      <c r="H195" s="176" t="str">
        <f t="shared" si="132"/>
        <v>UNAV</v>
      </c>
      <c r="I195" s="199">
        <f t="shared" si="133"/>
        <v>5.6622534722490639E-2</v>
      </c>
      <c r="J195" s="200">
        <f t="shared" si="116"/>
        <v>6.3850000000151341E-2</v>
      </c>
      <c r="K195" s="201">
        <f t="shared" si="117"/>
        <v>-7.2274652776607023E-3</v>
      </c>
      <c r="L195" s="78">
        <f t="shared" si="123"/>
        <v>-33.493848013859868</v>
      </c>
      <c r="M195" s="195">
        <f t="shared" si="124"/>
        <v>-38.34192500009091</v>
      </c>
      <c r="N195" s="78">
        <f t="shared" si="129"/>
        <v>0</v>
      </c>
      <c r="O195" s="200">
        <f t="shared" si="130"/>
        <v>0</v>
      </c>
      <c r="P195" s="201">
        <f t="shared" si="131"/>
        <v>0</v>
      </c>
      <c r="Q195" s="78">
        <f t="shared" si="125"/>
        <v>-47.098940843178788</v>
      </c>
      <c r="R195" s="196">
        <f t="shared" si="126"/>
        <v>-53.926645833461137</v>
      </c>
      <c r="S195" s="202">
        <f t="shared" si="118"/>
        <v>5.6622534722490639E-2</v>
      </c>
      <c r="T195" s="200">
        <f t="shared" si="119"/>
        <v>6.3850000000151341E-2</v>
      </c>
      <c r="U195" s="201">
        <f t="shared" si="120"/>
        <v>-7.2274652776607023E-3</v>
      </c>
      <c r="V195" s="198">
        <f t="shared" si="127"/>
        <v>13.605092829318783</v>
      </c>
      <c r="W195" s="78">
        <f t="shared" si="128"/>
        <v>15.584720833370309</v>
      </c>
      <c r="X195" s="203">
        <f t="shared" si="121"/>
        <v>5.6622534722490639E-2</v>
      </c>
      <c r="Y195" s="204">
        <f t="shared" si="122"/>
        <v>0</v>
      </c>
      <c r="AB195" s="188"/>
      <c r="AC195" s="188"/>
    </row>
    <row r="196" spans="1:29">
      <c r="A196" s="251">
        <v>819</v>
      </c>
      <c r="B196" s="252">
        <v>16335</v>
      </c>
      <c r="C196" s="253">
        <v>3550</v>
      </c>
      <c r="D196" s="252" t="s">
        <v>296</v>
      </c>
      <c r="E196" s="252" t="s">
        <v>149</v>
      </c>
      <c r="F196" s="255" t="s">
        <v>149</v>
      </c>
      <c r="G196" s="256">
        <f t="shared" si="115"/>
        <v>1.0249999999999999</v>
      </c>
      <c r="H196" s="257" t="str">
        <f t="shared" si="132"/>
        <v xml:space="preserve">    </v>
      </c>
      <c r="I196" s="258">
        <f t="shared" si="133"/>
        <v>63.414852109999991</v>
      </c>
      <c r="J196" s="259">
        <f t="shared" si="116"/>
        <v>70.9444444446126</v>
      </c>
      <c r="K196" s="260">
        <f t="shared" si="117"/>
        <v>-7.5295923346126088</v>
      </c>
      <c r="L196" s="261">
        <f t="shared" si="123"/>
        <v>29.921004096140123</v>
      </c>
      <c r="M196" s="262">
        <f t="shared" si="124"/>
        <v>32.60251944452169</v>
      </c>
      <c r="N196" s="261">
        <f t="shared" si="129"/>
        <v>63.414852109999991</v>
      </c>
      <c r="O196" s="259">
        <f t="shared" si="130"/>
        <v>70.9444444446126</v>
      </c>
      <c r="P196" s="260">
        <f t="shared" si="131"/>
        <v>-7.5295923346126088</v>
      </c>
      <c r="Q196" s="261">
        <f t="shared" si="125"/>
        <v>16.315911266821203</v>
      </c>
      <c r="R196" s="263">
        <f t="shared" si="126"/>
        <v>17.017798611151463</v>
      </c>
      <c r="S196" s="264">
        <f t="shared" si="118"/>
        <v>0</v>
      </c>
      <c r="T196" s="259">
        <f t="shared" si="119"/>
        <v>0</v>
      </c>
      <c r="U196" s="260">
        <f t="shared" si="120"/>
        <v>0</v>
      </c>
      <c r="V196" s="265">
        <f t="shared" si="127"/>
        <v>13.605092829318783</v>
      </c>
      <c r="W196" s="261">
        <f t="shared" si="128"/>
        <v>15.584720833370309</v>
      </c>
      <c r="X196" s="266">
        <f t="shared" si="121"/>
        <v>0</v>
      </c>
      <c r="Y196" s="267">
        <f t="shared" si="122"/>
        <v>0</v>
      </c>
      <c r="AB196" s="188"/>
      <c r="AC196" s="188"/>
    </row>
    <row r="197" spans="1:29">
      <c r="A197" s="248">
        <v>820</v>
      </c>
      <c r="B197" s="173">
        <v>26199</v>
      </c>
      <c r="C197" s="171"/>
      <c r="D197" s="173" t="s">
        <v>297</v>
      </c>
      <c r="E197" s="173" t="s">
        <v>116</v>
      </c>
      <c r="F197" s="174" t="s">
        <v>156</v>
      </c>
      <c r="G197" s="175">
        <f t="shared" si="115"/>
        <v>1.0309999999999999</v>
      </c>
      <c r="H197" s="176" t="str">
        <f t="shared" si="132"/>
        <v xml:space="preserve">    </v>
      </c>
      <c r="I197" s="199">
        <f t="shared" si="133"/>
        <v>0</v>
      </c>
      <c r="J197" s="200">
        <f t="shared" si="116"/>
        <v>0</v>
      </c>
      <c r="K197" s="201">
        <f t="shared" si="117"/>
        <v>0</v>
      </c>
      <c r="L197" s="78">
        <f t="shared" si="123"/>
        <v>29.921004096140123</v>
      </c>
      <c r="M197" s="195">
        <f t="shared" si="124"/>
        <v>32.60251944452169</v>
      </c>
      <c r="N197" s="78">
        <f t="shared" si="129"/>
        <v>0</v>
      </c>
      <c r="O197" s="200">
        <f t="shared" si="130"/>
        <v>0</v>
      </c>
      <c r="P197" s="201">
        <f t="shared" si="131"/>
        <v>0</v>
      </c>
      <c r="Q197" s="78">
        <f t="shared" si="125"/>
        <v>16.315911266821203</v>
      </c>
      <c r="R197" s="196">
        <f t="shared" si="126"/>
        <v>17.017798611151463</v>
      </c>
      <c r="S197" s="202">
        <f t="shared" si="118"/>
        <v>0</v>
      </c>
      <c r="T197" s="200">
        <f t="shared" si="119"/>
        <v>0</v>
      </c>
      <c r="U197" s="201">
        <f t="shared" si="120"/>
        <v>0</v>
      </c>
      <c r="V197" s="198">
        <f t="shared" si="127"/>
        <v>13.605092829318783</v>
      </c>
      <c r="W197" s="78">
        <f t="shared" si="128"/>
        <v>15.584720833370309</v>
      </c>
      <c r="X197" s="203">
        <f t="shared" si="121"/>
        <v>0</v>
      </c>
      <c r="Y197" s="204">
        <f t="shared" si="122"/>
        <v>0</v>
      </c>
      <c r="AB197" s="188"/>
      <c r="AC197" s="188"/>
    </row>
    <row r="198" spans="1:29">
      <c r="A198" s="248">
        <v>820</v>
      </c>
      <c r="B198" s="173">
        <v>16350</v>
      </c>
      <c r="C198" s="171"/>
      <c r="D198" s="173" t="s">
        <v>297</v>
      </c>
      <c r="E198" s="173" t="s">
        <v>116</v>
      </c>
      <c r="F198" s="174" t="s">
        <v>156</v>
      </c>
      <c r="G198" s="175">
        <f t="shared" si="115"/>
        <v>1.02</v>
      </c>
      <c r="H198" s="176" t="str">
        <f t="shared" si="132"/>
        <v xml:space="preserve">    </v>
      </c>
      <c r="I198" s="199">
        <f t="shared" si="133"/>
        <v>8.9738374776000001</v>
      </c>
      <c r="J198" s="200">
        <f t="shared" si="116"/>
        <v>10.466965972247031</v>
      </c>
      <c r="K198" s="201">
        <f t="shared" si="117"/>
        <v>-1.4931284946470313</v>
      </c>
      <c r="L198" s="78">
        <f t="shared" si="123"/>
        <v>38.894841573740123</v>
      </c>
      <c r="M198" s="195">
        <f t="shared" si="124"/>
        <v>43.069485416768721</v>
      </c>
      <c r="N198" s="78">
        <f t="shared" si="129"/>
        <v>0</v>
      </c>
      <c r="O198" s="200">
        <f t="shared" si="130"/>
        <v>0</v>
      </c>
      <c r="P198" s="201">
        <f t="shared" si="131"/>
        <v>0</v>
      </c>
      <c r="Q198" s="78">
        <f t="shared" si="125"/>
        <v>16.315911266821203</v>
      </c>
      <c r="R198" s="196">
        <f t="shared" si="126"/>
        <v>17.017798611151463</v>
      </c>
      <c r="S198" s="202">
        <f t="shared" si="118"/>
        <v>8.9738374776000001</v>
      </c>
      <c r="T198" s="200">
        <f t="shared" si="119"/>
        <v>10.466965972247031</v>
      </c>
      <c r="U198" s="201">
        <f t="shared" si="120"/>
        <v>-1.4931284946470313</v>
      </c>
      <c r="V198" s="198">
        <f t="shared" si="127"/>
        <v>22.578930306918785</v>
      </c>
      <c r="W198" s="78">
        <f t="shared" si="128"/>
        <v>26.05168680561734</v>
      </c>
      <c r="X198" s="203">
        <f t="shared" si="121"/>
        <v>8.9738374776000001</v>
      </c>
      <c r="Y198" s="204">
        <f t="shared" si="122"/>
        <v>0</v>
      </c>
      <c r="AB198" s="188"/>
      <c r="AC198" s="188"/>
    </row>
    <row r="199" spans="1:29">
      <c r="A199" s="248">
        <v>820</v>
      </c>
      <c r="B199" s="173">
        <v>16362</v>
      </c>
      <c r="C199" s="171"/>
      <c r="D199" s="173" t="s">
        <v>298</v>
      </c>
      <c r="E199" s="173" t="s">
        <v>116</v>
      </c>
      <c r="F199" s="174" t="s">
        <v>156</v>
      </c>
      <c r="G199" s="175">
        <f t="shared" si="115"/>
        <v>1.0309999999999999</v>
      </c>
      <c r="H199" s="176" t="str">
        <f t="shared" si="132"/>
        <v xml:space="preserve">    </v>
      </c>
      <c r="I199" s="199">
        <f t="shared" si="133"/>
        <v>0</v>
      </c>
      <c r="J199" s="200">
        <f t="shared" si="116"/>
        <v>0</v>
      </c>
      <c r="K199" s="201">
        <f t="shared" si="117"/>
        <v>0</v>
      </c>
      <c r="L199" s="78">
        <f t="shared" si="123"/>
        <v>38.894841573740123</v>
      </c>
      <c r="M199" s="195">
        <f t="shared" si="124"/>
        <v>43.069485416768721</v>
      </c>
      <c r="N199" s="78">
        <f t="shared" si="129"/>
        <v>0</v>
      </c>
      <c r="O199" s="200">
        <f t="shared" si="130"/>
        <v>0</v>
      </c>
      <c r="P199" s="201">
        <f t="shared" si="131"/>
        <v>0</v>
      </c>
      <c r="Q199" s="78">
        <f t="shared" si="125"/>
        <v>16.315911266821203</v>
      </c>
      <c r="R199" s="196">
        <f t="shared" si="126"/>
        <v>17.017798611151463</v>
      </c>
      <c r="S199" s="202">
        <f t="shared" si="118"/>
        <v>0</v>
      </c>
      <c r="T199" s="200">
        <f t="shared" si="119"/>
        <v>0</v>
      </c>
      <c r="U199" s="201">
        <f t="shared" si="120"/>
        <v>0</v>
      </c>
      <c r="V199" s="198">
        <f t="shared" si="127"/>
        <v>22.578930306918785</v>
      </c>
      <c r="W199" s="78">
        <f t="shared" si="128"/>
        <v>26.05168680561734</v>
      </c>
      <c r="X199" s="203">
        <f t="shared" si="121"/>
        <v>0</v>
      </c>
      <c r="Y199" s="204">
        <f t="shared" si="122"/>
        <v>0</v>
      </c>
      <c r="AB199" s="188"/>
      <c r="AC199" s="188"/>
    </row>
    <row r="200" spans="1:29">
      <c r="A200" s="268">
        <v>820</v>
      </c>
      <c r="B200" s="206">
        <v>16181</v>
      </c>
      <c r="C200" s="205"/>
      <c r="D200" s="206" t="s">
        <v>299</v>
      </c>
      <c r="E200" s="206" t="s">
        <v>149</v>
      </c>
      <c r="F200" s="207" t="s">
        <v>116</v>
      </c>
      <c r="G200" s="208">
        <f t="shared" si="115"/>
        <v>1.0249999999999999</v>
      </c>
      <c r="H200" s="176" t="str">
        <f t="shared" si="132"/>
        <v>UNAV</v>
      </c>
      <c r="I200" s="199">
        <f t="shared" si="133"/>
        <v>0</v>
      </c>
      <c r="J200" s="200">
        <f t="shared" si="116"/>
        <v>0</v>
      </c>
      <c r="K200" s="201">
        <f t="shared" si="117"/>
        <v>0</v>
      </c>
      <c r="L200" s="78">
        <f t="shared" si="123"/>
        <v>38.894841573740123</v>
      </c>
      <c r="M200" s="195">
        <f t="shared" si="124"/>
        <v>43.069485416768721</v>
      </c>
      <c r="N200" s="78">
        <f t="shared" si="129"/>
        <v>0</v>
      </c>
      <c r="O200" s="200">
        <f t="shared" si="130"/>
        <v>0</v>
      </c>
      <c r="P200" s="201">
        <f t="shared" si="131"/>
        <v>0</v>
      </c>
      <c r="Q200" s="78">
        <f t="shared" si="125"/>
        <v>16.315911266821203</v>
      </c>
      <c r="R200" s="196">
        <f t="shared" si="126"/>
        <v>17.017798611151463</v>
      </c>
      <c r="S200" s="202">
        <f t="shared" si="118"/>
        <v>0</v>
      </c>
      <c r="T200" s="200">
        <f t="shared" si="119"/>
        <v>0</v>
      </c>
      <c r="U200" s="201">
        <f t="shared" si="120"/>
        <v>0</v>
      </c>
      <c r="V200" s="198">
        <f t="shared" si="127"/>
        <v>22.578930306918785</v>
      </c>
      <c r="W200" s="78">
        <f t="shared" si="128"/>
        <v>26.05168680561734</v>
      </c>
      <c r="X200" s="203">
        <f t="shared" si="121"/>
        <v>0</v>
      </c>
      <c r="Y200" s="204">
        <f t="shared" si="122"/>
        <v>0</v>
      </c>
      <c r="AB200" s="188"/>
      <c r="AC200" s="188"/>
    </row>
    <row r="201" spans="1:29">
      <c r="A201" s="248">
        <v>820</v>
      </c>
      <c r="B201" s="173">
        <v>16204</v>
      </c>
      <c r="C201" s="171">
        <v>5767</v>
      </c>
      <c r="D201" s="173" t="s">
        <v>300</v>
      </c>
      <c r="E201" s="173" t="s">
        <v>149</v>
      </c>
      <c r="F201" s="174" t="s">
        <v>149</v>
      </c>
      <c r="G201" s="175">
        <f t="shared" si="115"/>
        <v>1.0249999999999999</v>
      </c>
      <c r="H201" s="176" t="str">
        <f t="shared" si="132"/>
        <v>UNAV</v>
      </c>
      <c r="I201" s="199">
        <f t="shared" si="133"/>
        <v>0.11796361400518883</v>
      </c>
      <c r="J201" s="200">
        <f t="shared" si="116"/>
        <v>0.13302083333364861</v>
      </c>
      <c r="K201" s="201">
        <f t="shared" si="117"/>
        <v>-1.5057219328459784E-2</v>
      </c>
      <c r="L201" s="78">
        <f t="shared" si="123"/>
        <v>39.012805187745315</v>
      </c>
      <c r="M201" s="195">
        <f t="shared" si="124"/>
        <v>43.202506250102367</v>
      </c>
      <c r="N201" s="78">
        <f t="shared" si="129"/>
        <v>0.11796361400518883</v>
      </c>
      <c r="O201" s="200">
        <f t="shared" si="130"/>
        <v>0.13302083333364861</v>
      </c>
      <c r="P201" s="201">
        <f t="shared" si="131"/>
        <v>-1.5057219328459784E-2</v>
      </c>
      <c r="Q201" s="78">
        <f t="shared" si="125"/>
        <v>16.433874880826391</v>
      </c>
      <c r="R201" s="196">
        <f t="shared" si="126"/>
        <v>17.150819444485112</v>
      </c>
      <c r="S201" s="202">
        <f t="shared" si="118"/>
        <v>0</v>
      </c>
      <c r="T201" s="200">
        <f t="shared" si="119"/>
        <v>0</v>
      </c>
      <c r="U201" s="201">
        <f t="shared" si="120"/>
        <v>0</v>
      </c>
      <c r="V201" s="198">
        <f t="shared" si="127"/>
        <v>22.578930306918785</v>
      </c>
      <c r="W201" s="78">
        <f t="shared" si="128"/>
        <v>26.05168680561734</v>
      </c>
      <c r="X201" s="203">
        <f t="shared" si="121"/>
        <v>0</v>
      </c>
      <c r="Y201" s="204">
        <f t="shared" si="122"/>
        <v>0</v>
      </c>
      <c r="AB201" s="188"/>
      <c r="AC201" s="188"/>
    </row>
    <row r="202" spans="1:29">
      <c r="A202" s="248">
        <v>820</v>
      </c>
      <c r="B202" s="173">
        <v>16272</v>
      </c>
      <c r="C202" s="171">
        <v>6427</v>
      </c>
      <c r="D202" s="173" t="s">
        <v>301</v>
      </c>
      <c r="E202" s="173" t="s">
        <v>149</v>
      </c>
      <c r="F202" s="174" t="s">
        <v>149</v>
      </c>
      <c r="G202" s="175">
        <f t="shared" si="115"/>
        <v>1.0249999999999999</v>
      </c>
      <c r="H202" s="176" t="str">
        <f t="shared" si="132"/>
        <v>UNAV</v>
      </c>
      <c r="I202" s="199">
        <f t="shared" si="133"/>
        <v>0.46399021508707605</v>
      </c>
      <c r="J202" s="200">
        <f t="shared" si="116"/>
        <v>0.52321527777901788</v>
      </c>
      <c r="K202" s="201">
        <f t="shared" si="117"/>
        <v>-5.9225062691941832E-2</v>
      </c>
      <c r="L202" s="78">
        <f t="shared" si="123"/>
        <v>39.476795402832394</v>
      </c>
      <c r="M202" s="195">
        <f t="shared" si="124"/>
        <v>43.725721527881383</v>
      </c>
      <c r="N202" s="78">
        <f t="shared" si="129"/>
        <v>0.46399021508707605</v>
      </c>
      <c r="O202" s="200">
        <f t="shared" si="130"/>
        <v>0.52321527777901788</v>
      </c>
      <c r="P202" s="201">
        <f t="shared" si="131"/>
        <v>-5.9225062691941832E-2</v>
      </c>
      <c r="Q202" s="78">
        <f t="shared" si="125"/>
        <v>16.897865095913467</v>
      </c>
      <c r="R202" s="196">
        <f t="shared" si="126"/>
        <v>17.674034722264128</v>
      </c>
      <c r="S202" s="202">
        <f t="shared" si="118"/>
        <v>0</v>
      </c>
      <c r="T202" s="200">
        <f t="shared" si="119"/>
        <v>0</v>
      </c>
      <c r="U202" s="201">
        <f t="shared" si="120"/>
        <v>0</v>
      </c>
      <c r="V202" s="198">
        <f t="shared" si="127"/>
        <v>22.578930306918785</v>
      </c>
      <c r="W202" s="78">
        <f t="shared" si="128"/>
        <v>26.05168680561734</v>
      </c>
      <c r="X202" s="203">
        <f t="shared" si="121"/>
        <v>0</v>
      </c>
      <c r="Y202" s="204">
        <f t="shared" si="122"/>
        <v>0</v>
      </c>
      <c r="AB202" s="188"/>
      <c r="AC202" s="188"/>
    </row>
    <row r="203" spans="1:29">
      <c r="A203" s="248">
        <v>820</v>
      </c>
      <c r="B203" s="173">
        <v>26126</v>
      </c>
      <c r="C203" s="171">
        <v>1427</v>
      </c>
      <c r="D203" s="173" t="s">
        <v>302</v>
      </c>
      <c r="E203" s="173" t="s">
        <v>149</v>
      </c>
      <c r="F203" s="174" t="s">
        <v>149</v>
      </c>
      <c r="G203" s="175">
        <f t="shared" si="115"/>
        <v>1.04</v>
      </c>
      <c r="H203" s="176" t="str">
        <f t="shared" si="132"/>
        <v xml:space="preserve">    </v>
      </c>
      <c r="I203" s="199">
        <f t="shared" si="133"/>
        <v>-37.948450280000003</v>
      </c>
      <c r="J203" s="200">
        <f t="shared" si="116"/>
        <v>-38.132638888979272</v>
      </c>
      <c r="K203" s="201">
        <f t="shared" si="117"/>
        <v>0.18418860897926947</v>
      </c>
      <c r="L203" s="78">
        <f t="shared" si="123"/>
        <v>1.5283451228323912</v>
      </c>
      <c r="M203" s="195">
        <f t="shared" si="124"/>
        <v>5.5930826389021107</v>
      </c>
      <c r="N203" s="78">
        <f t="shared" si="129"/>
        <v>-17.551922502173881</v>
      </c>
      <c r="O203" s="200">
        <f t="shared" si="130"/>
        <v>-17.73611111115315</v>
      </c>
      <c r="P203" s="201">
        <f t="shared" si="131"/>
        <v>0.18418860897926947</v>
      </c>
      <c r="Q203" s="78">
        <f t="shared" si="125"/>
        <v>-0.65405740626041364</v>
      </c>
      <c r="R203" s="196">
        <f t="shared" si="126"/>
        <v>-6.2076388889021672E-2</v>
      </c>
      <c r="S203" s="202">
        <f t="shared" si="118"/>
        <v>-20.396527777826122</v>
      </c>
      <c r="T203" s="200">
        <f t="shared" si="119"/>
        <v>-20.396527777826122</v>
      </c>
      <c r="U203" s="201">
        <f t="shared" si="120"/>
        <v>0</v>
      </c>
      <c r="V203" s="198">
        <f t="shared" si="127"/>
        <v>2.1824025290926627</v>
      </c>
      <c r="W203" s="78">
        <f t="shared" si="128"/>
        <v>5.6551590277912176</v>
      </c>
      <c r="X203" s="203">
        <f t="shared" si="121"/>
        <v>-20.396527777826122</v>
      </c>
      <c r="Y203" s="204">
        <f t="shared" si="122"/>
        <v>0</v>
      </c>
      <c r="AB203" s="188"/>
      <c r="AC203" s="188"/>
    </row>
    <row r="204" spans="1:29">
      <c r="A204" s="248">
        <v>820</v>
      </c>
      <c r="B204" s="173">
        <v>16308</v>
      </c>
      <c r="C204" s="171">
        <v>6675</v>
      </c>
      <c r="D204" s="173" t="s">
        <v>303</v>
      </c>
      <c r="E204" s="173" t="s">
        <v>149</v>
      </c>
      <c r="F204" s="174" t="s">
        <v>149</v>
      </c>
      <c r="G204" s="175">
        <f t="shared" si="115"/>
        <v>1.0249999999999999</v>
      </c>
      <c r="H204" s="176" t="str">
        <f t="shared" si="132"/>
        <v>UNAV</v>
      </c>
      <c r="I204" s="199">
        <f t="shared" si="133"/>
        <v>9.2798043017415219E-2</v>
      </c>
      <c r="J204" s="200">
        <f t="shared" si="116"/>
        <v>0.10464305555580358</v>
      </c>
      <c r="K204" s="201">
        <f t="shared" si="117"/>
        <v>-1.1845012538388364E-2</v>
      </c>
      <c r="L204" s="78">
        <f t="shared" si="123"/>
        <v>1.6211431658498063</v>
      </c>
      <c r="M204" s="195">
        <f t="shared" si="124"/>
        <v>5.6977256944579144</v>
      </c>
      <c r="N204" s="78">
        <f t="shared" si="129"/>
        <v>9.2798043017415219E-2</v>
      </c>
      <c r="O204" s="200">
        <f t="shared" si="130"/>
        <v>0.10464305555580358</v>
      </c>
      <c r="P204" s="201">
        <f t="shared" si="131"/>
        <v>-1.1845012538388364E-2</v>
      </c>
      <c r="Q204" s="78">
        <f t="shared" si="125"/>
        <v>-0.56125936324299841</v>
      </c>
      <c r="R204" s="196">
        <f t="shared" si="126"/>
        <v>4.256666666678191E-2</v>
      </c>
      <c r="S204" s="202">
        <f t="shared" si="118"/>
        <v>0</v>
      </c>
      <c r="T204" s="200">
        <f t="shared" si="119"/>
        <v>0</v>
      </c>
      <c r="U204" s="201">
        <f t="shared" si="120"/>
        <v>0</v>
      </c>
      <c r="V204" s="198">
        <f t="shared" si="127"/>
        <v>2.1824025290926627</v>
      </c>
      <c r="W204" s="78">
        <f t="shared" si="128"/>
        <v>5.6551590277912176</v>
      </c>
      <c r="X204" s="203">
        <f t="shared" si="121"/>
        <v>0</v>
      </c>
      <c r="Y204" s="204">
        <f t="shared" si="122"/>
        <v>0</v>
      </c>
      <c r="AB204" s="188"/>
      <c r="AC204" s="188"/>
    </row>
    <row r="205" spans="1:29">
      <c r="A205" s="248">
        <v>820</v>
      </c>
      <c r="B205" s="173">
        <v>26051</v>
      </c>
      <c r="C205" s="171"/>
      <c r="D205" s="173" t="s">
        <v>304</v>
      </c>
      <c r="E205" s="173" t="s">
        <v>118</v>
      </c>
      <c r="F205" s="174" t="s">
        <v>149</v>
      </c>
      <c r="G205" s="175">
        <f t="shared" si="115"/>
        <v>1.0249999999999999</v>
      </c>
      <c r="H205" s="176" t="str">
        <f t="shared" si="132"/>
        <v>UNAV</v>
      </c>
      <c r="I205" s="199">
        <f t="shared" si="133"/>
        <v>0</v>
      </c>
      <c r="J205" s="200">
        <f t="shared" si="116"/>
        <v>0</v>
      </c>
      <c r="K205" s="201">
        <f t="shared" si="117"/>
        <v>0</v>
      </c>
      <c r="L205" s="78">
        <f t="shared" si="123"/>
        <v>1.6211431658498063</v>
      </c>
      <c r="M205" s="195">
        <f t="shared" si="124"/>
        <v>5.6977256944579144</v>
      </c>
      <c r="N205" s="78">
        <f t="shared" si="129"/>
        <v>0</v>
      </c>
      <c r="O205" s="200">
        <f t="shared" si="130"/>
        <v>0</v>
      </c>
      <c r="P205" s="201">
        <f t="shared" si="131"/>
        <v>0</v>
      </c>
      <c r="Q205" s="78">
        <f t="shared" si="125"/>
        <v>-0.56125936324299841</v>
      </c>
      <c r="R205" s="196">
        <f t="shared" si="126"/>
        <v>4.256666666678191E-2</v>
      </c>
      <c r="S205" s="202">
        <f t="shared" si="118"/>
        <v>0</v>
      </c>
      <c r="T205" s="200">
        <f t="shared" si="119"/>
        <v>0</v>
      </c>
      <c r="U205" s="201">
        <f t="shared" si="120"/>
        <v>0</v>
      </c>
      <c r="V205" s="198">
        <f t="shared" si="127"/>
        <v>2.1824025290926627</v>
      </c>
      <c r="W205" s="78">
        <f t="shared" si="128"/>
        <v>5.6551590277912176</v>
      </c>
      <c r="X205" s="203">
        <f t="shared" si="121"/>
        <v>0</v>
      </c>
      <c r="Y205" s="204">
        <f t="shared" si="122"/>
        <v>0</v>
      </c>
      <c r="AB205" s="188"/>
      <c r="AC205" s="188"/>
    </row>
    <row r="206" spans="1:29">
      <c r="A206" s="248">
        <v>820</v>
      </c>
      <c r="B206" s="173">
        <v>16188</v>
      </c>
      <c r="C206" s="171"/>
      <c r="D206" s="173" t="s">
        <v>305</v>
      </c>
      <c r="E206" s="173" t="s">
        <v>118</v>
      </c>
      <c r="F206" s="174" t="s">
        <v>116</v>
      </c>
      <c r="G206" s="175">
        <f t="shared" si="115"/>
        <v>1.0249999999999999</v>
      </c>
      <c r="H206" s="176" t="str">
        <f t="shared" si="132"/>
        <v>UNAV</v>
      </c>
      <c r="I206" s="199">
        <f t="shared" si="133"/>
        <v>0.24772358941089659</v>
      </c>
      <c r="J206" s="200">
        <f t="shared" si="116"/>
        <v>0.27934375000066214</v>
      </c>
      <c r="K206" s="201">
        <f t="shared" si="117"/>
        <v>-3.162016058976555E-2</v>
      </c>
      <c r="L206" s="78">
        <f t="shared" si="123"/>
        <v>1.868866755260703</v>
      </c>
      <c r="M206" s="195">
        <f t="shared" si="124"/>
        <v>5.9770694444585768</v>
      </c>
      <c r="N206" s="78">
        <f t="shared" si="129"/>
        <v>0</v>
      </c>
      <c r="O206" s="200">
        <f t="shared" si="130"/>
        <v>0</v>
      </c>
      <c r="P206" s="201">
        <f t="shared" si="131"/>
        <v>0</v>
      </c>
      <c r="Q206" s="78">
        <f t="shared" si="125"/>
        <v>-0.56125936324299841</v>
      </c>
      <c r="R206" s="196">
        <f t="shared" si="126"/>
        <v>4.256666666678191E-2</v>
      </c>
      <c r="S206" s="202">
        <f t="shared" si="118"/>
        <v>0.24772358941089659</v>
      </c>
      <c r="T206" s="200">
        <f t="shared" si="119"/>
        <v>0.27934375000066214</v>
      </c>
      <c r="U206" s="201">
        <f t="shared" si="120"/>
        <v>-3.162016058976555E-2</v>
      </c>
      <c r="V206" s="198">
        <f t="shared" si="127"/>
        <v>2.4301261185035594</v>
      </c>
      <c r="W206" s="78">
        <f t="shared" si="128"/>
        <v>5.93450277779188</v>
      </c>
      <c r="X206" s="203">
        <f t="shared" si="121"/>
        <v>0.24772358941089659</v>
      </c>
      <c r="Y206" s="204">
        <f t="shared" si="122"/>
        <v>0</v>
      </c>
      <c r="AB206" s="188"/>
      <c r="AC206" s="188"/>
    </row>
    <row r="207" spans="1:29">
      <c r="A207" s="248">
        <v>820</v>
      </c>
      <c r="B207" s="172">
        <v>16359</v>
      </c>
      <c r="C207" s="171"/>
      <c r="D207" s="173" t="s">
        <v>306</v>
      </c>
      <c r="E207" s="173" t="s">
        <v>116</v>
      </c>
      <c r="F207" s="174" t="s">
        <v>116</v>
      </c>
      <c r="G207" s="175">
        <f t="shared" si="115"/>
        <v>1.0249999999999999</v>
      </c>
      <c r="H207" s="176" t="str">
        <f t="shared" si="132"/>
        <v>UNAV</v>
      </c>
      <c r="I207" s="309">
        <f t="shared" si="133"/>
        <v>0.89652346643943504</v>
      </c>
      <c r="J207" s="192">
        <f t="shared" si="116"/>
        <v>1.0109583333357295</v>
      </c>
      <c r="K207" s="193">
        <f t="shared" si="117"/>
        <v>-0.11443486689629445</v>
      </c>
      <c r="L207" s="194">
        <f t="shared" si="123"/>
        <v>2.7653902217001383</v>
      </c>
      <c r="M207" s="195">
        <f t="shared" si="124"/>
        <v>6.9880277777943061</v>
      </c>
      <c r="N207" s="194">
        <f t="shared" si="129"/>
        <v>0</v>
      </c>
      <c r="O207" s="192">
        <f t="shared" si="130"/>
        <v>0</v>
      </c>
      <c r="P207" s="193">
        <f t="shared" si="131"/>
        <v>0</v>
      </c>
      <c r="Q207" s="194">
        <f t="shared" si="125"/>
        <v>-0.56125936324299841</v>
      </c>
      <c r="R207" s="196">
        <f t="shared" si="126"/>
        <v>4.256666666678191E-2</v>
      </c>
      <c r="S207" s="197">
        <f t="shared" si="118"/>
        <v>0.89652346643943504</v>
      </c>
      <c r="T207" s="192">
        <f t="shared" si="119"/>
        <v>1.0109583333357295</v>
      </c>
      <c r="U207" s="193">
        <f t="shared" si="120"/>
        <v>-0.11443486689629445</v>
      </c>
      <c r="V207" s="310">
        <f t="shared" si="127"/>
        <v>3.3266495849429942</v>
      </c>
      <c r="W207" s="78">
        <f t="shared" si="128"/>
        <v>6.9454611111276092</v>
      </c>
      <c r="X207" s="186">
        <f t="shared" si="121"/>
        <v>0.89652346643943504</v>
      </c>
      <c r="Y207" s="187">
        <f t="shared" si="122"/>
        <v>0</v>
      </c>
      <c r="AB207" s="188"/>
      <c r="AC207" s="188"/>
    </row>
    <row r="208" spans="1:29">
      <c r="A208" s="251">
        <v>820</v>
      </c>
      <c r="B208" s="311">
        <v>16360</v>
      </c>
      <c r="C208" s="253"/>
      <c r="D208" s="252" t="s">
        <v>307</v>
      </c>
      <c r="E208" s="252" t="s">
        <v>116</v>
      </c>
      <c r="F208" s="255" t="s">
        <v>116</v>
      </c>
      <c r="G208" s="256">
        <f t="shared" si="115"/>
        <v>1.0249999999999999</v>
      </c>
      <c r="H208" s="257" t="str">
        <f t="shared" si="132"/>
        <v>UNAV</v>
      </c>
      <c r="I208" s="312">
        <f t="shared" si="133"/>
        <v>1.0192056250048316</v>
      </c>
      <c r="J208" s="313">
        <f t="shared" si="116"/>
        <v>1.1493000000027243</v>
      </c>
      <c r="K208" s="314">
        <f t="shared" si="117"/>
        <v>-0.13009437499789267</v>
      </c>
      <c r="L208" s="315">
        <f t="shared" si="123"/>
        <v>3.7845958467049696</v>
      </c>
      <c r="M208" s="262">
        <f t="shared" si="124"/>
        <v>8.1373277777970294</v>
      </c>
      <c r="N208" s="315">
        <f t="shared" si="129"/>
        <v>0</v>
      </c>
      <c r="O208" s="313">
        <f t="shared" si="130"/>
        <v>0</v>
      </c>
      <c r="P208" s="314">
        <f t="shared" si="131"/>
        <v>0</v>
      </c>
      <c r="Q208" s="315">
        <f t="shared" si="125"/>
        <v>-0.56125936324299841</v>
      </c>
      <c r="R208" s="263">
        <f t="shared" si="126"/>
        <v>4.256666666678191E-2</v>
      </c>
      <c r="S208" s="316">
        <f t="shared" si="118"/>
        <v>1.0192056250048316</v>
      </c>
      <c r="T208" s="313">
        <f t="shared" si="119"/>
        <v>1.1493000000027243</v>
      </c>
      <c r="U208" s="314">
        <f t="shared" si="120"/>
        <v>-0.13009437499789267</v>
      </c>
      <c r="V208" s="317">
        <f t="shared" si="127"/>
        <v>4.3458552099478256</v>
      </c>
      <c r="W208" s="261">
        <f t="shared" si="128"/>
        <v>8.0947611111303335</v>
      </c>
      <c r="X208" s="318">
        <f t="shared" si="121"/>
        <v>1.0192056250048316</v>
      </c>
      <c r="Y208" s="319">
        <f t="shared" si="122"/>
        <v>0</v>
      </c>
      <c r="AB208" s="188"/>
      <c r="AC208" s="188"/>
    </row>
    <row r="209" spans="1:29">
      <c r="A209" s="248">
        <v>820.1</v>
      </c>
      <c r="B209" s="173">
        <v>16319</v>
      </c>
      <c r="C209" s="171"/>
      <c r="D209" s="173" t="s">
        <v>308</v>
      </c>
      <c r="E209" s="173" t="s">
        <v>116</v>
      </c>
      <c r="F209" s="174" t="s">
        <v>116</v>
      </c>
      <c r="G209" s="175">
        <f t="shared" si="115"/>
        <v>1.0249999999999999</v>
      </c>
      <c r="H209" s="176" t="str">
        <f t="shared" si="132"/>
        <v>UNAV</v>
      </c>
      <c r="I209" s="199">
        <f t="shared" si="133"/>
        <v>6.8418896123009512E-2</v>
      </c>
      <c r="J209" s="200">
        <f t="shared" si="116"/>
        <v>7.7152083333516197E-2</v>
      </c>
      <c r="K209" s="201">
        <f t="shared" si="117"/>
        <v>-8.7331872105066849E-3</v>
      </c>
      <c r="L209" s="78">
        <f t="shared" si="123"/>
        <v>3.8530147428279791</v>
      </c>
      <c r="M209" s="195">
        <f t="shared" si="124"/>
        <v>8.2144798611305454</v>
      </c>
      <c r="N209" s="78">
        <f t="shared" si="129"/>
        <v>0</v>
      </c>
      <c r="O209" s="200">
        <f t="shared" si="130"/>
        <v>0</v>
      </c>
      <c r="P209" s="201">
        <f t="shared" si="131"/>
        <v>0</v>
      </c>
      <c r="Q209" s="78">
        <f t="shared" si="125"/>
        <v>-0.56125936324299841</v>
      </c>
      <c r="R209" s="196">
        <f t="shared" si="126"/>
        <v>4.256666666678191E-2</v>
      </c>
      <c r="S209" s="202">
        <f t="shared" si="118"/>
        <v>6.8418896123009512E-2</v>
      </c>
      <c r="T209" s="200">
        <f t="shared" si="119"/>
        <v>7.7152083333516197E-2</v>
      </c>
      <c r="U209" s="201">
        <f t="shared" si="120"/>
        <v>-8.7331872105066849E-3</v>
      </c>
      <c r="V209" s="198">
        <f t="shared" si="127"/>
        <v>4.4142741060708355</v>
      </c>
      <c r="W209" s="78">
        <f t="shared" si="128"/>
        <v>8.1719131944638495</v>
      </c>
      <c r="X209" s="203">
        <f t="shared" si="121"/>
        <v>6.8418896123009512E-2</v>
      </c>
      <c r="Y209" s="204">
        <f t="shared" si="122"/>
        <v>0</v>
      </c>
      <c r="AB209" s="188"/>
      <c r="AC209" s="188"/>
    </row>
    <row r="210" spans="1:29">
      <c r="A210" s="248">
        <v>820.1</v>
      </c>
      <c r="B210" s="209">
        <v>26167</v>
      </c>
      <c r="C210" s="171"/>
      <c r="D210" s="173" t="s">
        <v>309</v>
      </c>
      <c r="E210" s="173" t="s">
        <v>116</v>
      </c>
      <c r="F210" s="174" t="s">
        <v>142</v>
      </c>
      <c r="G210" s="175">
        <f t="shared" si="115"/>
        <v>1.03657898</v>
      </c>
      <c r="H210" s="176" t="str">
        <f t="shared" si="132"/>
        <v xml:space="preserve">    </v>
      </c>
      <c r="I210" s="199">
        <f t="shared" si="133"/>
        <v>0</v>
      </c>
      <c r="J210" s="200">
        <f t="shared" si="116"/>
        <v>0</v>
      </c>
      <c r="K210" s="201">
        <f t="shared" si="117"/>
        <v>0</v>
      </c>
      <c r="L210" s="78">
        <f t="shared" si="123"/>
        <v>3.8530147428279791</v>
      </c>
      <c r="M210" s="195">
        <f t="shared" si="124"/>
        <v>8.2144798611305454</v>
      </c>
      <c r="N210" s="78">
        <f t="shared" si="129"/>
        <v>0</v>
      </c>
      <c r="O210" s="200">
        <f t="shared" si="130"/>
        <v>0</v>
      </c>
      <c r="P210" s="201">
        <f t="shared" si="131"/>
        <v>0</v>
      </c>
      <c r="Q210" s="78">
        <f t="shared" si="125"/>
        <v>-0.56125936324299841</v>
      </c>
      <c r="R210" s="196">
        <f t="shared" si="126"/>
        <v>4.256666666678191E-2</v>
      </c>
      <c r="S210" s="202">
        <f t="shared" si="118"/>
        <v>0</v>
      </c>
      <c r="T210" s="200">
        <f t="shared" si="119"/>
        <v>0</v>
      </c>
      <c r="U210" s="201">
        <f t="shared" si="120"/>
        <v>0</v>
      </c>
      <c r="V210" s="198">
        <f t="shared" si="127"/>
        <v>4.4142741060708355</v>
      </c>
      <c r="W210" s="78">
        <f t="shared" si="128"/>
        <v>8.1719131944638495</v>
      </c>
      <c r="X210" s="203">
        <f t="shared" si="121"/>
        <v>0</v>
      </c>
      <c r="Y210" s="204">
        <f t="shared" si="122"/>
        <v>0</v>
      </c>
      <c r="AB210" s="188"/>
      <c r="AC210" s="188"/>
    </row>
    <row r="211" spans="1:29">
      <c r="A211" s="248">
        <v>820.1</v>
      </c>
      <c r="B211" s="209">
        <v>26169</v>
      </c>
      <c r="C211" s="171"/>
      <c r="D211" s="173" t="s">
        <v>310</v>
      </c>
      <c r="E211" s="173" t="s">
        <v>116</v>
      </c>
      <c r="F211" s="174" t="s">
        <v>142</v>
      </c>
      <c r="G211" s="175">
        <f t="shared" si="115"/>
        <v>1.03657898</v>
      </c>
      <c r="H211" s="176" t="str">
        <f t="shared" si="132"/>
        <v xml:space="preserve">    </v>
      </c>
      <c r="I211" s="199">
        <f t="shared" si="133"/>
        <v>0</v>
      </c>
      <c r="J211" s="200">
        <f t="shared" si="116"/>
        <v>0</v>
      </c>
      <c r="K211" s="201">
        <f t="shared" si="117"/>
        <v>0</v>
      </c>
      <c r="L211" s="78">
        <f t="shared" si="123"/>
        <v>3.8530147428279791</v>
      </c>
      <c r="M211" s="195">
        <f t="shared" si="124"/>
        <v>8.2144798611305454</v>
      </c>
      <c r="N211" s="78">
        <f t="shared" si="129"/>
        <v>0</v>
      </c>
      <c r="O211" s="200">
        <f t="shared" si="130"/>
        <v>0</v>
      </c>
      <c r="P211" s="201">
        <f t="shared" si="131"/>
        <v>0</v>
      </c>
      <c r="Q211" s="78">
        <f t="shared" si="125"/>
        <v>-0.56125936324299841</v>
      </c>
      <c r="R211" s="196">
        <f t="shared" si="126"/>
        <v>4.256666666678191E-2</v>
      </c>
      <c r="S211" s="202">
        <f t="shared" si="118"/>
        <v>0</v>
      </c>
      <c r="T211" s="200">
        <f t="shared" si="119"/>
        <v>0</v>
      </c>
      <c r="U211" s="201">
        <f t="shared" si="120"/>
        <v>0</v>
      </c>
      <c r="V211" s="198">
        <f t="shared" si="127"/>
        <v>4.4142741060708355</v>
      </c>
      <c r="W211" s="78">
        <f t="shared" si="128"/>
        <v>8.1719131944638495</v>
      </c>
      <c r="X211" s="203">
        <f t="shared" si="121"/>
        <v>0</v>
      </c>
      <c r="Y211" s="204">
        <f t="shared" si="122"/>
        <v>0</v>
      </c>
      <c r="AB211" s="188"/>
      <c r="AC211" s="188"/>
    </row>
    <row r="212" spans="1:29">
      <c r="A212" s="248">
        <v>820.1</v>
      </c>
      <c r="B212" s="173">
        <v>26178</v>
      </c>
      <c r="C212" s="171"/>
      <c r="D212" s="173" t="s">
        <v>311</v>
      </c>
      <c r="E212" s="173" t="s">
        <v>116</v>
      </c>
      <c r="F212" s="174" t="s">
        <v>116</v>
      </c>
      <c r="G212" s="175">
        <f t="shared" si="115"/>
        <v>1.0440561499999998</v>
      </c>
      <c r="H212" s="176" t="str">
        <f t="shared" si="132"/>
        <v>UNAV</v>
      </c>
      <c r="I212" s="199">
        <f t="shared" si="133"/>
        <v>0</v>
      </c>
      <c r="J212" s="200">
        <f t="shared" si="116"/>
        <v>0</v>
      </c>
      <c r="K212" s="201">
        <f t="shared" si="117"/>
        <v>0</v>
      </c>
      <c r="L212" s="78">
        <f t="shared" si="123"/>
        <v>3.8530147428279791</v>
      </c>
      <c r="M212" s="195">
        <f t="shared" si="124"/>
        <v>8.2144798611305454</v>
      </c>
      <c r="N212" s="78">
        <f t="shared" si="129"/>
        <v>0</v>
      </c>
      <c r="O212" s="200">
        <f t="shared" si="130"/>
        <v>0</v>
      </c>
      <c r="P212" s="201">
        <f t="shared" si="131"/>
        <v>0</v>
      </c>
      <c r="Q212" s="78">
        <f t="shared" si="125"/>
        <v>-0.56125936324299841</v>
      </c>
      <c r="R212" s="196">
        <f t="shared" si="126"/>
        <v>4.256666666678191E-2</v>
      </c>
      <c r="S212" s="202">
        <f t="shared" si="118"/>
        <v>0</v>
      </c>
      <c r="T212" s="200">
        <f t="shared" si="119"/>
        <v>0</v>
      </c>
      <c r="U212" s="201">
        <f t="shared" si="120"/>
        <v>0</v>
      </c>
      <c r="V212" s="198">
        <f t="shared" si="127"/>
        <v>4.4142741060708355</v>
      </c>
      <c r="W212" s="78">
        <f t="shared" si="128"/>
        <v>8.1719131944638495</v>
      </c>
      <c r="X212" s="203">
        <f t="shared" si="121"/>
        <v>0</v>
      </c>
      <c r="Y212" s="204">
        <f t="shared" si="122"/>
        <v>0</v>
      </c>
      <c r="AB212" s="188"/>
      <c r="AC212" s="188"/>
    </row>
    <row r="213" spans="1:29">
      <c r="A213" s="248">
        <v>820.1</v>
      </c>
      <c r="B213" s="209">
        <v>26157</v>
      </c>
      <c r="C213" s="171"/>
      <c r="D213" s="173" t="s">
        <v>312</v>
      </c>
      <c r="E213" s="173" t="s">
        <v>116</v>
      </c>
      <c r="F213" s="174" t="s">
        <v>116</v>
      </c>
      <c r="G213" s="175">
        <f t="shared" si="115"/>
        <v>1.03657898</v>
      </c>
      <c r="H213" s="176" t="str">
        <f t="shared" si="132"/>
        <v xml:space="preserve">    </v>
      </c>
      <c r="I213" s="199">
        <f t="shared" si="133"/>
        <v>-4.4484002443727944</v>
      </c>
      <c r="J213" s="200">
        <f t="shared" si="116"/>
        <v>-4.4340277777882875</v>
      </c>
      <c r="K213" s="201">
        <f t="shared" si="117"/>
        <v>-1.437246658450686E-2</v>
      </c>
      <c r="L213" s="78">
        <f t="shared" si="123"/>
        <v>-0.59538550154481529</v>
      </c>
      <c r="M213" s="195">
        <f t="shared" si="124"/>
        <v>3.7804520833422579</v>
      </c>
      <c r="N213" s="78">
        <f t="shared" si="129"/>
        <v>0</v>
      </c>
      <c r="O213" s="200">
        <f t="shared" si="130"/>
        <v>0</v>
      </c>
      <c r="P213" s="201">
        <f t="shared" si="131"/>
        <v>0</v>
      </c>
      <c r="Q213" s="78">
        <f t="shared" si="125"/>
        <v>-0.56125936324299841</v>
      </c>
      <c r="R213" s="196">
        <f t="shared" si="126"/>
        <v>4.256666666678191E-2</v>
      </c>
      <c r="S213" s="202">
        <f t="shared" si="118"/>
        <v>-4.4484002443727944</v>
      </c>
      <c r="T213" s="200">
        <f t="shared" si="119"/>
        <v>-4.4340277777882875</v>
      </c>
      <c r="U213" s="201">
        <f t="shared" si="120"/>
        <v>-1.437246658450686E-2</v>
      </c>
      <c r="V213" s="198">
        <f t="shared" si="127"/>
        <v>-3.4126138301958875E-2</v>
      </c>
      <c r="W213" s="78">
        <f t="shared" si="128"/>
        <v>3.737885416675562</v>
      </c>
      <c r="X213" s="203">
        <f t="shared" si="121"/>
        <v>-4.4484002443727944</v>
      </c>
      <c r="Y213" s="204">
        <f t="shared" si="122"/>
        <v>0</v>
      </c>
      <c r="AB213" s="188"/>
      <c r="AC213" s="188"/>
    </row>
    <row r="214" spans="1:29">
      <c r="A214" s="248">
        <v>820.1</v>
      </c>
      <c r="B214" s="173">
        <v>16330</v>
      </c>
      <c r="C214" s="171"/>
      <c r="D214" s="173" t="s">
        <v>313</v>
      </c>
      <c r="E214" s="173" t="s">
        <v>116</v>
      </c>
      <c r="F214" s="174" t="s">
        <v>116</v>
      </c>
      <c r="G214" s="175">
        <f t="shared" si="115"/>
        <v>1.0249999999999999</v>
      </c>
      <c r="H214" s="176" t="str">
        <f t="shared" si="132"/>
        <v>UNAV</v>
      </c>
      <c r="I214" s="199">
        <f t="shared" si="133"/>
        <v>0</v>
      </c>
      <c r="J214" s="200">
        <f t="shared" si="116"/>
        <v>0</v>
      </c>
      <c r="K214" s="201">
        <f t="shared" si="117"/>
        <v>0</v>
      </c>
      <c r="L214" s="78">
        <f t="shared" si="123"/>
        <v>-0.59538550154481529</v>
      </c>
      <c r="M214" s="195">
        <f t="shared" si="124"/>
        <v>3.7804520833422579</v>
      </c>
      <c r="N214" s="78">
        <f t="shared" si="129"/>
        <v>0</v>
      </c>
      <c r="O214" s="200">
        <f t="shared" si="130"/>
        <v>0</v>
      </c>
      <c r="P214" s="201">
        <f t="shared" si="131"/>
        <v>0</v>
      </c>
      <c r="Q214" s="78">
        <f t="shared" si="125"/>
        <v>-0.56125936324299841</v>
      </c>
      <c r="R214" s="196">
        <f t="shared" si="126"/>
        <v>4.256666666678191E-2</v>
      </c>
      <c r="S214" s="202">
        <f t="shared" si="118"/>
        <v>0</v>
      </c>
      <c r="T214" s="200">
        <f t="shared" si="119"/>
        <v>0</v>
      </c>
      <c r="U214" s="201">
        <f t="shared" si="120"/>
        <v>0</v>
      </c>
      <c r="V214" s="198">
        <f t="shared" si="127"/>
        <v>-3.4126138301958875E-2</v>
      </c>
      <c r="W214" s="78">
        <f t="shared" si="128"/>
        <v>3.737885416675562</v>
      </c>
      <c r="X214" s="203">
        <f t="shared" si="121"/>
        <v>0</v>
      </c>
      <c r="Y214" s="204">
        <f t="shared" si="122"/>
        <v>0</v>
      </c>
      <c r="AB214" s="188"/>
      <c r="AC214" s="188"/>
    </row>
    <row r="215" spans="1:29">
      <c r="A215" s="248">
        <v>820.1</v>
      </c>
      <c r="B215" s="173">
        <v>16352</v>
      </c>
      <c r="C215" s="171"/>
      <c r="D215" s="173" t="s">
        <v>314</v>
      </c>
      <c r="E215" s="173" t="s">
        <v>116</v>
      </c>
      <c r="F215" s="174" t="s">
        <v>116</v>
      </c>
      <c r="G215" s="175">
        <f t="shared" si="115"/>
        <v>1.1359999999999999</v>
      </c>
      <c r="H215" s="176" t="str">
        <f t="shared" si="132"/>
        <v xml:space="preserve">    </v>
      </c>
      <c r="I215" s="199">
        <f t="shared" si="133"/>
        <v>0</v>
      </c>
      <c r="J215" s="200">
        <f t="shared" si="116"/>
        <v>0.21992777777829906</v>
      </c>
      <c r="K215" s="201">
        <f t="shared" si="117"/>
        <v>-0.21992777777829906</v>
      </c>
      <c r="L215" s="78">
        <f t="shared" si="123"/>
        <v>-0.59538550154481529</v>
      </c>
      <c r="M215" s="195">
        <f t="shared" si="124"/>
        <v>4.0003798611205568</v>
      </c>
      <c r="N215" s="78">
        <f t="shared" si="129"/>
        <v>0</v>
      </c>
      <c r="O215" s="200">
        <f t="shared" si="130"/>
        <v>0</v>
      </c>
      <c r="P215" s="201">
        <f t="shared" si="131"/>
        <v>0</v>
      </c>
      <c r="Q215" s="78">
        <f t="shared" si="125"/>
        <v>-0.56125936324299841</v>
      </c>
      <c r="R215" s="196">
        <f t="shared" si="126"/>
        <v>4.256666666678191E-2</v>
      </c>
      <c r="S215" s="202">
        <f t="shared" si="118"/>
        <v>0</v>
      </c>
      <c r="T215" s="200">
        <f t="shared" si="119"/>
        <v>0.21992777777829906</v>
      </c>
      <c r="U215" s="201">
        <f t="shared" si="120"/>
        <v>-0.21992777777829906</v>
      </c>
      <c r="V215" s="198">
        <f t="shared" si="127"/>
        <v>-3.4126138301958875E-2</v>
      </c>
      <c r="W215" s="78">
        <f t="shared" si="128"/>
        <v>3.9578131944538608</v>
      </c>
      <c r="X215" s="203">
        <f t="shared" si="121"/>
        <v>0</v>
      </c>
      <c r="Y215" s="204">
        <f t="shared" si="122"/>
        <v>0</v>
      </c>
      <c r="AB215" s="188"/>
      <c r="AC215" s="188"/>
    </row>
    <row r="216" spans="1:29">
      <c r="A216" s="248">
        <v>820.1</v>
      </c>
      <c r="B216" s="173">
        <v>16312</v>
      </c>
      <c r="C216" s="171"/>
      <c r="D216" s="173" t="s">
        <v>315</v>
      </c>
      <c r="E216" s="173" t="s">
        <v>116</v>
      </c>
      <c r="F216" s="174" t="s">
        <v>116</v>
      </c>
      <c r="G216" s="175">
        <f t="shared" si="115"/>
        <v>1.0249999999999999</v>
      </c>
      <c r="H216" s="176" t="str">
        <f t="shared" si="132"/>
        <v>UNAV</v>
      </c>
      <c r="I216" s="199">
        <f t="shared" si="133"/>
        <v>0</v>
      </c>
      <c r="J216" s="200">
        <f t="shared" si="116"/>
        <v>0</v>
      </c>
      <c r="K216" s="201">
        <f t="shared" si="117"/>
        <v>0</v>
      </c>
      <c r="L216" s="78">
        <f t="shared" si="123"/>
        <v>-0.59538550154481529</v>
      </c>
      <c r="M216" s="195">
        <f t="shared" si="124"/>
        <v>4.0003798611205568</v>
      </c>
      <c r="N216" s="78">
        <f t="shared" si="129"/>
        <v>0</v>
      </c>
      <c r="O216" s="200">
        <f t="shared" si="130"/>
        <v>0</v>
      </c>
      <c r="P216" s="201">
        <f t="shared" si="131"/>
        <v>0</v>
      </c>
      <c r="Q216" s="78">
        <f t="shared" si="125"/>
        <v>-0.56125936324299841</v>
      </c>
      <c r="R216" s="196">
        <f t="shared" si="126"/>
        <v>4.256666666678191E-2</v>
      </c>
      <c r="S216" s="202">
        <f t="shared" si="118"/>
        <v>0</v>
      </c>
      <c r="T216" s="200">
        <f t="shared" si="119"/>
        <v>0</v>
      </c>
      <c r="U216" s="201">
        <f t="shared" si="120"/>
        <v>0</v>
      </c>
      <c r="V216" s="198">
        <f t="shared" si="127"/>
        <v>-3.4126138301958875E-2</v>
      </c>
      <c r="W216" s="78">
        <f t="shared" si="128"/>
        <v>3.9578131944538608</v>
      </c>
      <c r="X216" s="203">
        <f t="shared" si="121"/>
        <v>0</v>
      </c>
      <c r="Y216" s="204">
        <f t="shared" si="122"/>
        <v>0</v>
      </c>
      <c r="AB216" s="188"/>
      <c r="AC216" s="188"/>
    </row>
    <row r="217" spans="1:29">
      <c r="A217" s="248">
        <v>820.1</v>
      </c>
      <c r="B217" s="173">
        <v>16307</v>
      </c>
      <c r="C217" s="171"/>
      <c r="D217" s="173" t="s">
        <v>316</v>
      </c>
      <c r="E217" s="173" t="s">
        <v>149</v>
      </c>
      <c r="F217" s="174" t="s">
        <v>116</v>
      </c>
      <c r="G217" s="175">
        <f t="shared" si="115"/>
        <v>1.0249999999999999</v>
      </c>
      <c r="H217" s="176" t="str">
        <f t="shared" si="132"/>
        <v>UNAV</v>
      </c>
      <c r="I217" s="199">
        <f t="shared" si="133"/>
        <v>0</v>
      </c>
      <c r="J217" s="200">
        <f t="shared" si="116"/>
        <v>0</v>
      </c>
      <c r="K217" s="201">
        <f t="shared" si="117"/>
        <v>0</v>
      </c>
      <c r="L217" s="78">
        <f t="shared" si="123"/>
        <v>-0.59538550154481529</v>
      </c>
      <c r="M217" s="195">
        <f t="shared" si="124"/>
        <v>4.0003798611205568</v>
      </c>
      <c r="N217" s="78">
        <f t="shared" si="129"/>
        <v>0</v>
      </c>
      <c r="O217" s="200">
        <f t="shared" si="130"/>
        <v>0</v>
      </c>
      <c r="P217" s="201">
        <f t="shared" si="131"/>
        <v>0</v>
      </c>
      <c r="Q217" s="78">
        <f t="shared" si="125"/>
        <v>-0.56125936324299841</v>
      </c>
      <c r="R217" s="196">
        <f t="shared" si="126"/>
        <v>4.256666666678191E-2</v>
      </c>
      <c r="S217" s="202">
        <f t="shared" si="118"/>
        <v>0</v>
      </c>
      <c r="T217" s="200">
        <f t="shared" si="119"/>
        <v>0</v>
      </c>
      <c r="U217" s="201">
        <f t="shared" si="120"/>
        <v>0</v>
      </c>
      <c r="V217" s="198">
        <f t="shared" si="127"/>
        <v>-3.4126138301958875E-2</v>
      </c>
      <c r="W217" s="78">
        <f t="shared" si="128"/>
        <v>3.9578131944538608</v>
      </c>
      <c r="X217" s="203">
        <f t="shared" si="121"/>
        <v>0</v>
      </c>
      <c r="Y217" s="204">
        <f t="shared" si="122"/>
        <v>0</v>
      </c>
      <c r="AB217" s="188"/>
      <c r="AC217" s="188"/>
    </row>
    <row r="218" spans="1:29">
      <c r="A218" s="248">
        <v>820.1</v>
      </c>
      <c r="B218" s="173">
        <v>26033</v>
      </c>
      <c r="C218" s="171"/>
      <c r="D218" s="173" t="s">
        <v>317</v>
      </c>
      <c r="E218" s="173" t="s">
        <v>116</v>
      </c>
      <c r="F218" s="174" t="s">
        <v>116</v>
      </c>
      <c r="G218" s="175">
        <f t="shared" si="115"/>
        <v>1.056</v>
      </c>
      <c r="H218" s="176" t="str">
        <f t="shared" si="132"/>
        <v xml:space="preserve">    </v>
      </c>
      <c r="I218" s="199">
        <f t="shared" si="133"/>
        <v>-11.572837056000001</v>
      </c>
      <c r="J218" s="200">
        <f t="shared" si="116"/>
        <v>-8.868055555576575</v>
      </c>
      <c r="K218" s="201">
        <f t="shared" si="117"/>
        <v>-2.7047815004234259</v>
      </c>
      <c r="L218" s="78">
        <f t="shared" si="123"/>
        <v>-12.168222557544816</v>
      </c>
      <c r="M218" s="195">
        <f t="shared" si="124"/>
        <v>-4.8676756944560182</v>
      </c>
      <c r="N218" s="78">
        <f t="shared" si="129"/>
        <v>0</v>
      </c>
      <c r="O218" s="200">
        <f t="shared" si="130"/>
        <v>0</v>
      </c>
      <c r="P218" s="201">
        <f t="shared" si="131"/>
        <v>0</v>
      </c>
      <c r="Q218" s="78">
        <f t="shared" si="125"/>
        <v>-0.56125936324299841</v>
      </c>
      <c r="R218" s="196">
        <f t="shared" si="126"/>
        <v>4.256666666678191E-2</v>
      </c>
      <c r="S218" s="202">
        <f t="shared" si="118"/>
        <v>-11.572837056000001</v>
      </c>
      <c r="T218" s="200">
        <f t="shared" si="119"/>
        <v>-8.868055555576575</v>
      </c>
      <c r="U218" s="201">
        <f t="shared" si="120"/>
        <v>-2.7047815004234259</v>
      </c>
      <c r="V218" s="198">
        <f t="shared" si="127"/>
        <v>-11.60696319430196</v>
      </c>
      <c r="W218" s="78">
        <f t="shared" si="128"/>
        <v>-4.9102423611227142</v>
      </c>
      <c r="X218" s="203">
        <f t="shared" si="121"/>
        <v>-11.572837056000001</v>
      </c>
      <c r="Y218" s="204">
        <f t="shared" si="122"/>
        <v>0</v>
      </c>
      <c r="AB218" s="188"/>
      <c r="AC218" s="188"/>
    </row>
    <row r="219" spans="1:29">
      <c r="A219" s="248">
        <v>820.1</v>
      </c>
      <c r="B219" s="173">
        <v>16316</v>
      </c>
      <c r="C219" s="171"/>
      <c r="D219" s="173" t="s">
        <v>318</v>
      </c>
      <c r="E219" s="173" t="s">
        <v>116</v>
      </c>
      <c r="F219" s="174" t="s">
        <v>116</v>
      </c>
      <c r="G219" s="175">
        <f t="shared" si="115"/>
        <v>1.0249999999999999</v>
      </c>
      <c r="H219" s="176" t="str">
        <f t="shared" si="132"/>
        <v>UNAV</v>
      </c>
      <c r="I219" s="199">
        <f t="shared" si="133"/>
        <v>8.5720226177103884E-2</v>
      </c>
      <c r="J219" s="200">
        <f t="shared" si="116"/>
        <v>9.6661805555784672E-2</v>
      </c>
      <c r="K219" s="201">
        <f t="shared" si="117"/>
        <v>-1.0941579378680788E-2</v>
      </c>
      <c r="L219" s="78">
        <f t="shared" si="123"/>
        <v>-12.082502331367712</v>
      </c>
      <c r="M219" s="195">
        <f t="shared" si="124"/>
        <v>-4.7710138889002334</v>
      </c>
      <c r="N219" s="78">
        <f t="shared" si="129"/>
        <v>0</v>
      </c>
      <c r="O219" s="200">
        <f t="shared" si="130"/>
        <v>0</v>
      </c>
      <c r="P219" s="201">
        <f t="shared" si="131"/>
        <v>0</v>
      </c>
      <c r="Q219" s="78">
        <f t="shared" si="125"/>
        <v>-0.56125936324299841</v>
      </c>
      <c r="R219" s="196">
        <f t="shared" si="126"/>
        <v>4.256666666678191E-2</v>
      </c>
      <c r="S219" s="202">
        <f t="shared" si="118"/>
        <v>8.5720226177103884E-2</v>
      </c>
      <c r="T219" s="200">
        <f t="shared" si="119"/>
        <v>9.6661805555784672E-2</v>
      </c>
      <c r="U219" s="201">
        <f t="shared" si="120"/>
        <v>-1.0941579378680788E-2</v>
      </c>
      <c r="V219" s="198">
        <f t="shared" si="127"/>
        <v>-11.521242968124856</v>
      </c>
      <c r="W219" s="78">
        <f t="shared" si="128"/>
        <v>-4.8135805555669293</v>
      </c>
      <c r="X219" s="203">
        <f t="shared" si="121"/>
        <v>8.5720226177103884E-2</v>
      </c>
      <c r="Y219" s="204">
        <f t="shared" si="122"/>
        <v>0</v>
      </c>
      <c r="AB219" s="188"/>
      <c r="AC219" s="188"/>
    </row>
    <row r="220" spans="1:29">
      <c r="A220" s="248">
        <v>820.1</v>
      </c>
      <c r="B220" s="173">
        <v>16353</v>
      </c>
      <c r="C220" s="171"/>
      <c r="D220" s="173" t="s">
        <v>319</v>
      </c>
      <c r="E220" s="173" t="s">
        <v>116</v>
      </c>
      <c r="F220" s="174" t="s">
        <v>116</v>
      </c>
      <c r="G220" s="175">
        <f t="shared" si="115"/>
        <v>1.0249999999999999</v>
      </c>
      <c r="H220" s="176" t="str">
        <f t="shared" si="132"/>
        <v>UNAV</v>
      </c>
      <c r="I220" s="199">
        <f t="shared" si="133"/>
        <v>0</v>
      </c>
      <c r="J220" s="200">
        <f t="shared" si="116"/>
        <v>0</v>
      </c>
      <c r="K220" s="201">
        <f>I220-J220</f>
        <v>0</v>
      </c>
      <c r="L220" s="78">
        <f t="shared" si="123"/>
        <v>-12.082502331367712</v>
      </c>
      <c r="M220" s="195">
        <f t="shared" si="124"/>
        <v>-4.7710138889002334</v>
      </c>
      <c r="N220" s="78">
        <f t="shared" si="129"/>
        <v>0</v>
      </c>
      <c r="O220" s="200">
        <f t="shared" si="130"/>
        <v>0</v>
      </c>
      <c r="P220" s="201">
        <f t="shared" si="131"/>
        <v>0</v>
      </c>
      <c r="Q220" s="78">
        <f t="shared" si="125"/>
        <v>-0.56125936324299841</v>
      </c>
      <c r="R220" s="196">
        <f t="shared" si="126"/>
        <v>4.256666666678191E-2</v>
      </c>
      <c r="S220" s="202">
        <f t="shared" si="118"/>
        <v>0</v>
      </c>
      <c r="T220" s="200">
        <f t="shared" si="119"/>
        <v>0</v>
      </c>
      <c r="U220" s="201">
        <f>S220-T220</f>
        <v>0</v>
      </c>
      <c r="V220" s="198">
        <f t="shared" si="127"/>
        <v>-11.521242968124856</v>
      </c>
      <c r="W220" s="78">
        <f t="shared" si="128"/>
        <v>-4.8135805555669293</v>
      </c>
      <c r="X220" s="203">
        <f>S220-Y220</f>
        <v>0</v>
      </c>
      <c r="Y220" s="204">
        <f t="shared" si="122"/>
        <v>0</v>
      </c>
      <c r="AB220" s="188"/>
      <c r="AC220" s="188"/>
    </row>
    <row r="221" spans="1:29">
      <c r="A221" s="248">
        <v>820.1</v>
      </c>
      <c r="B221" s="209">
        <v>16179</v>
      </c>
      <c r="C221" s="171"/>
      <c r="D221" s="232" t="s">
        <v>320</v>
      </c>
      <c r="E221" s="173" t="s">
        <v>116</v>
      </c>
      <c r="F221" s="174" t="s">
        <v>142</v>
      </c>
      <c r="G221" s="175">
        <f t="shared" si="115"/>
        <v>1.0351430700000002</v>
      </c>
      <c r="H221" s="176" t="str">
        <f t="shared" si="132"/>
        <v xml:space="preserve">    </v>
      </c>
      <c r="I221" s="199">
        <f t="shared" si="133"/>
        <v>0</v>
      </c>
      <c r="J221" s="200">
        <f t="shared" si="116"/>
        <v>0</v>
      </c>
      <c r="K221" s="201">
        <f>I221-J221</f>
        <v>0</v>
      </c>
      <c r="L221" s="78">
        <f t="shared" si="123"/>
        <v>-12.082502331367712</v>
      </c>
      <c r="M221" s="195">
        <f t="shared" si="124"/>
        <v>-4.7710138889002334</v>
      </c>
      <c r="N221" s="78">
        <f t="shared" si="129"/>
        <v>0</v>
      </c>
      <c r="O221" s="200">
        <f t="shared" si="130"/>
        <v>0</v>
      </c>
      <c r="P221" s="201">
        <f t="shared" si="131"/>
        <v>0</v>
      </c>
      <c r="Q221" s="78">
        <f t="shared" si="125"/>
        <v>-0.56125936324299841</v>
      </c>
      <c r="R221" s="196">
        <f t="shared" si="126"/>
        <v>4.256666666678191E-2</v>
      </c>
      <c r="S221" s="202">
        <f t="shared" si="118"/>
        <v>0</v>
      </c>
      <c r="T221" s="200">
        <f t="shared" si="119"/>
        <v>0</v>
      </c>
      <c r="U221" s="201">
        <f>S221-T221</f>
        <v>0</v>
      </c>
      <c r="V221" s="198">
        <f t="shared" si="127"/>
        <v>-11.521242968124856</v>
      </c>
      <c r="W221" s="78">
        <f t="shared" si="128"/>
        <v>-4.8135805555669293</v>
      </c>
      <c r="X221" s="203">
        <f>S221-Y221</f>
        <v>0</v>
      </c>
      <c r="Y221" s="204">
        <f t="shared" si="122"/>
        <v>0</v>
      </c>
      <c r="AB221" s="188"/>
      <c r="AC221" s="188"/>
    </row>
    <row r="222" spans="1:29">
      <c r="A222" s="248">
        <v>820.1</v>
      </c>
      <c r="B222" s="320">
        <v>26156</v>
      </c>
      <c r="C222" s="205"/>
      <c r="D222" s="321" t="s">
        <v>320</v>
      </c>
      <c r="E222" s="206" t="s">
        <v>116</v>
      </c>
      <c r="F222" s="207" t="s">
        <v>142</v>
      </c>
      <c r="G222" s="208">
        <f t="shared" si="115"/>
        <v>1.0351430700000002</v>
      </c>
      <c r="H222" s="176" t="str">
        <f t="shared" si="132"/>
        <v xml:space="preserve">    </v>
      </c>
      <c r="I222" s="199">
        <f t="shared" si="133"/>
        <v>0</v>
      </c>
      <c r="J222" s="200">
        <f t="shared" si="116"/>
        <v>0</v>
      </c>
      <c r="K222" s="201">
        <f>I222-J222</f>
        <v>0</v>
      </c>
      <c r="L222" s="78">
        <f t="shared" si="123"/>
        <v>-12.082502331367712</v>
      </c>
      <c r="M222" s="195">
        <f t="shared" si="124"/>
        <v>-4.7710138889002334</v>
      </c>
      <c r="N222" s="78">
        <f t="shared" si="129"/>
        <v>0</v>
      </c>
      <c r="O222" s="200">
        <f t="shared" si="130"/>
        <v>0</v>
      </c>
      <c r="P222" s="201">
        <f t="shared" si="131"/>
        <v>0</v>
      </c>
      <c r="Q222" s="78">
        <f t="shared" si="125"/>
        <v>-0.56125936324299841</v>
      </c>
      <c r="R222" s="196">
        <f t="shared" si="126"/>
        <v>4.256666666678191E-2</v>
      </c>
      <c r="S222" s="202">
        <f t="shared" si="118"/>
        <v>0</v>
      </c>
      <c r="T222" s="200">
        <f t="shared" si="119"/>
        <v>0</v>
      </c>
      <c r="U222" s="201">
        <f>S222-T222</f>
        <v>0</v>
      </c>
      <c r="V222" s="198">
        <f t="shared" si="127"/>
        <v>-11.521242968124856</v>
      </c>
      <c r="W222" s="78">
        <f t="shared" si="128"/>
        <v>-4.8135805555669293</v>
      </c>
      <c r="X222" s="203">
        <f>S222-Y222</f>
        <v>0</v>
      </c>
      <c r="Y222" s="204">
        <f t="shared" si="122"/>
        <v>0</v>
      </c>
      <c r="AB222" s="188"/>
      <c r="AC222" s="188"/>
    </row>
    <row r="223" spans="1:29" ht="13.8" thickBot="1">
      <c r="A223" s="269">
        <v>820.1</v>
      </c>
      <c r="B223" s="234">
        <v>26040</v>
      </c>
      <c r="C223" s="233">
        <v>1087</v>
      </c>
      <c r="D223" s="234" t="s">
        <v>321</v>
      </c>
      <c r="E223" s="234" t="s">
        <v>116</v>
      </c>
      <c r="F223" s="235" t="s">
        <v>149</v>
      </c>
      <c r="G223" s="236">
        <f t="shared" si="115"/>
        <v>1.0249999999999999</v>
      </c>
      <c r="H223" s="237" t="str">
        <f t="shared" si="132"/>
        <v>UNAV</v>
      </c>
      <c r="I223" s="216">
        <f t="shared" si="133"/>
        <v>-3.7748356481660431E-2</v>
      </c>
      <c r="J223" s="217">
        <f t="shared" si="116"/>
        <v>-4.2566666666767561E-2</v>
      </c>
      <c r="K223" s="218">
        <f>I223-J223</f>
        <v>4.8183101851071303E-3</v>
      </c>
      <c r="L223" s="219">
        <f t="shared" si="123"/>
        <v>-12.120250687849373</v>
      </c>
      <c r="M223" s="220">
        <f t="shared" si="124"/>
        <v>-4.8135805555670013</v>
      </c>
      <c r="N223" s="219">
        <f t="shared" si="129"/>
        <v>-3.7748356481660431E-2</v>
      </c>
      <c r="O223" s="217">
        <f t="shared" si="130"/>
        <v>-4.2566666666767561E-2</v>
      </c>
      <c r="P223" s="218">
        <f t="shared" si="131"/>
        <v>4.8183101851071303E-3</v>
      </c>
      <c r="Q223" s="219">
        <f t="shared" si="125"/>
        <v>-0.59900771972465883</v>
      </c>
      <c r="R223" s="221">
        <f t="shared" si="126"/>
        <v>1.4349632593280148E-14</v>
      </c>
      <c r="S223" s="222">
        <f t="shared" si="118"/>
        <v>0</v>
      </c>
      <c r="T223" s="217">
        <f t="shared" si="119"/>
        <v>0</v>
      </c>
      <c r="U223" s="218">
        <f>S223-T223</f>
        <v>0</v>
      </c>
      <c r="V223" s="223">
        <f t="shared" si="127"/>
        <v>-11.521242968124856</v>
      </c>
      <c r="W223" s="219">
        <f t="shared" si="128"/>
        <v>-4.8135805555669293</v>
      </c>
      <c r="X223" s="225">
        <f>S223-Y223</f>
        <v>0</v>
      </c>
      <c r="Y223" s="226">
        <f t="shared" si="122"/>
        <v>0</v>
      </c>
      <c r="AB223" s="188"/>
      <c r="AC223" s="188"/>
    </row>
    <row r="224" spans="1:29" ht="12.75" customHeight="1" thickTop="1" thickBot="1">
      <c r="A224" s="322"/>
      <c r="B224" s="323"/>
      <c r="C224" s="324"/>
      <c r="D224" s="323"/>
      <c r="E224" s="323"/>
      <c r="F224" s="325"/>
      <c r="G224" s="325"/>
      <c r="H224" s="326"/>
      <c r="I224" s="238">
        <f>SUM(I28:I223)</f>
        <v>-12.120250687849373</v>
      </c>
      <c r="J224" s="239">
        <f>SUM(J28:J223)</f>
        <v>-4.8135805555670013</v>
      </c>
      <c r="K224" s="240">
        <f>SUM(K28:K223)</f>
        <v>-7.3066701322825711</v>
      </c>
      <c r="L224" s="327">
        <f>L223</f>
        <v>-12.120250687849373</v>
      </c>
      <c r="M224" s="328">
        <f>M223</f>
        <v>-4.8135805555670013</v>
      </c>
      <c r="N224" s="241">
        <f>SUM(N28:N223)</f>
        <v>-0.59900771972465883</v>
      </c>
      <c r="O224" s="239">
        <f>SUM(O28:O223)</f>
        <v>1.4349632593280148E-14</v>
      </c>
      <c r="P224" s="240">
        <f>SUM(P28:P223)</f>
        <v>-0.59900771972463385</v>
      </c>
      <c r="Q224" s="241">
        <f>Q223</f>
        <v>-0.59900771972465883</v>
      </c>
      <c r="R224" s="243">
        <f>R223</f>
        <v>1.4349632593280148E-14</v>
      </c>
      <c r="S224" s="329">
        <f>SUM(S28:S223)</f>
        <v>-11.521242968124856</v>
      </c>
      <c r="T224" s="239">
        <f>SUM(T28:T223)</f>
        <v>-4.8135805555669293</v>
      </c>
      <c r="U224" s="240">
        <f>SUM(U28:U223)</f>
        <v>-6.7076624125579336</v>
      </c>
      <c r="V224" s="245">
        <f>V223</f>
        <v>-11.521242968124856</v>
      </c>
      <c r="W224" s="241">
        <f>W223</f>
        <v>-4.8135805555669293</v>
      </c>
      <c r="X224" s="225">
        <f>SUM(X28:X223)</f>
        <v>8.1496757851514285</v>
      </c>
      <c r="Y224" s="226">
        <f>SUM(Y28:Y223)</f>
        <v>-19.670918753276254</v>
      </c>
      <c r="AB224" s="188"/>
      <c r="AC224" s="188"/>
    </row>
    <row r="225" spans="1:29" s="345" customFormat="1" ht="12" customHeight="1">
      <c r="A225" s="330"/>
      <c r="B225" s="331"/>
      <c r="C225" s="332"/>
      <c r="D225" s="333"/>
      <c r="E225" s="331"/>
      <c r="F225" s="334"/>
      <c r="G225" s="334"/>
      <c r="H225" s="335" t="s">
        <v>322</v>
      </c>
      <c r="I225" s="336">
        <f>DSUM(meterdataAS,I4,critttlrec)-I179</f>
        <v>713.85445987983076</v>
      </c>
      <c r="J225" s="337">
        <f>DSUM(meterdataAS,J4,critttlrec)-J179</f>
        <v>715.36830555725089</v>
      </c>
      <c r="K225" s="338">
        <f t="shared" ref="K225:K232" si="134">I225-J225</f>
        <v>-1.5138456774201359</v>
      </c>
      <c r="L225" s="339"/>
      <c r="M225" s="339"/>
      <c r="N225" s="340">
        <f>DSUM(meterdataAS,N4,critttlrec)-N179</f>
        <v>321.2785940530265</v>
      </c>
      <c r="O225" s="337">
        <f>DSUM(meterdataAS,O4,critttlrec)-O179</f>
        <v>318.69308611186648</v>
      </c>
      <c r="P225" s="341">
        <f t="shared" ref="P225:P232" si="135">N225-O225</f>
        <v>2.5855079411600173</v>
      </c>
      <c r="Q225" s="339"/>
      <c r="R225" s="342"/>
      <c r="S225" s="340">
        <f>DSUM(meterdataAS,S4,critttlrec)-S179</f>
        <v>392.57586582680386</v>
      </c>
      <c r="T225" s="337">
        <f>DSUM(meterdataAS,T4,critttlrec)-T179</f>
        <v>396.67521944538476</v>
      </c>
      <c r="U225" s="341">
        <f t="shared" ref="U225:U232" si="136">S225-T225</f>
        <v>-4.0993536185808921</v>
      </c>
      <c r="V225" s="339"/>
      <c r="W225" s="339"/>
      <c r="X225" s="343">
        <f>DSUM(meterdataAS,X4,critttlrec)-X179</f>
        <v>403.57698179309972</v>
      </c>
      <c r="Y225" s="344">
        <f>DSUM(meterdataAS,Y4,critttlrec)-Y179</f>
        <v>-11.001115966295835</v>
      </c>
      <c r="AB225" s="346"/>
      <c r="AC225" s="346"/>
    </row>
    <row r="226" spans="1:29" s="345" customFormat="1" ht="12" customHeight="1" thickBot="1">
      <c r="A226" s="330"/>
      <c r="B226" s="331"/>
      <c r="C226" s="332"/>
      <c r="D226" s="333"/>
      <c r="E226" s="331"/>
      <c r="F226" s="334"/>
      <c r="G226" s="334"/>
      <c r="H226" s="335" t="s">
        <v>323</v>
      </c>
      <c r="I226" s="347">
        <f>I179</f>
        <v>0</v>
      </c>
      <c r="J226" s="348">
        <f>J179</f>
        <v>0</v>
      </c>
      <c r="K226" s="349">
        <f t="shared" si="134"/>
        <v>0</v>
      </c>
      <c r="L226" s="339"/>
      <c r="M226" s="339"/>
      <c r="N226" s="350">
        <f>N179</f>
        <v>0</v>
      </c>
      <c r="O226" s="348">
        <f>O179</f>
        <v>0</v>
      </c>
      <c r="P226" s="351">
        <f t="shared" si="135"/>
        <v>0</v>
      </c>
      <c r="Q226" s="339"/>
      <c r="R226" s="342"/>
      <c r="S226" s="350">
        <f>S179</f>
        <v>0</v>
      </c>
      <c r="T226" s="348">
        <f>T179</f>
        <v>0</v>
      </c>
      <c r="U226" s="351">
        <f t="shared" si="136"/>
        <v>0</v>
      </c>
      <c r="V226" s="339"/>
      <c r="W226" s="339"/>
      <c r="X226" s="352">
        <f>X179</f>
        <v>0</v>
      </c>
      <c r="Y226" s="353">
        <f>Y179</f>
        <v>0</v>
      </c>
      <c r="AB226" s="346"/>
      <c r="AC226" s="346"/>
    </row>
    <row r="227" spans="1:29" s="345" customFormat="1" ht="12" customHeight="1">
      <c r="A227" s="330"/>
      <c r="B227" s="331"/>
      <c r="C227" s="332"/>
      <c r="D227" s="333"/>
      <c r="E227" s="331"/>
      <c r="F227" s="334"/>
      <c r="G227" s="334"/>
      <c r="H227" s="335" t="s">
        <v>324</v>
      </c>
      <c r="I227" s="354">
        <f>I225+I226</f>
        <v>713.85445987983076</v>
      </c>
      <c r="J227" s="355">
        <f>J225+J226</f>
        <v>715.36830555725089</v>
      </c>
      <c r="K227" s="356">
        <f t="shared" si="134"/>
        <v>-1.5138456774201359</v>
      </c>
      <c r="L227" s="339"/>
      <c r="M227" s="339"/>
      <c r="N227" s="357">
        <f>N225+N226</f>
        <v>321.2785940530265</v>
      </c>
      <c r="O227" s="355">
        <f>O225+O226</f>
        <v>318.69308611186648</v>
      </c>
      <c r="P227" s="358">
        <f t="shared" si="135"/>
        <v>2.5855079411600173</v>
      </c>
      <c r="Q227" s="339"/>
      <c r="R227" s="342"/>
      <c r="S227" s="357">
        <f>S225+S226</f>
        <v>392.57586582680386</v>
      </c>
      <c r="T227" s="355">
        <f>T225+T226</f>
        <v>396.67521944538476</v>
      </c>
      <c r="U227" s="358">
        <f t="shared" si="136"/>
        <v>-4.0993536185808921</v>
      </c>
      <c r="V227" s="339"/>
      <c r="W227" s="339"/>
      <c r="X227" s="359">
        <f>X225+X226</f>
        <v>403.57698179309972</v>
      </c>
      <c r="Y227" s="360">
        <f>Y225+Y226</f>
        <v>-11.001115966295835</v>
      </c>
      <c r="AB227" s="346"/>
      <c r="AC227" s="346"/>
    </row>
    <row r="228" spans="1:29" s="345" customFormat="1" ht="12" customHeight="1">
      <c r="A228" s="330"/>
      <c r="B228" s="331"/>
      <c r="C228" s="332"/>
      <c r="D228" s="333"/>
      <c r="E228" s="331"/>
      <c r="F228" s="334"/>
      <c r="G228" s="334"/>
      <c r="H228" s="335" t="s">
        <v>325</v>
      </c>
      <c r="I228" s="361">
        <f>DSUM(meterdataAS,I4,critttldel)-I180</f>
        <v>-713.58016709020501</v>
      </c>
      <c r="J228" s="362">
        <f>DSUM(meterdataAS,J4,critttldel)-J180</f>
        <v>-709.54021944612634</v>
      </c>
      <c r="K228" s="363">
        <f t="shared" si="134"/>
        <v>-4.0399476440786657</v>
      </c>
      <c r="L228" s="339"/>
      <c r="M228" s="339"/>
      <c r="N228" s="364">
        <f>DSUM(meterdataAS,N4,critttldel)-N180</f>
        <v>-321.87760177275118</v>
      </c>
      <c r="O228" s="362">
        <f>DSUM(meterdataAS,O4,critttldel)-O180</f>
        <v>-318.69308611186648</v>
      </c>
      <c r="P228" s="365">
        <f t="shared" si="135"/>
        <v>-3.1845156608846992</v>
      </c>
      <c r="Q228" s="339"/>
      <c r="R228" s="339"/>
      <c r="S228" s="364">
        <f>DSUM(meterdataAS,S4,critttldel)-S180</f>
        <v>-391.70256531745395</v>
      </c>
      <c r="T228" s="362">
        <f>DSUM(meterdataAS,T4,critttldel)-T180</f>
        <v>-390.84713333425981</v>
      </c>
      <c r="U228" s="365">
        <f t="shared" si="136"/>
        <v>-0.85543198319413705</v>
      </c>
      <c r="V228" s="339"/>
      <c r="W228" s="339"/>
      <c r="X228" s="343">
        <f>DSUM(meterdataAS,X4,critttldel)-X180</f>
        <v>-384.78563934125657</v>
      </c>
      <c r="Y228" s="344">
        <f>DSUM(meterdataAS,Y4,critttldel)-Y180</f>
        <v>-6.9169259761973141</v>
      </c>
      <c r="AB228" s="346"/>
      <c r="AC228" s="346"/>
    </row>
    <row r="229" spans="1:29" s="345" customFormat="1" ht="12" customHeight="1">
      <c r="A229" s="330"/>
      <c r="B229" s="331"/>
      <c r="C229" s="332"/>
      <c r="D229" s="333"/>
      <c r="E229" s="331"/>
      <c r="F229" s="334"/>
      <c r="G229" s="334"/>
      <c r="H229" s="335" t="s">
        <v>326</v>
      </c>
      <c r="I229" s="361">
        <f>I180</f>
        <v>-12.394543477474995</v>
      </c>
      <c r="J229" s="362">
        <f>J180</f>
        <v>-10.64166666669189</v>
      </c>
      <c r="K229" s="363">
        <f t="shared" si="134"/>
        <v>-1.7528768107831052</v>
      </c>
      <c r="L229" s="339"/>
      <c r="M229" s="339"/>
      <c r="N229" s="364">
        <f>N180</f>
        <v>0</v>
      </c>
      <c r="O229" s="362">
        <f>O180</f>
        <v>0</v>
      </c>
      <c r="P229" s="365">
        <f t="shared" si="135"/>
        <v>0</v>
      </c>
      <c r="Q229" s="339"/>
      <c r="R229" s="339"/>
      <c r="S229" s="364">
        <f>S180</f>
        <v>-12.394543477474995</v>
      </c>
      <c r="T229" s="362">
        <f>T180</f>
        <v>-10.64166666669189</v>
      </c>
      <c r="U229" s="365">
        <f t="shared" si="136"/>
        <v>-1.7528768107831052</v>
      </c>
      <c r="V229" s="339"/>
      <c r="W229" s="339"/>
      <c r="X229" s="343">
        <f>X180</f>
        <v>-10.64166666669189</v>
      </c>
      <c r="Y229" s="344">
        <f>Y180</f>
        <v>-1.7528768107831052</v>
      </c>
      <c r="AB229" s="346"/>
      <c r="AC229" s="346"/>
    </row>
    <row r="230" spans="1:29" s="345" customFormat="1" ht="12" customHeight="1" thickBot="1">
      <c r="A230" s="366"/>
      <c r="B230" s="367"/>
      <c r="C230" s="332"/>
      <c r="D230" s="333"/>
      <c r="E230" s="339"/>
      <c r="F230" s="368"/>
      <c r="G230" s="208"/>
      <c r="H230" s="369" t="s">
        <v>327</v>
      </c>
      <c r="I230" s="347">
        <f>DSUM(totalvolume,"Value",critfuel)*BTUDefault/-1000</f>
        <v>-0.68834924804999986</v>
      </c>
      <c r="J230" s="348"/>
      <c r="K230" s="349">
        <f t="shared" si="134"/>
        <v>-0.68834924804999986</v>
      </c>
      <c r="L230" s="339"/>
      <c r="M230" s="339"/>
      <c r="N230" s="350">
        <f>Fuel*uafhpl</f>
        <v>-0.30979967354716864</v>
      </c>
      <c r="O230" s="348"/>
      <c r="P230" s="351">
        <f t="shared" si="135"/>
        <v>-0.30979967354716864</v>
      </c>
      <c r="Q230" s="339"/>
      <c r="R230" s="339"/>
      <c r="S230" s="350">
        <f>Fuel*uafcig</f>
        <v>-0.37854957450283089</v>
      </c>
      <c r="T230" s="348"/>
      <c r="U230" s="351">
        <f t="shared" si="136"/>
        <v>-0.37854957450283089</v>
      </c>
      <c r="V230" s="339"/>
      <c r="W230" s="370"/>
      <c r="X230" s="371">
        <f>Fuel*uafcig</f>
        <v>-0.37854957450283089</v>
      </c>
      <c r="Y230" s="372"/>
      <c r="AB230" s="346"/>
      <c r="AC230" s="346"/>
    </row>
    <row r="231" spans="1:29" s="345" customFormat="1" ht="12" customHeight="1" thickBot="1">
      <c r="A231" s="330"/>
      <c r="B231" s="373"/>
      <c r="C231" s="332"/>
      <c r="D231" s="333"/>
      <c r="E231" s="331"/>
      <c r="F231" s="77"/>
      <c r="G231" s="334"/>
      <c r="H231" s="335" t="s">
        <v>328</v>
      </c>
      <c r="I231" s="374">
        <f>I228+I229+I230</f>
        <v>-726.66305981572998</v>
      </c>
      <c r="J231" s="375">
        <f>J228+J229+J230</f>
        <v>-720.18188611281823</v>
      </c>
      <c r="K231" s="376">
        <f t="shared" si="134"/>
        <v>-6.4811737029117467</v>
      </c>
      <c r="L231" s="339"/>
      <c r="M231" s="339"/>
      <c r="N231" s="377">
        <f>N228+N229+N230</f>
        <v>-322.18740144629834</v>
      </c>
      <c r="O231" s="375">
        <f>O228+O229+O230</f>
        <v>-318.69308611186648</v>
      </c>
      <c r="P231" s="378">
        <f t="shared" si="135"/>
        <v>-3.4943153344318603</v>
      </c>
      <c r="Q231" s="339"/>
      <c r="R231" s="339"/>
      <c r="S231" s="377">
        <f>S228+S229+S230</f>
        <v>-404.47565836943176</v>
      </c>
      <c r="T231" s="375">
        <f>T228+T229+T230</f>
        <v>-401.4888000009517</v>
      </c>
      <c r="U231" s="378">
        <f t="shared" si="136"/>
        <v>-2.9868583684800569</v>
      </c>
      <c r="V231" s="339"/>
      <c r="W231" s="339"/>
      <c r="X231" s="379">
        <f>X228+X229+X230</f>
        <v>-395.80585558245127</v>
      </c>
      <c r="Y231" s="380">
        <f>Y228+Y229+Y230</f>
        <v>-8.6698027869804193</v>
      </c>
      <c r="AB231" s="346"/>
      <c r="AC231" s="346"/>
    </row>
    <row r="232" spans="1:29" s="345" customFormat="1" ht="12" customHeight="1" thickTop="1" thickBot="1">
      <c r="A232" s="330"/>
      <c r="B232" s="373"/>
      <c r="C232" s="332"/>
      <c r="D232" s="335"/>
      <c r="E232" s="331"/>
      <c r="F232" s="334"/>
      <c r="G232" s="334"/>
      <c r="H232" s="335" t="s">
        <v>329</v>
      </c>
      <c r="I232" s="381">
        <f>I227+I231</f>
        <v>-12.808599935899224</v>
      </c>
      <c r="J232" s="382">
        <f>J227+J231</f>
        <v>-4.8135805555673414</v>
      </c>
      <c r="K232" s="383">
        <f t="shared" si="134"/>
        <v>-7.9950193803318825</v>
      </c>
      <c r="L232" s="339"/>
      <c r="M232" s="339"/>
      <c r="N232" s="384">
        <f>N227+N231</f>
        <v>-0.90880739327184301</v>
      </c>
      <c r="O232" s="385">
        <f>O227+O231</f>
        <v>0</v>
      </c>
      <c r="P232" s="386">
        <f t="shared" si="135"/>
        <v>-0.90880739327184301</v>
      </c>
      <c r="Q232" s="339"/>
      <c r="R232" s="339"/>
      <c r="S232" s="384">
        <f>S227+S231</f>
        <v>-11.899792542627893</v>
      </c>
      <c r="T232" s="385">
        <f>T227+T231</f>
        <v>-4.8135805555669435</v>
      </c>
      <c r="U232" s="386">
        <f t="shared" si="136"/>
        <v>-7.086211987060949</v>
      </c>
      <c r="V232" s="339"/>
      <c r="W232" s="339"/>
      <c r="X232" s="352">
        <f>X227+X231</f>
        <v>7.7711262106484469</v>
      </c>
      <c r="Y232" s="353">
        <f>Y227+Y231</f>
        <v>-19.670918753276254</v>
      </c>
      <c r="AB232" s="346"/>
      <c r="AC232" s="346"/>
    </row>
    <row r="233" spans="1:29" s="345" customFormat="1" ht="12" customHeight="1" thickTop="1" thickBot="1">
      <c r="A233" s="366"/>
      <c r="B233" s="387"/>
      <c r="C233" s="388"/>
      <c r="D233" s="389"/>
      <c r="E233" s="339"/>
      <c r="F233" s="390"/>
      <c r="G233" s="333"/>
      <c r="H233" s="391" t="s">
        <v>330</v>
      </c>
      <c r="I233" s="339">
        <f>LPChange</f>
        <v>-7.0301949352685824</v>
      </c>
      <c r="J233" s="339"/>
      <c r="K233" s="339"/>
      <c r="L233" s="339"/>
      <c r="M233" s="339"/>
      <c r="N233" s="339">
        <f>LPChange*uafhpl</f>
        <v>-3.1640219003492893</v>
      </c>
      <c r="O233" s="339"/>
      <c r="P233" s="339"/>
      <c r="Q233" s="339"/>
      <c r="R233" s="339"/>
      <c r="S233" s="339">
        <f>LPChange*uafcig</f>
        <v>-3.8661730349192891</v>
      </c>
      <c r="T233" s="339"/>
      <c r="U233" s="339"/>
      <c r="V233" s="339"/>
      <c r="W233" s="370"/>
      <c r="X233" s="392"/>
      <c r="Y233" s="392"/>
      <c r="AB233" s="346"/>
      <c r="AC233" s="346"/>
    </row>
    <row r="234" spans="1:29" s="406" customFormat="1" ht="12" customHeight="1">
      <c r="A234" s="393"/>
      <c r="B234" s="394"/>
      <c r="C234" s="393"/>
      <c r="D234" s="395"/>
      <c r="E234" s="396"/>
      <c r="F234" s="397"/>
      <c r="G234" s="397"/>
      <c r="H234" s="398" t="s">
        <v>331</v>
      </c>
      <c r="I234" s="399">
        <f>I233-I232</f>
        <v>5.7784050006306416</v>
      </c>
      <c r="J234" s="400">
        <f>I234/I227</f>
        <v>8.094654198284857E-3</v>
      </c>
      <c r="K234" s="401"/>
      <c r="L234" s="401"/>
      <c r="M234" s="401"/>
      <c r="N234" s="399">
        <f>N233-N232</f>
        <v>-2.2552145070774463</v>
      </c>
      <c r="O234" s="402">
        <f>N234/N227</f>
        <v>-7.0194981826434003E-3</v>
      </c>
      <c r="P234" s="401"/>
      <c r="Q234" s="401"/>
      <c r="R234" s="403"/>
      <c r="S234" s="399">
        <f>S233-S232</f>
        <v>8.0336195077086039</v>
      </c>
      <c r="T234" s="402">
        <f>S234/S227</f>
        <v>2.0463864967320396E-2</v>
      </c>
      <c r="U234" s="401"/>
      <c r="V234" s="401"/>
      <c r="W234" s="404"/>
      <c r="X234" s="401"/>
      <c r="Y234" s="405" t="str">
        <f>IF(Y235&gt;0,"Withdrawal",IF(Y235&lt;0,"Injection","N/A"))</f>
        <v>Injection</v>
      </c>
      <c r="AB234" s="407"/>
      <c r="AC234" s="407"/>
    </row>
    <row r="235" spans="1:29" s="406" customFormat="1" ht="12" customHeight="1" thickBot="1">
      <c r="A235" s="393"/>
      <c r="B235" s="408"/>
      <c r="C235" s="393"/>
      <c r="D235" s="409"/>
      <c r="E235" s="410"/>
      <c r="F235" s="411"/>
      <c r="G235" s="395"/>
      <c r="H235" s="398" t="s">
        <v>332</v>
      </c>
      <c r="I235" s="399">
        <f>LPack</f>
        <v>430.34580506473139</v>
      </c>
      <c r="J235" s="399"/>
      <c r="K235" s="401"/>
      <c r="L235" s="401"/>
      <c r="M235" s="401"/>
      <c r="N235" s="412"/>
      <c r="O235" s="401"/>
      <c r="P235" s="401"/>
      <c r="Q235" s="401"/>
      <c r="R235" s="403"/>
      <c r="S235" s="401"/>
      <c r="T235" s="401"/>
      <c r="U235" s="401"/>
      <c r="V235" s="401"/>
      <c r="W235" s="401"/>
      <c r="X235" s="413" t="s">
        <v>333</v>
      </c>
      <c r="Y235" s="414">
        <f>Y226+Y229</f>
        <v>-1.7528768107831052</v>
      </c>
      <c r="AB235" s="407"/>
      <c r="AC235" s="407"/>
    </row>
    <row r="236" spans="1:29" s="406" customFormat="1" ht="12" hidden="1" customHeight="1">
      <c r="A236" s="393"/>
      <c r="B236" s="415">
        <v>99802</v>
      </c>
      <c r="C236" s="393"/>
      <c r="D236" s="416" t="s">
        <v>334</v>
      </c>
      <c r="E236" s="410"/>
      <c r="F236" s="411"/>
      <c r="G236" s="395"/>
      <c r="H236" s="395"/>
      <c r="I236" s="399">
        <f>LP802b</f>
        <v>45.297991968332269</v>
      </c>
      <c r="J236" s="399"/>
      <c r="K236" s="401"/>
      <c r="L236" s="401"/>
      <c r="M236" s="401"/>
      <c r="N236" s="412"/>
      <c r="O236" s="401"/>
      <c r="P236" s="401"/>
      <c r="Q236" s="401"/>
      <c r="R236" s="403"/>
      <c r="S236" s="401"/>
      <c r="T236" s="401"/>
      <c r="U236" s="401"/>
      <c r="V236" s="401"/>
      <c r="W236" s="401"/>
      <c r="X236" s="413"/>
      <c r="Y236" s="417"/>
      <c r="AB236" s="407"/>
      <c r="AC236" s="407"/>
    </row>
    <row r="237" spans="1:29" s="406" customFormat="1" ht="12" hidden="1" customHeight="1">
      <c r="A237" s="393"/>
      <c r="B237" s="415">
        <v>99804</v>
      </c>
      <c r="C237" s="393"/>
      <c r="D237" s="416" t="s">
        <v>335</v>
      </c>
      <c r="E237" s="410"/>
      <c r="F237" s="411"/>
      <c r="G237" s="395"/>
      <c r="H237" s="395"/>
      <c r="I237" s="399">
        <f>LP804b</f>
        <v>50.128071547202275</v>
      </c>
      <c r="J237" s="399"/>
      <c r="K237" s="401"/>
      <c r="L237" s="401"/>
      <c r="M237" s="401"/>
      <c r="N237" s="412"/>
      <c r="O237" s="401"/>
      <c r="P237" s="401"/>
      <c r="Q237" s="401"/>
      <c r="R237" s="403"/>
      <c r="S237" s="401"/>
      <c r="T237" s="401"/>
      <c r="U237" s="401"/>
      <c r="V237" s="401"/>
      <c r="W237" s="401"/>
      <c r="X237" s="413"/>
      <c r="Y237" s="417"/>
      <c r="AB237" s="407"/>
      <c r="AC237" s="407"/>
    </row>
    <row r="238" spans="1:29" s="406" customFormat="1" ht="12" hidden="1" customHeight="1">
      <c r="A238" s="393"/>
      <c r="B238" s="415">
        <v>99806</v>
      </c>
      <c r="C238" s="393"/>
      <c r="D238" s="416" t="s">
        <v>336</v>
      </c>
      <c r="E238" s="410"/>
      <c r="F238" s="411"/>
      <c r="G238" s="395"/>
      <c r="H238" s="395"/>
      <c r="I238" s="399">
        <f>LP806b</f>
        <v>41.764310435083459</v>
      </c>
      <c r="J238" s="399"/>
      <c r="K238" s="401"/>
      <c r="L238" s="401"/>
      <c r="M238" s="401"/>
      <c r="N238" s="412"/>
      <c r="O238" s="401"/>
      <c r="P238" s="401"/>
      <c r="Q238" s="401"/>
      <c r="R238" s="403"/>
      <c r="S238" s="401"/>
      <c r="T238" s="401"/>
      <c r="U238" s="401"/>
      <c r="V238" s="401"/>
      <c r="W238" s="401"/>
      <c r="X238" s="413"/>
      <c r="Y238" s="417"/>
      <c r="AB238" s="407"/>
      <c r="AC238" s="407"/>
    </row>
    <row r="239" spans="1:29" s="406" customFormat="1" ht="12" hidden="1" customHeight="1">
      <c r="A239" s="393"/>
      <c r="B239" s="415">
        <v>99809</v>
      </c>
      <c r="C239" s="393"/>
      <c r="D239" s="416" t="s">
        <v>337</v>
      </c>
      <c r="E239" s="410"/>
      <c r="F239" s="411"/>
      <c r="G239" s="395"/>
      <c r="H239" s="395"/>
      <c r="I239" s="399">
        <f>LP809b</f>
        <v>74.610215144637721</v>
      </c>
      <c r="J239" s="399"/>
      <c r="K239" s="401"/>
      <c r="L239" s="401"/>
      <c r="M239" s="401"/>
      <c r="N239" s="412"/>
      <c r="O239" s="401"/>
      <c r="P239" s="401"/>
      <c r="Q239" s="401"/>
      <c r="R239" s="403"/>
      <c r="S239" s="401"/>
      <c r="T239" s="401"/>
      <c r="U239" s="401"/>
      <c r="V239" s="401"/>
      <c r="W239" s="401"/>
      <c r="X239" s="413"/>
      <c r="Y239" s="417"/>
      <c r="AB239" s="407"/>
      <c r="AC239" s="407"/>
    </row>
    <row r="240" spans="1:29" s="406" customFormat="1" ht="12" hidden="1" customHeight="1">
      <c r="A240" s="393"/>
      <c r="B240" s="415">
        <v>99812</v>
      </c>
      <c r="C240" s="393"/>
      <c r="D240" s="416" t="s">
        <v>338</v>
      </c>
      <c r="E240" s="410"/>
      <c r="F240" s="411"/>
      <c r="G240" s="395"/>
      <c r="H240" s="395"/>
      <c r="I240" s="399">
        <f>LP812b</f>
        <v>74.72076112868541</v>
      </c>
      <c r="J240" s="399"/>
      <c r="K240" s="401"/>
      <c r="L240" s="401"/>
      <c r="M240" s="401"/>
      <c r="N240" s="412"/>
      <c r="O240" s="401"/>
      <c r="P240" s="401"/>
      <c r="Q240" s="401"/>
      <c r="R240" s="403"/>
      <c r="S240" s="401"/>
      <c r="T240" s="401"/>
      <c r="U240" s="401"/>
      <c r="V240" s="401"/>
      <c r="W240" s="401"/>
      <c r="X240" s="413"/>
      <c r="Y240" s="417"/>
      <c r="AB240" s="407"/>
      <c r="AC240" s="407"/>
    </row>
    <row r="241" spans="1:29" s="406" customFormat="1" ht="12" hidden="1" customHeight="1">
      <c r="A241" s="393"/>
      <c r="B241" s="415">
        <v>99814</v>
      </c>
      <c r="C241" s="393"/>
      <c r="D241" s="416" t="s">
        <v>339</v>
      </c>
      <c r="E241" s="410"/>
      <c r="F241" s="411"/>
      <c r="G241" s="395"/>
      <c r="H241" s="395"/>
      <c r="I241" s="399">
        <f>LP8141Ab</f>
        <v>34.860543620570716</v>
      </c>
      <c r="J241" s="399"/>
      <c r="K241" s="401"/>
      <c r="L241" s="401"/>
      <c r="M241" s="401"/>
      <c r="N241" s="412"/>
      <c r="O241" s="401"/>
      <c r="P241" s="401"/>
      <c r="Q241" s="401"/>
      <c r="R241" s="403"/>
      <c r="S241" s="401"/>
      <c r="T241" s="401"/>
      <c r="U241" s="401"/>
      <c r="V241" s="401"/>
      <c r="W241" s="401"/>
      <c r="X241" s="413"/>
      <c r="Y241" s="417"/>
      <c r="AB241" s="407"/>
      <c r="AC241" s="407"/>
    </row>
    <row r="242" spans="1:29" s="406" customFormat="1" ht="12" hidden="1" customHeight="1">
      <c r="A242" s="393"/>
      <c r="B242" s="415">
        <v>99820</v>
      </c>
      <c r="C242" s="393"/>
      <c r="D242" s="416" t="s">
        <v>340</v>
      </c>
      <c r="E242" s="410"/>
      <c r="F242" s="411"/>
      <c r="G242" s="395"/>
      <c r="H242" s="395"/>
      <c r="I242" s="399">
        <f>LPsabineb</f>
        <v>108.96391122021957</v>
      </c>
      <c r="J242" s="399"/>
      <c r="K242" s="401"/>
      <c r="L242" s="401"/>
      <c r="M242" s="401"/>
      <c r="N242" s="412"/>
      <c r="O242" s="401"/>
      <c r="P242" s="401"/>
      <c r="Q242" s="401"/>
      <c r="R242" s="403"/>
      <c r="S242" s="401"/>
      <c r="T242" s="401"/>
      <c r="U242" s="401"/>
      <c r="V242" s="401"/>
      <c r="W242" s="401"/>
      <c r="X242" s="413"/>
      <c r="Y242" s="417"/>
      <c r="AB242" s="407"/>
      <c r="AC242" s="407"/>
    </row>
    <row r="243" spans="1:29" s="406" customFormat="1" ht="12" hidden="1" customHeight="1">
      <c r="A243" s="393"/>
      <c r="B243" s="415">
        <v>49990</v>
      </c>
      <c r="C243" s="393"/>
      <c r="D243" s="416" t="s">
        <v>327</v>
      </c>
      <c r="E243" s="410"/>
      <c r="F243" s="411"/>
      <c r="G243" s="395"/>
      <c r="H243" s="395"/>
      <c r="I243" s="399">
        <f>Fuel</f>
        <v>-0.68834924804999986</v>
      </c>
      <c r="J243" s="399"/>
      <c r="K243" s="401"/>
      <c r="L243" s="401"/>
      <c r="M243" s="401"/>
      <c r="N243" s="412"/>
      <c r="O243" s="401"/>
      <c r="P243" s="401"/>
      <c r="Q243" s="401"/>
      <c r="R243" s="403"/>
      <c r="S243" s="401"/>
      <c r="T243" s="401"/>
      <c r="U243" s="401"/>
      <c r="V243" s="401"/>
      <c r="W243" s="401"/>
      <c r="X243" s="413"/>
      <c r="Y243" s="417"/>
      <c r="AB243" s="407"/>
      <c r="AC243" s="407"/>
    </row>
    <row r="244" spans="1:29" s="406" customFormat="1" ht="12" hidden="1" customHeight="1">
      <c r="A244" s="393"/>
      <c r="B244" s="415">
        <v>99995</v>
      </c>
      <c r="C244" s="393"/>
      <c r="D244" s="416" t="s">
        <v>341</v>
      </c>
      <c r="E244" s="410"/>
      <c r="F244" s="411"/>
      <c r="G244" s="395"/>
      <c r="H244" s="395"/>
      <c r="I244" s="399">
        <f>I233</f>
        <v>-7.0301949352685824</v>
      </c>
      <c r="J244" s="399"/>
      <c r="K244" s="401"/>
      <c r="L244" s="401"/>
      <c r="M244" s="401"/>
      <c r="N244" s="412"/>
      <c r="O244" s="401"/>
      <c r="P244" s="401"/>
      <c r="Q244" s="401"/>
      <c r="R244" s="403"/>
      <c r="S244" s="401"/>
      <c r="T244" s="401"/>
      <c r="U244" s="401"/>
      <c r="V244" s="401"/>
      <c r="W244" s="401"/>
      <c r="X244" s="413"/>
      <c r="Y244" s="417"/>
      <c r="AB244" s="407"/>
      <c r="AC244" s="407"/>
    </row>
    <row r="245" spans="1:29" s="406" customFormat="1" ht="12" hidden="1" customHeight="1">
      <c r="A245" s="393"/>
      <c r="B245" s="415">
        <v>99999</v>
      </c>
      <c r="C245" s="393"/>
      <c r="D245" s="416" t="s">
        <v>18</v>
      </c>
      <c r="E245" s="410"/>
      <c r="F245" s="411"/>
      <c r="G245" s="395"/>
      <c r="H245" s="395"/>
      <c r="I245" s="399">
        <f>I235</f>
        <v>430.34580506473139</v>
      </c>
      <c r="J245" s="399"/>
      <c r="K245" s="401"/>
      <c r="L245" s="401"/>
      <c r="M245" s="401"/>
      <c r="N245" s="412"/>
      <c r="O245" s="401"/>
      <c r="P245" s="401"/>
      <c r="Q245" s="401"/>
      <c r="R245" s="403"/>
      <c r="S245" s="401"/>
      <c r="T245" s="401"/>
      <c r="U245" s="401"/>
      <c r="V245" s="401"/>
      <c r="W245" s="401"/>
      <c r="X245" s="413"/>
      <c r="Y245" s="417"/>
      <c r="AB245" s="407"/>
      <c r="AC245" s="407"/>
    </row>
    <row r="246" spans="1:29" s="345" customFormat="1" ht="12" hidden="1" customHeight="1">
      <c r="A246" s="418"/>
      <c r="B246" s="419">
        <v>56031</v>
      </c>
      <c r="C246" s="333"/>
      <c r="D246" s="74" t="s">
        <v>342</v>
      </c>
      <c r="E246" s="419"/>
      <c r="F246" s="125"/>
      <c r="G246" s="175">
        <f>BTUDefault</f>
        <v>1.0249999999999999</v>
      </c>
      <c r="H246" s="333"/>
      <c r="I246" s="67">
        <f>(VLOOKUP(56006,totalvolume,2,FALSE)-(VLOOKUP(56031,totalvolume,2,FALSE)))*BTUDefault/1000</f>
        <v>49.429732122499999</v>
      </c>
      <c r="J246" s="420"/>
      <c r="K246" s="420"/>
      <c r="L246" s="420"/>
      <c r="M246" s="420"/>
      <c r="N246" s="420"/>
      <c r="O246" s="420"/>
      <c r="P246" s="420"/>
      <c r="Q246" s="420"/>
      <c r="R246" s="342"/>
      <c r="S246" s="420"/>
      <c r="T246" s="420"/>
      <c r="U246" s="420"/>
      <c r="V246" s="420"/>
      <c r="W246" s="420"/>
      <c r="X246" s="421"/>
      <c r="Y246" s="421"/>
      <c r="AB246" s="346"/>
      <c r="AC246" s="346"/>
    </row>
    <row r="247" spans="1:29" s="345" customFormat="1" ht="12" hidden="1" customHeight="1">
      <c r="A247" s="418"/>
      <c r="B247" s="419">
        <v>56039</v>
      </c>
      <c r="C247" s="333"/>
      <c r="D247" s="74" t="s">
        <v>343</v>
      </c>
      <c r="E247" s="419"/>
      <c r="F247" s="125"/>
      <c r="G247" s="175">
        <f>BTUDefault</f>
        <v>1.0249999999999999</v>
      </c>
      <c r="H247" s="333"/>
      <c r="I247" s="67">
        <f>(VLOOKUP(56039,totalvolume,2,FALSE)-(VLOOKUP(56040,totalvolume,2,FALSE)))*BTUDefault/1000</f>
        <v>357.52150572499994</v>
      </c>
      <c r="J247" s="420"/>
      <c r="K247" s="420"/>
      <c r="L247" s="420"/>
      <c r="M247" s="420"/>
      <c r="N247" s="420"/>
      <c r="O247" s="420"/>
      <c r="P247" s="420"/>
      <c r="Q247" s="420"/>
      <c r="R247" s="342"/>
      <c r="S247" s="420"/>
      <c r="T247" s="420"/>
      <c r="U247" s="420"/>
      <c r="V247" s="420"/>
      <c r="W247" s="420"/>
      <c r="X247" s="421"/>
      <c r="Y247" s="421"/>
      <c r="AB247" s="346"/>
      <c r="AC247" s="346"/>
    </row>
    <row r="248" spans="1:29" s="345" customFormat="1" ht="12" hidden="1" customHeight="1">
      <c r="A248" s="418"/>
      <c r="B248" s="419">
        <v>56041</v>
      </c>
      <c r="C248" s="333"/>
      <c r="D248" s="74" t="s">
        <v>344</v>
      </c>
      <c r="E248" s="419"/>
      <c r="F248" s="125"/>
      <c r="G248" s="175">
        <f>BTUDefault</f>
        <v>1.0249999999999999</v>
      </c>
      <c r="H248" s="333"/>
      <c r="I248" s="67">
        <f>(VLOOKUP(56041,totalvolume,2,FALSE)-(VLOOKUP(56042,totalvolume,2,FALSE)))*BTUDefault/1000</f>
        <v>-19.268666194765</v>
      </c>
      <c r="J248" s="420"/>
      <c r="K248" s="420"/>
      <c r="L248" s="420"/>
      <c r="M248" s="420"/>
      <c r="N248" s="420"/>
      <c r="O248" s="420"/>
      <c r="P248" s="420"/>
      <c r="Q248" s="420"/>
      <c r="R248" s="342"/>
      <c r="S248" s="420"/>
      <c r="T248" s="420"/>
      <c r="U248" s="420"/>
      <c r="V248" s="420"/>
      <c r="W248" s="420"/>
      <c r="X248" s="421"/>
      <c r="Y248" s="421"/>
      <c r="AB248" s="346"/>
      <c r="AC248" s="346"/>
    </row>
    <row r="249" spans="1:29" s="345" customFormat="1" ht="12" hidden="1" customHeight="1">
      <c r="A249" s="418"/>
      <c r="B249" s="419">
        <v>56043</v>
      </c>
      <c r="C249" s="333"/>
      <c r="D249" s="74" t="s">
        <v>345</v>
      </c>
      <c r="E249" s="419"/>
      <c r="F249" s="125"/>
      <c r="G249" s="175">
        <f>BTUDefault</f>
        <v>1.0249999999999999</v>
      </c>
      <c r="H249" s="333"/>
      <c r="I249" s="67">
        <f>(VLOOKUP(56043,totalvolume,2,FALSE)-(VLOOKUP(56044,totalvolume,2,FALSE)))*BTUDefault/1000</f>
        <v>271.91017447499996</v>
      </c>
      <c r="J249" s="420"/>
      <c r="K249" s="420"/>
      <c r="L249" s="420"/>
      <c r="M249" s="420"/>
      <c r="N249" s="420"/>
      <c r="O249" s="420"/>
      <c r="P249" s="420"/>
      <c r="Q249" s="420"/>
      <c r="R249" s="342"/>
      <c r="S249" s="420"/>
      <c r="T249" s="420"/>
      <c r="U249" s="420"/>
      <c r="V249" s="420"/>
      <c r="W249" s="420"/>
      <c r="X249" s="421"/>
      <c r="Y249" s="421"/>
      <c r="AB249" s="346"/>
      <c r="AC249" s="346"/>
    </row>
    <row r="250" spans="1:29" s="345" customFormat="1" ht="13.2" hidden="1" customHeight="1">
      <c r="A250" s="418"/>
      <c r="B250" s="419">
        <v>6148</v>
      </c>
      <c r="C250" s="333"/>
      <c r="D250" s="74" t="s">
        <v>346</v>
      </c>
      <c r="E250" s="419"/>
      <c r="F250" s="125"/>
      <c r="G250" s="175">
        <f>VLOOKUP($B250,BTU,2,FALSE)/1000</f>
        <v>1.0109840699999999</v>
      </c>
      <c r="H250" s="176" t="str">
        <f>VLOOKUP($B250,spotdata,3,FALSE)</f>
        <v xml:space="preserve">    </v>
      </c>
      <c r="I250" s="199">
        <f>IF(VLOOKUP($B250,errordata,3,FALSE)="UNAV",J250*POLLHOURSFLOWED,IF(LEFT(B250,1)="1",VLOOKUP($B250,totalvolume,2,FALSE)*G250/1000,VLOOKUP($B250,totalvolume,2,FALSE)*G250/1000*-1))</f>
        <v>-13.667593325359299</v>
      </c>
      <c r="J250" s="420">
        <f>IF(LEFT(B250,1)="1",VLOOKUP(B250,Cigsch,2,FALSE)/1000,VLOOKUP(B250,Cigsch,2,FALSE)/1000*-1)*POLLHOURSFLOWED</f>
        <v>-35.4722222223063</v>
      </c>
      <c r="K250" s="420"/>
      <c r="L250" s="420"/>
      <c r="M250" s="420"/>
      <c r="N250" s="420"/>
      <c r="O250" s="420"/>
      <c r="P250" s="420"/>
      <c r="Q250" s="420"/>
      <c r="R250" s="342"/>
      <c r="S250" s="420"/>
      <c r="T250" s="420"/>
      <c r="U250" s="420"/>
      <c r="V250" s="420"/>
      <c r="W250" s="420"/>
      <c r="X250" s="421"/>
      <c r="Y250" s="421"/>
      <c r="AB250" s="346"/>
      <c r="AC250" s="346"/>
    </row>
    <row r="251" spans="1:29" s="345" customFormat="1" ht="12" hidden="1" customHeight="1">
      <c r="A251" s="418"/>
      <c r="B251" s="419">
        <v>11159</v>
      </c>
      <c r="C251" s="333"/>
      <c r="D251" s="74" t="s">
        <v>347</v>
      </c>
      <c r="E251" s="419"/>
      <c r="F251" s="125"/>
      <c r="G251" s="175">
        <f>VLOOKUP($B251,BTU,2,FALSE)/1000</f>
        <v>1.018</v>
      </c>
      <c r="H251" s="176" t="str">
        <f>VLOOKUP($B251,spotdata,3,FALSE)</f>
        <v xml:space="preserve">    </v>
      </c>
      <c r="I251" s="210">
        <f>IF(VLOOKUP($B251,errordata,3,FALSE)="UNAV",J251*POLLHOURSFLOWED,IF(LEFT(B251,1)="1",VLOOKUP($B251,totalvolume,2,FALSE)*G251/1000,VLOOKUP($B251,totalvolume,2,FALSE)*G251/1000*-1))*-1</f>
        <v>0</v>
      </c>
      <c r="J251" s="422">
        <f>VLOOKUP(26194,Cigsch,2,FALSE)/-1000*POLLHOURSFLOWED</f>
        <v>0</v>
      </c>
      <c r="K251" s="420"/>
      <c r="L251" s="420"/>
      <c r="M251" s="420"/>
      <c r="N251" s="420"/>
      <c r="O251" s="420"/>
      <c r="P251" s="420"/>
      <c r="Q251" s="420"/>
      <c r="R251" s="342"/>
      <c r="S251" s="420"/>
      <c r="T251" s="420"/>
      <c r="U251" s="420"/>
      <c r="V251" s="420"/>
      <c r="W251" s="420"/>
      <c r="X251" s="421"/>
      <c r="Y251" s="421"/>
      <c r="AB251" s="346"/>
      <c r="AC251" s="346"/>
    </row>
    <row r="252" spans="1:29" s="345" customFormat="1" ht="12" hidden="1" customHeight="1">
      <c r="A252" s="418"/>
      <c r="B252" s="419">
        <v>16338</v>
      </c>
      <c r="C252" s="333"/>
      <c r="D252" s="74" t="s">
        <v>348</v>
      </c>
      <c r="E252" s="419"/>
      <c r="F252" s="125"/>
      <c r="G252" s="175">
        <f>VLOOKUP($B252,BTU,2,FALSE)/1000</f>
        <v>0.99099999999999999</v>
      </c>
      <c r="H252" s="176" t="str">
        <f>VLOOKUP($B252,spotdata,3,FALSE)</f>
        <v xml:space="preserve">    </v>
      </c>
      <c r="I252" s="199">
        <f>IF(VLOOKUP($B252,errordata,3,FALSE)="UNAV",J252*POLLHOURSFLOWED,IF(LEFT(B252,1)="1",VLOOKUP($B252,totalvolume,2,FALSE)*G252/1000,VLOOKUP($B252,totalvolume,2,FALSE)*G252/1000*-1))</f>
        <v>14.2784750644</v>
      </c>
      <c r="J252" s="420">
        <f>IF(LEFT(B252,1)="1",VLOOKUP(B252,Cigsch,2,FALSE)/1000,VLOOKUP(B252,Cigsch,2,FALSE)/1000*-1)*POLLHOURSFLOWED</f>
        <v>0</v>
      </c>
      <c r="K252" s="420"/>
      <c r="L252" s="420"/>
      <c r="M252" s="420"/>
      <c r="N252" s="420"/>
      <c r="O252" s="420"/>
      <c r="P252" s="420"/>
      <c r="Q252" s="420"/>
      <c r="R252" s="342"/>
      <c r="S252" s="420"/>
      <c r="T252" s="420"/>
      <c r="U252" s="420"/>
      <c r="V252" s="420"/>
      <c r="W252" s="420"/>
      <c r="X252" s="421"/>
      <c r="Y252" s="421"/>
      <c r="AB252" s="346"/>
      <c r="AC252" s="346"/>
    </row>
    <row r="253" spans="1:29" s="345" customFormat="1" ht="12" hidden="1" customHeight="1">
      <c r="A253" s="418"/>
      <c r="B253" s="419">
        <v>56015</v>
      </c>
      <c r="C253" s="333"/>
      <c r="D253" s="74" t="s">
        <v>349</v>
      </c>
      <c r="E253" s="419"/>
      <c r="F253" s="125"/>
      <c r="G253" s="175">
        <f>VLOOKUP($B253,BTU,2,FALSE)/1000</f>
        <v>1.0109840699999999</v>
      </c>
      <c r="H253" s="176" t="str">
        <f>VLOOKUP($B253,spotdata,3,FALSE)</f>
        <v xml:space="preserve">    </v>
      </c>
      <c r="I253" s="199">
        <f>IF(VLOOKUP($B253,errordata,3,FALSE)="UNAV",J253*POLLHOURSFLOWED,IF(LEFT(B253,1)="1",VLOOKUP($B253,totalvolume,2,FALSE)*G253/1000,VLOOKUP($B253,totalvolume,2,FALSE)*G253/1000*-1))</f>
        <v>-13.775722216680487</v>
      </c>
      <c r="J253" s="420"/>
      <c r="K253" s="420"/>
      <c r="L253" s="420"/>
      <c r="M253" s="420"/>
      <c r="N253" s="420"/>
      <c r="O253" s="420"/>
      <c r="P253" s="420"/>
      <c r="Q253" s="420"/>
      <c r="R253" s="342"/>
      <c r="S253" s="420"/>
      <c r="T253" s="420"/>
      <c r="U253" s="420"/>
      <c r="V253" s="420"/>
      <c r="W253" s="420"/>
      <c r="X253" s="421"/>
      <c r="Y253" s="421"/>
      <c r="AB253" s="346"/>
      <c r="AC253" s="346"/>
    </row>
    <row r="254" spans="1:29" s="345" customFormat="1" ht="12" hidden="1" customHeight="1">
      <c r="A254" s="418"/>
      <c r="B254" s="419">
        <v>56032</v>
      </c>
      <c r="C254" s="333"/>
      <c r="D254" s="74" t="s">
        <v>350</v>
      </c>
      <c r="E254" s="419"/>
      <c r="F254" s="125"/>
      <c r="G254" s="175">
        <f>VLOOKUP($B254,BTU,2,FALSE)/1000</f>
        <v>1.018</v>
      </c>
      <c r="H254" s="176" t="str">
        <f>VLOOKUP($B254,spotdata,3,FALSE)</f>
        <v xml:space="preserve">    </v>
      </c>
      <c r="I254" s="210">
        <f>IF(VLOOKUP($B254,errordata,3,FALSE)="UNAV",J254*POLLHOURSFLOWED,IF(LEFT(B254,1)="1",VLOOKUP($B254,totalvolume,2,FALSE)*G254/1000,VLOOKUP($B254,totalvolume,2,FALSE)*G254/1000))</f>
        <v>46.263817274000004</v>
      </c>
      <c r="J254" s="420"/>
      <c r="K254" s="420"/>
      <c r="L254" s="420"/>
      <c r="M254" s="420"/>
      <c r="N254" s="420"/>
      <c r="O254" s="420"/>
      <c r="P254" s="420"/>
      <c r="Q254" s="420"/>
      <c r="R254" s="342"/>
      <c r="S254" s="420"/>
      <c r="T254" s="420"/>
      <c r="U254" s="420"/>
      <c r="V254" s="420"/>
      <c r="W254" s="420"/>
      <c r="X254" s="421"/>
      <c r="Y254" s="421"/>
      <c r="AB254" s="346"/>
      <c r="AC254" s="346"/>
    </row>
    <row r="255" spans="1:29" s="345" customFormat="1" ht="12" hidden="1" customHeight="1">
      <c r="A255" s="418"/>
      <c r="B255" s="419">
        <v>626083</v>
      </c>
      <c r="C255" s="333"/>
      <c r="D255" s="74" t="s">
        <v>351</v>
      </c>
      <c r="E255" s="419"/>
      <c r="F255" s="125"/>
      <c r="G255" s="175"/>
      <c r="H255" s="333"/>
      <c r="I255" s="423">
        <f>VLOOKUP(" 26083-GT  ",misc,2,FALSE)</f>
        <v>79.712676999999999</v>
      </c>
      <c r="J255" s="420"/>
      <c r="K255" s="420"/>
      <c r="L255" s="420"/>
      <c r="M255" s="420"/>
      <c r="N255" s="420"/>
      <c r="O255" s="420"/>
      <c r="P255" s="420"/>
      <c r="Q255" s="420"/>
      <c r="R255" s="342"/>
      <c r="S255" s="420"/>
      <c r="T255" s="420"/>
      <c r="U255" s="420"/>
      <c r="V255" s="420"/>
      <c r="W255" s="420"/>
      <c r="X255" s="421"/>
      <c r="Y255" s="421"/>
      <c r="AB255" s="346"/>
      <c r="AC255" s="346"/>
    </row>
    <row r="256" spans="1:29" s="345" customFormat="1" ht="12" hidden="1" customHeight="1">
      <c r="A256" s="418"/>
      <c r="B256" s="419">
        <v>616340</v>
      </c>
      <c r="C256" s="333"/>
      <c r="D256" s="74" t="s">
        <v>352</v>
      </c>
      <c r="E256" s="419"/>
      <c r="F256" s="125"/>
      <c r="G256" s="175"/>
      <c r="H256" s="333"/>
      <c r="I256" s="423">
        <f>VLOOKUP(" 16340-GT  ",misc,2,FALSE)</f>
        <v>0</v>
      </c>
      <c r="J256" s="420"/>
      <c r="K256" s="420"/>
      <c r="L256" s="420"/>
      <c r="M256" s="420"/>
      <c r="N256" s="420"/>
      <c r="O256" s="420"/>
      <c r="P256" s="420"/>
      <c r="Q256" s="420"/>
      <c r="R256" s="342"/>
      <c r="S256" s="420"/>
      <c r="T256" s="420"/>
      <c r="U256" s="420"/>
      <c r="V256" s="420"/>
      <c r="W256" s="420"/>
      <c r="X256" s="421"/>
      <c r="Y256" s="421"/>
      <c r="AB256" s="346"/>
      <c r="AC256" s="346"/>
    </row>
    <row r="257" spans="1:29" s="345" customFormat="1" ht="12" hidden="1" customHeight="1">
      <c r="A257" s="418"/>
      <c r="B257" s="419">
        <v>608042</v>
      </c>
      <c r="C257" s="333"/>
      <c r="D257" s="74" t="s">
        <v>353</v>
      </c>
      <c r="E257" s="419"/>
      <c r="F257" s="125"/>
      <c r="G257" s="175"/>
      <c r="H257" s="333"/>
      <c r="I257" s="423">
        <f>VLOOKUP(" 804-DT    ",misc,2,FALSE)</f>
        <v>-5.8000002000000004</v>
      </c>
      <c r="J257" s="420"/>
      <c r="K257" s="420"/>
      <c r="L257" s="420"/>
      <c r="M257" s="420"/>
      <c r="N257" s="420"/>
      <c r="O257" s="420"/>
      <c r="P257" s="420"/>
      <c r="Q257" s="420"/>
      <c r="R257" s="342"/>
      <c r="S257" s="420"/>
      <c r="T257" s="420"/>
      <c r="U257" s="420"/>
      <c r="V257" s="420"/>
      <c r="W257" s="420"/>
      <c r="X257" s="421"/>
      <c r="Y257" s="421"/>
      <c r="AB257" s="346"/>
      <c r="AC257" s="346"/>
    </row>
    <row r="258" spans="1:29" s="345" customFormat="1" ht="12" hidden="1" customHeight="1">
      <c r="A258" s="418"/>
      <c r="B258" s="419">
        <v>608061</v>
      </c>
      <c r="C258" s="333"/>
      <c r="D258" s="74" t="s">
        <v>354</v>
      </c>
      <c r="E258" s="419"/>
      <c r="F258" s="125"/>
      <c r="G258" s="175"/>
      <c r="H258" s="333"/>
      <c r="I258" s="423">
        <f>VLOOKUP("CIG806_ST_MLSUCT_TEMP",rngPomsData,2,FALSE)</f>
        <v>82.487899999999996</v>
      </c>
      <c r="J258" s="420"/>
      <c r="K258" s="420"/>
      <c r="L258" s="420"/>
      <c r="M258" s="420"/>
      <c r="N258" s="420"/>
      <c r="O258" s="420"/>
      <c r="P258" s="420"/>
      <c r="Q258" s="420"/>
      <c r="R258" s="342"/>
      <c r="S258" s="420"/>
      <c r="T258" s="420"/>
      <c r="U258" s="420"/>
      <c r="V258" s="420"/>
      <c r="W258" s="420"/>
      <c r="X258" s="421"/>
      <c r="Y258" s="421"/>
      <c r="AB258" s="346"/>
      <c r="AC258" s="346"/>
    </row>
    <row r="259" spans="1:29" s="345" customFormat="1" ht="12" hidden="1" customHeight="1">
      <c r="A259" s="418"/>
      <c r="B259" s="419">
        <v>608062</v>
      </c>
      <c r="C259" s="333"/>
      <c r="D259" s="74" t="s">
        <v>355</v>
      </c>
      <c r="E259" s="419"/>
      <c r="F259" s="125"/>
      <c r="G259" s="175"/>
      <c r="H259" s="333"/>
      <c r="I259" s="423">
        <f>VLOOKUP("CIG806_ST_MLDISCH_TEMP",rngPomsData,2,FALSE)</f>
        <v>117.204002</v>
      </c>
      <c r="J259" s="420"/>
      <c r="K259" s="420"/>
      <c r="L259" s="420"/>
      <c r="M259" s="420"/>
      <c r="N259" s="420"/>
      <c r="O259" s="420"/>
      <c r="P259" s="420"/>
      <c r="Q259" s="420"/>
      <c r="R259" s="342"/>
      <c r="S259" s="420"/>
      <c r="T259" s="420"/>
      <c r="U259" s="420"/>
      <c r="V259" s="420"/>
      <c r="W259" s="420"/>
      <c r="X259" s="421"/>
      <c r="Y259" s="421"/>
      <c r="AB259" s="346"/>
      <c r="AC259" s="346"/>
    </row>
    <row r="260" spans="1:29" s="345" customFormat="1" ht="12" hidden="1" customHeight="1">
      <c r="A260" s="418"/>
      <c r="B260" s="419">
        <v>608091</v>
      </c>
      <c r="C260" s="333"/>
      <c r="D260" s="74" t="s">
        <v>356</v>
      </c>
      <c r="E260" s="419"/>
      <c r="F260" s="125"/>
      <c r="G260" s="175"/>
      <c r="H260" s="333"/>
      <c r="I260" s="423">
        <f>VLOOKUP("CIG809_ST_MLSUCT_TEMP",rngPomsData,2,FALSE)</f>
        <v>85.362899999999996</v>
      </c>
      <c r="J260" s="420"/>
      <c r="K260" s="420"/>
      <c r="L260" s="420"/>
      <c r="M260" s="420"/>
      <c r="N260" s="420"/>
      <c r="O260" s="420"/>
      <c r="P260" s="420"/>
      <c r="Q260" s="420"/>
      <c r="R260" s="342"/>
      <c r="S260" s="420"/>
      <c r="T260" s="420"/>
      <c r="U260" s="420"/>
      <c r="V260" s="420"/>
      <c r="W260" s="420"/>
      <c r="X260" s="421"/>
      <c r="Y260" s="421"/>
      <c r="AB260" s="346"/>
      <c r="AC260" s="346"/>
    </row>
    <row r="261" spans="1:29" s="345" customFormat="1" ht="12" hidden="1" customHeight="1">
      <c r="A261" s="418"/>
      <c r="B261" s="419">
        <v>608092</v>
      </c>
      <c r="C261" s="333"/>
      <c r="D261" s="74" t="s">
        <v>357</v>
      </c>
      <c r="E261" s="419"/>
      <c r="F261" s="125"/>
      <c r="G261" s="175"/>
      <c r="H261" s="333"/>
      <c r="I261" s="423">
        <f>VLOOKUP("CIG809_ST_MLDISCH_TEMP",rngPomsData,2,FALSE)</f>
        <v>84.801299999999998</v>
      </c>
      <c r="J261" s="420"/>
      <c r="K261" s="420"/>
      <c r="L261" s="420"/>
      <c r="M261" s="420"/>
      <c r="N261" s="420"/>
      <c r="O261" s="420"/>
      <c r="P261" s="420"/>
      <c r="Q261" s="420"/>
      <c r="R261" s="342"/>
      <c r="S261" s="420"/>
      <c r="T261" s="420"/>
      <c r="U261" s="420"/>
      <c r="V261" s="420"/>
      <c r="W261" s="420"/>
      <c r="X261" s="421"/>
      <c r="Y261" s="421"/>
      <c r="AB261" s="346"/>
      <c r="AC261" s="346"/>
    </row>
    <row r="262" spans="1:29" s="345" customFormat="1" ht="12" hidden="1" customHeight="1">
      <c r="A262" s="418"/>
      <c r="B262" s="419">
        <v>616088</v>
      </c>
      <c r="C262" s="333"/>
      <c r="D262" s="74" t="s">
        <v>358</v>
      </c>
      <c r="E262" s="419"/>
      <c r="F262" s="125"/>
      <c r="G262" s="175"/>
      <c r="H262" s="333"/>
      <c r="I262" s="423">
        <f>VLOOKUP(" 16088-GT  ",misc,2,FALSE)</f>
        <v>79.162193299999998</v>
      </c>
      <c r="J262" s="420"/>
      <c r="K262" s="420"/>
      <c r="L262" s="420"/>
      <c r="M262" s="420"/>
      <c r="N262" s="420"/>
      <c r="O262" s="420"/>
      <c r="P262" s="420"/>
      <c r="Q262" s="420"/>
      <c r="R262" s="342"/>
      <c r="S262" s="420"/>
      <c r="T262" s="420"/>
      <c r="U262" s="420"/>
      <c r="V262" s="420"/>
      <c r="W262" s="420"/>
      <c r="X262" s="421"/>
      <c r="Y262" s="421"/>
      <c r="AB262" s="346"/>
      <c r="AC262" s="346"/>
    </row>
    <row r="263" spans="1:29" s="345" customFormat="1" ht="12" hidden="1" customHeight="1">
      <c r="A263" s="418"/>
      <c r="B263" s="419">
        <v>626006</v>
      </c>
      <c r="C263" s="333"/>
      <c r="D263" s="74" t="s">
        <v>359</v>
      </c>
      <c r="E263" s="419"/>
      <c r="F263" s="125"/>
      <c r="G263" s="175"/>
      <c r="H263" s="333"/>
      <c r="I263" s="423">
        <f>VLOOKUP(" 26006-GT  ",misc,2,FALSE)</f>
        <v>78.262619000000001</v>
      </c>
      <c r="J263" s="420"/>
      <c r="K263" s="420"/>
      <c r="L263" s="420"/>
      <c r="M263" s="420"/>
      <c r="N263" s="420"/>
      <c r="O263" s="420"/>
      <c r="P263" s="420"/>
      <c r="Q263" s="420"/>
      <c r="R263" s="342"/>
      <c r="S263" s="420"/>
      <c r="T263" s="420"/>
      <c r="U263" s="420"/>
      <c r="V263" s="420"/>
      <c r="W263" s="420"/>
      <c r="X263" s="421"/>
      <c r="Y263" s="421"/>
      <c r="AB263" s="346"/>
      <c r="AC263" s="346"/>
    </row>
    <row r="264" spans="1:29" s="345" customFormat="1" ht="12" hidden="1" customHeight="1">
      <c r="A264" s="418"/>
      <c r="B264" s="419">
        <v>626157</v>
      </c>
      <c r="C264" s="333"/>
      <c r="D264" s="74" t="s">
        <v>360</v>
      </c>
      <c r="E264" s="419"/>
      <c r="F264" s="125"/>
      <c r="G264" s="175"/>
      <c r="H264" s="333"/>
      <c r="I264" s="423">
        <f>VLOOKUP(" 26157-GT  ",misc,2,FALSE)</f>
        <v>74.543502799999999</v>
      </c>
      <c r="J264" s="420"/>
      <c r="K264" s="420"/>
      <c r="L264" s="420"/>
      <c r="M264" s="420"/>
      <c r="N264" s="420"/>
      <c r="O264" s="420"/>
      <c r="P264" s="420"/>
      <c r="Q264" s="420"/>
      <c r="R264" s="342"/>
      <c r="S264" s="420"/>
      <c r="T264" s="420"/>
      <c r="U264" s="420"/>
      <c r="V264" s="420"/>
      <c r="W264" s="420"/>
      <c r="X264" s="421"/>
      <c r="Y264" s="421"/>
      <c r="AB264" s="346"/>
      <c r="AC264" s="346"/>
    </row>
    <row r="265" spans="1:29" s="345" customFormat="1" ht="12" hidden="1" customHeight="1">
      <c r="A265" s="418"/>
      <c r="B265" s="419">
        <v>616179</v>
      </c>
      <c r="C265" s="333"/>
      <c r="D265" s="74" t="s">
        <v>361</v>
      </c>
      <c r="E265" s="419"/>
      <c r="F265" s="125"/>
      <c r="G265" s="175"/>
      <c r="H265" s="333"/>
      <c r="I265" s="423">
        <f>VLOOKUP(" 16179-GT  ",misc,2,FALSE)</f>
        <v>51.987110100000002</v>
      </c>
      <c r="J265" s="420"/>
      <c r="K265" s="420"/>
      <c r="L265" s="420"/>
      <c r="M265" s="420"/>
      <c r="N265" s="420"/>
      <c r="O265" s="420"/>
      <c r="P265" s="420"/>
      <c r="Q265" s="420"/>
      <c r="R265" s="342"/>
      <c r="S265" s="420"/>
      <c r="T265" s="420"/>
      <c r="U265" s="420"/>
      <c r="V265" s="420"/>
      <c r="W265" s="420"/>
      <c r="X265" s="421"/>
      <c r="Y265" s="421"/>
      <c r="AB265" s="346"/>
      <c r="AC265" s="346"/>
    </row>
    <row r="266" spans="1:29" s="345" customFormat="1" ht="12" hidden="1" customHeight="1">
      <c r="A266" s="418"/>
      <c r="B266" s="419">
        <v>8162971</v>
      </c>
      <c r="C266" s="333"/>
      <c r="D266" s="424" t="s">
        <v>362</v>
      </c>
      <c r="E266" s="419"/>
      <c r="F266" s="125"/>
      <c r="G266" s="125"/>
      <c r="H266" s="333"/>
      <c r="I266" s="423">
        <f>VLOOKUP(" 16297-PR  ",misc,2,FALSE)</f>
        <v>702.47045900000001</v>
      </c>
      <c r="J266" s="420"/>
      <c r="K266" s="420"/>
      <c r="L266" s="420"/>
      <c r="M266" s="420"/>
      <c r="N266" s="420"/>
      <c r="O266" s="420"/>
      <c r="P266" s="420"/>
      <c r="Q266" s="420"/>
      <c r="R266" s="425"/>
      <c r="S266" s="420"/>
      <c r="T266" s="420"/>
      <c r="U266" s="420"/>
      <c r="V266" s="420"/>
      <c r="W266" s="420"/>
      <c r="X266" s="421"/>
      <c r="Y266" s="421"/>
      <c r="AB266" s="346"/>
      <c r="AC266" s="346"/>
    </row>
    <row r="267" spans="1:29" ht="15.6" hidden="1">
      <c r="A267" s="418"/>
      <c r="B267" s="426">
        <v>8163541</v>
      </c>
      <c r="D267" s="424" t="s">
        <v>363</v>
      </c>
      <c r="H267" s="427"/>
      <c r="I267" s="423">
        <f>VLOOKUP(" 16354-CPR ",misc,2,FALSE)</f>
        <v>846.40167199999996</v>
      </c>
      <c r="X267" s="7"/>
      <c r="Y267" s="7"/>
      <c r="AB267" s="188"/>
      <c r="AC267" s="188"/>
    </row>
    <row r="268" spans="1:29" hidden="1">
      <c r="B268" s="426">
        <v>8163542</v>
      </c>
      <c r="D268" s="424" t="s">
        <v>364</v>
      </c>
      <c r="H268" s="427"/>
      <c r="I268" s="423">
        <f>VLOOKUP(" 16354-PR  ",misc,2,FALSE)</f>
        <v>843.25457800000004</v>
      </c>
      <c r="AB268" s="188"/>
      <c r="AC268" s="188"/>
    </row>
    <row r="269" spans="1:29" hidden="1">
      <c r="B269" s="426">
        <v>8260812</v>
      </c>
      <c r="D269" s="424" t="s">
        <v>365</v>
      </c>
      <c r="H269" s="427"/>
      <c r="I269" s="423">
        <f>VLOOKUP(" 26081-PR  ",misc,2,FALSE)</f>
        <v>823.84533699999997</v>
      </c>
      <c r="AB269" s="188"/>
      <c r="AC269" s="188"/>
    </row>
    <row r="270" spans="1:29" hidden="1">
      <c r="B270" s="426">
        <v>8261142</v>
      </c>
      <c r="D270" s="206" t="s">
        <v>366</v>
      </c>
      <c r="H270" s="427"/>
      <c r="I270" s="423">
        <f>VLOOKUP(" 26114-PR  ",misc,2,FALSE)</f>
        <v>595.4375</v>
      </c>
      <c r="K270" s="430"/>
      <c r="AB270" s="188"/>
      <c r="AC270" s="188"/>
    </row>
    <row r="271" spans="1:29" hidden="1">
      <c r="B271" s="426">
        <v>8261532</v>
      </c>
      <c r="D271" s="424" t="s">
        <v>367</v>
      </c>
      <c r="H271" s="427"/>
      <c r="I271" s="423">
        <f>VLOOKUP(" 26153-PR  ",misc,2,FALSE)</f>
        <v>598.28143299999999</v>
      </c>
      <c r="AB271" s="188"/>
      <c r="AC271" s="188"/>
    </row>
    <row r="272" spans="1:29" hidden="1">
      <c r="B272" s="426">
        <v>8261642</v>
      </c>
      <c r="D272" s="424" t="s">
        <v>368</v>
      </c>
      <c r="H272" s="427"/>
      <c r="I272" s="423">
        <f>VLOOKUP(" 26164-PR  ",misc,2,FALSE)</f>
        <v>702.47045900000001</v>
      </c>
      <c r="AB272" s="188"/>
      <c r="AC272" s="188"/>
    </row>
    <row r="273" spans="2:29" hidden="1">
      <c r="B273" s="426">
        <v>8261672</v>
      </c>
      <c r="D273" s="173" t="s">
        <v>369</v>
      </c>
      <c r="H273" s="427"/>
      <c r="I273" s="423">
        <f>VLOOKUP(" 26167-PR  ",misc,2,FALSE)</f>
        <v>634.80127000000005</v>
      </c>
      <c r="AB273" s="188"/>
      <c r="AC273" s="188"/>
    </row>
    <row r="274" spans="2:29" hidden="1">
      <c r="B274" s="426">
        <v>8261572</v>
      </c>
      <c r="D274" s="173" t="s">
        <v>370</v>
      </c>
      <c r="H274" s="427"/>
      <c r="I274" s="423">
        <f>VLOOKUP(" 26157-PR  ",misc,2,FALSE)</f>
        <v>632.65307600000006</v>
      </c>
      <c r="AB274" s="188"/>
      <c r="AC274" s="188"/>
    </row>
    <row r="275" spans="2:29" hidden="1">
      <c r="B275" s="426">
        <v>8261562</v>
      </c>
      <c r="D275" s="173" t="s">
        <v>371</v>
      </c>
      <c r="H275" s="427"/>
      <c r="I275" s="423">
        <f>VLOOKUP(" 26156-PR  ",misc,2,FALSE)</f>
        <v>876.47686799999997</v>
      </c>
      <c r="AB275" s="188"/>
      <c r="AC275" s="188"/>
    </row>
    <row r="276" spans="2:29" hidden="1">
      <c r="B276" s="426">
        <v>8006148</v>
      </c>
      <c r="D276" s="173" t="s">
        <v>372</v>
      </c>
      <c r="H276" s="427"/>
      <c r="I276" s="423">
        <f>VLOOKUP(" 06148-PR  ",misc,2,FALSE)</f>
        <v>464.285706</v>
      </c>
      <c r="AB276" s="188"/>
      <c r="AC276" s="188"/>
    </row>
    <row r="277" spans="2:29" hidden="1">
      <c r="B277" s="426">
        <v>8056015</v>
      </c>
      <c r="D277" s="173" t="s">
        <v>373</v>
      </c>
      <c r="H277" s="427"/>
      <c r="I277" s="423">
        <f>VLOOKUP(" 56015-CPR ",misc,2,FALSE)</f>
        <v>482.27713</v>
      </c>
      <c r="AB277" s="188"/>
      <c r="AC277" s="188"/>
    </row>
    <row r="278" spans="2:29" hidden="1">
      <c r="B278" s="426">
        <v>8008001</v>
      </c>
      <c r="D278" s="424" t="s">
        <v>374</v>
      </c>
      <c r="H278" s="427"/>
      <c r="I278" s="431">
        <f>VLOOKUP(" 56006-PR  ",misc,2,FALSE)</f>
        <v>824.65087900000003</v>
      </c>
      <c r="AB278" s="188"/>
      <c r="AC278" s="188"/>
    </row>
    <row r="279" spans="2:29" hidden="1">
      <c r="B279" s="426">
        <v>8008021</v>
      </c>
      <c r="D279" s="424" t="s">
        <v>375</v>
      </c>
      <c r="H279" s="427"/>
      <c r="I279" s="423">
        <f>VLOOKUP(" 802-UP    ",misc,2,FALSE)</f>
        <v>786.78839100000005</v>
      </c>
      <c r="AB279" s="188"/>
      <c r="AC279" s="188"/>
    </row>
    <row r="280" spans="2:29" hidden="1">
      <c r="B280" s="426">
        <v>8008022</v>
      </c>
      <c r="D280" s="424" t="s">
        <v>376</v>
      </c>
      <c r="H280" s="427"/>
      <c r="I280" s="423">
        <f>VLOOKUP(" 802-DN    ",misc,2,FALSE)</f>
        <v>787.05694600000004</v>
      </c>
      <c r="AB280" s="188"/>
      <c r="AC280" s="188"/>
    </row>
    <row r="281" spans="2:29" hidden="1">
      <c r="B281" s="426">
        <v>8008041</v>
      </c>
      <c r="D281" s="424" t="s">
        <v>377</v>
      </c>
      <c r="H281" s="427"/>
      <c r="I281" s="423">
        <f>VLOOKUP(" 804-S     ",misc,2,FALSE)</f>
        <v>738</v>
      </c>
      <c r="AB281" s="188"/>
      <c r="AC281" s="188"/>
    </row>
    <row r="282" spans="2:29" hidden="1">
      <c r="B282" s="426">
        <v>8008042</v>
      </c>
      <c r="D282" s="424" t="s">
        <v>378</v>
      </c>
      <c r="H282" s="427"/>
      <c r="I282" s="423">
        <f>VLOOKUP(" 804-D     ",misc,2,FALSE)</f>
        <v>736</v>
      </c>
      <c r="AB282" s="188"/>
      <c r="AC282" s="188"/>
    </row>
    <row r="283" spans="2:29" hidden="1">
      <c r="B283" s="426">
        <v>8008061</v>
      </c>
      <c r="D283" s="432" t="s">
        <v>379</v>
      </c>
      <c r="H283" s="427"/>
      <c r="I283" s="423">
        <f>VLOOKUP("CIG806_ST_MLSUCT_PRESS",rngPomsData,2,FALSE)</f>
        <v>699.99401899999998</v>
      </c>
      <c r="AB283" s="188"/>
      <c r="AC283" s="188"/>
    </row>
    <row r="284" spans="2:29" hidden="1">
      <c r="B284" s="426">
        <v>8008062</v>
      </c>
      <c r="D284" s="432" t="s">
        <v>380</v>
      </c>
      <c r="H284" s="427"/>
      <c r="I284" s="423">
        <f>VLOOKUP("CIG806_ST_MLDISCH_PRESS",rngPomsData,2,FALSE)</f>
        <v>888.78698699999995</v>
      </c>
      <c r="AB284" s="188"/>
      <c r="AC284" s="188"/>
    </row>
    <row r="285" spans="2:29" hidden="1">
      <c r="B285" s="426">
        <v>8008091</v>
      </c>
      <c r="D285" s="432" t="s">
        <v>381</v>
      </c>
      <c r="H285" s="427"/>
      <c r="I285" s="423">
        <f>VLOOKUP("CIG809_ST_MLSUCT_PRESS",rngPomsData,2,FALSE)</f>
        <v>806.078979</v>
      </c>
      <c r="J285" s="423"/>
      <c r="AB285" s="188"/>
      <c r="AC285" s="188"/>
    </row>
    <row r="286" spans="2:29" hidden="1">
      <c r="B286" s="426">
        <v>8008092</v>
      </c>
      <c r="D286" s="432" t="s">
        <v>382</v>
      </c>
      <c r="H286" s="427"/>
      <c r="I286" s="423">
        <f>VLOOKUP("CIG809_ST_MLDISCH_PRESS",rngPomsData,2,FALSE)</f>
        <v>803.942993</v>
      </c>
      <c r="J286" s="423"/>
      <c r="AB286" s="188"/>
      <c r="AC286" s="188"/>
    </row>
    <row r="287" spans="2:29" hidden="1">
      <c r="B287" s="426">
        <v>8008121</v>
      </c>
      <c r="D287" s="432" t="s">
        <v>383</v>
      </c>
      <c r="H287" s="427"/>
      <c r="I287" s="423">
        <f>VLOOKUP(" 812-S     ",misc,2,FALSE)</f>
        <v>724.22131300000001</v>
      </c>
      <c r="AB287" s="188"/>
      <c r="AC287" s="188"/>
    </row>
    <row r="288" spans="2:29" hidden="1">
      <c r="B288" s="426">
        <v>8008122</v>
      </c>
      <c r="D288" s="432" t="s">
        <v>384</v>
      </c>
      <c r="H288" s="427"/>
      <c r="I288" s="423">
        <f>VLOOKUP(" 812-D     ",misc,2,FALSE)</f>
        <v>719.11926300000005</v>
      </c>
      <c r="AB288" s="188"/>
      <c r="AC288" s="188"/>
    </row>
    <row r="289" spans="2:29" hidden="1">
      <c r="B289" s="426">
        <v>8008132</v>
      </c>
      <c r="D289" s="432" t="s">
        <v>385</v>
      </c>
      <c r="H289" s="427"/>
      <c r="I289" s="423">
        <f>VLOOKUP(" 813-PR    ",misc,2,FALSE)</f>
        <v>703.54455600000006</v>
      </c>
      <c r="AB289" s="188"/>
      <c r="AC289" s="188"/>
    </row>
    <row r="290" spans="2:29" hidden="1">
      <c r="B290" s="426">
        <v>8081211</v>
      </c>
      <c r="D290" s="432" t="s">
        <v>386</v>
      </c>
      <c r="H290" s="427"/>
      <c r="I290" s="423">
        <f>VLOOKUP(" 812-1A-UP ",misc,2,FALSE)</f>
        <v>729.591858</v>
      </c>
      <c r="AB290" s="188"/>
      <c r="AC290" s="188"/>
    </row>
    <row r="291" spans="2:29" hidden="1">
      <c r="B291" s="426">
        <v>8081212</v>
      </c>
      <c r="D291" s="432" t="s">
        <v>387</v>
      </c>
      <c r="H291" s="427"/>
      <c r="I291" s="423">
        <f>VLOOKUP(" 812-1A-DN ",misc,2,FALSE)</f>
        <v>722.07299799999998</v>
      </c>
      <c r="AB291" s="188"/>
      <c r="AC291" s="188"/>
    </row>
    <row r="292" spans="2:29" hidden="1">
      <c r="B292" s="426">
        <v>8560012</v>
      </c>
      <c r="D292" s="432" t="s">
        <v>388</v>
      </c>
      <c r="H292" s="427"/>
      <c r="I292" s="423">
        <f>VLOOKUP(" 56001-PR  ",misc,2,FALSE)</f>
        <v>632.78735400000005</v>
      </c>
      <c r="AB292" s="188"/>
      <c r="AC292" s="188"/>
    </row>
    <row r="293" spans="2:29" hidden="1">
      <c r="B293" s="426">
        <v>740211</v>
      </c>
      <c r="D293" s="432" t="s">
        <v>389</v>
      </c>
      <c r="H293" s="427"/>
      <c r="I293" s="423">
        <f t="shared" ref="I293:I300" si="137">IF(ISNA(VLOOKUP(D293,misc,2,FALSE))=TRUE,0,VLOOKUP(D293,misc,2,FALSE))</f>
        <v>0</v>
      </c>
      <c r="AB293" s="188"/>
      <c r="AC293" s="188"/>
    </row>
    <row r="294" spans="2:29" hidden="1">
      <c r="B294" s="426">
        <v>740212</v>
      </c>
      <c r="D294" s="432" t="s">
        <v>390</v>
      </c>
      <c r="H294" s="427"/>
      <c r="I294" s="423">
        <f t="shared" si="137"/>
        <v>1</v>
      </c>
      <c r="AB294" s="188"/>
      <c r="AC294" s="188"/>
    </row>
    <row r="295" spans="2:29" hidden="1">
      <c r="B295" s="426">
        <v>740221</v>
      </c>
      <c r="D295" s="432" t="s">
        <v>391</v>
      </c>
      <c r="H295" s="427"/>
      <c r="I295" s="423">
        <f t="shared" si="137"/>
        <v>0</v>
      </c>
      <c r="AB295" s="188"/>
      <c r="AC295" s="188"/>
    </row>
    <row r="296" spans="2:29" hidden="1">
      <c r="B296" s="426">
        <v>740222</v>
      </c>
      <c r="D296" s="432" t="s">
        <v>392</v>
      </c>
      <c r="H296" s="427"/>
      <c r="I296" s="423">
        <f t="shared" si="137"/>
        <v>1</v>
      </c>
      <c r="AB296" s="188"/>
      <c r="AC296" s="188"/>
    </row>
    <row r="297" spans="2:29" hidden="1">
      <c r="B297" s="426">
        <v>780411</v>
      </c>
      <c r="D297" s="432" t="s">
        <v>393</v>
      </c>
      <c r="H297" s="427"/>
      <c r="I297" s="423">
        <f t="shared" si="137"/>
        <v>0</v>
      </c>
      <c r="AB297" s="188"/>
      <c r="AC297" s="188"/>
    </row>
    <row r="298" spans="2:29" hidden="1">
      <c r="B298" s="426">
        <v>780412</v>
      </c>
      <c r="D298" s="432" t="s">
        <v>394</v>
      </c>
      <c r="H298" s="427"/>
      <c r="I298" s="423">
        <f t="shared" si="137"/>
        <v>1</v>
      </c>
      <c r="AB298" s="188"/>
      <c r="AC298" s="188"/>
    </row>
    <row r="299" spans="2:29" hidden="1">
      <c r="B299" s="426">
        <v>780421</v>
      </c>
      <c r="D299" s="432" t="s">
        <v>395</v>
      </c>
      <c r="H299" s="427"/>
      <c r="I299" s="423">
        <f t="shared" si="137"/>
        <v>0</v>
      </c>
      <c r="AB299" s="188"/>
      <c r="AC299" s="188"/>
    </row>
    <row r="300" spans="2:29" hidden="1">
      <c r="B300" s="426">
        <v>780422</v>
      </c>
      <c r="D300" s="432" t="s">
        <v>396</v>
      </c>
      <c r="H300" s="427"/>
      <c r="I300" s="423">
        <f t="shared" si="137"/>
        <v>1</v>
      </c>
      <c r="AB300" s="188"/>
      <c r="AC300" s="188"/>
    </row>
    <row r="301" spans="2:29" hidden="1">
      <c r="B301" s="426">
        <v>780611</v>
      </c>
      <c r="D301" s="432" t="s">
        <v>397</v>
      </c>
      <c r="H301" s="427"/>
      <c r="I301" s="423">
        <f>IF(VLOOKUP("CIG806_1A_UNIT_STATUS",rngPomsData,2,FALSE)=5,1,0)</f>
        <v>1</v>
      </c>
      <c r="AB301" s="188"/>
      <c r="AC301" s="188"/>
    </row>
    <row r="302" spans="2:29" hidden="1">
      <c r="B302" s="426">
        <v>780612</v>
      </c>
      <c r="D302" s="432" t="s">
        <v>398</v>
      </c>
      <c r="H302" s="427"/>
      <c r="I302" s="423">
        <f>IF(VLOOKUP("CIG806_1A_UNIT_STATUS",rngPomsData,2,FALSE)=0,0,IF(VLOOKUP("CIG806_1A_UNIT_STATUS",rngPomsData,2,FALSE)=1,0,1))</f>
        <v>1</v>
      </c>
      <c r="AB302" s="188"/>
      <c r="AC302" s="188"/>
    </row>
    <row r="303" spans="2:29" hidden="1">
      <c r="B303" s="426">
        <v>780621</v>
      </c>
      <c r="D303" s="432" t="s">
        <v>399</v>
      </c>
      <c r="H303" s="427"/>
      <c r="I303" s="423">
        <f>IF(VLOOKUP("CIG806_2A_UNIT_STATUS",rngPomsData,2,FALSE)=5,1,0)</f>
        <v>1</v>
      </c>
      <c r="AB303" s="188"/>
      <c r="AC303" s="188"/>
    </row>
    <row r="304" spans="2:29" hidden="1">
      <c r="B304" s="426">
        <v>780622</v>
      </c>
      <c r="D304" s="432" t="s">
        <v>400</v>
      </c>
      <c r="H304" s="427"/>
      <c r="I304" s="423">
        <f>IF(VLOOKUP("CIG806_2A_UNIT_STATUS",rngPomsData,2,FALSE)=0,0,IF(VLOOKUP("CIG806_2A_UNIT_STATUS",rngPomsData,2,FALSE)=1,0,1))</f>
        <v>1</v>
      </c>
      <c r="AB304" s="188"/>
      <c r="AC304" s="188"/>
    </row>
    <row r="305" spans="2:29" hidden="1">
      <c r="B305" s="426">
        <v>780631</v>
      </c>
      <c r="D305" s="432" t="s">
        <v>401</v>
      </c>
      <c r="H305" s="427"/>
      <c r="I305" s="423">
        <f>IF(VLOOKUP("CIG806_3A_UNIT_STATUS",rngPomsData,2,FALSE)=5,1,0)</f>
        <v>0</v>
      </c>
      <c r="AB305" s="188"/>
      <c r="AC305" s="188"/>
    </row>
    <row r="306" spans="2:29" hidden="1">
      <c r="B306" s="426">
        <v>780632</v>
      </c>
      <c r="D306" s="432" t="s">
        <v>402</v>
      </c>
      <c r="H306" s="427"/>
      <c r="I306" s="423">
        <f>IF(VLOOKUP("CIG806_3A_UNIT_STATUS",rngPomsData,2,FALSE)=0,0,IF(VLOOKUP("CIG806_3A_UNIT_STATUS",rngPomsData,2,FALSE)=1,0,1))</f>
        <v>0</v>
      </c>
      <c r="AB306" s="188"/>
      <c r="AC306" s="188"/>
    </row>
    <row r="307" spans="2:29" hidden="1">
      <c r="B307" s="426">
        <v>780921</v>
      </c>
      <c r="D307" s="432" t="s">
        <v>403</v>
      </c>
      <c r="H307" s="427"/>
      <c r="I307" s="423">
        <f>IF(VLOOKUP("CIG809_2A_UNIT_STATUS",rngPomsData,2,FALSE)=5,1,0)</f>
        <v>0</v>
      </c>
      <c r="AB307" s="188"/>
      <c r="AC307" s="188"/>
    </row>
    <row r="308" spans="2:29" hidden="1">
      <c r="B308" s="426">
        <v>780922</v>
      </c>
      <c r="D308" s="432" t="s">
        <v>404</v>
      </c>
      <c r="H308" s="427"/>
      <c r="I308" s="423">
        <f>IF(VLOOKUP("CIG809_2A_UNIT_STATUS",rngPomsData,2,FALSE)=0,0,IF(VLOOKUP("CIG809_2A_UNIT_STATUS",rngPomsData,2,FALSE)=1,0,1))</f>
        <v>1</v>
      </c>
      <c r="AB308" s="188"/>
      <c r="AC308" s="188"/>
    </row>
    <row r="309" spans="2:29" hidden="1">
      <c r="B309" s="426">
        <v>780931</v>
      </c>
      <c r="D309" s="432" t="s">
        <v>405</v>
      </c>
      <c r="H309" s="427"/>
      <c r="I309" s="423">
        <f>IF(VLOOKUP("CIG809_3A_UNIT_STATUS",rngPomsData,2,FALSE)=5,1,0)</f>
        <v>0</v>
      </c>
      <c r="AB309" s="188"/>
      <c r="AC309" s="188"/>
    </row>
    <row r="310" spans="2:29" hidden="1">
      <c r="B310" s="426">
        <v>780932</v>
      </c>
      <c r="D310" s="432" t="s">
        <v>406</v>
      </c>
      <c r="H310" s="427"/>
      <c r="I310" s="423">
        <f>IF(VLOOKUP("CIG809_3A_UNIT_STATUS",rngPomsData,2,FALSE)=0,0,IF(VLOOKUP("CIG809_3A_UNIT_STATUS",rngPomsData,2,FALSE)=1,0,1))</f>
        <v>1</v>
      </c>
      <c r="AB310" s="188"/>
      <c r="AC310" s="188"/>
    </row>
    <row r="311" spans="2:29" hidden="1">
      <c r="B311" s="426">
        <v>780941</v>
      </c>
      <c r="D311" s="432" t="s">
        <v>407</v>
      </c>
      <c r="H311" s="427"/>
      <c r="I311" s="423">
        <f>IF(VLOOKUP("CIG809_1B_UNIT_STATUS",rngPomsData,2,FALSE)=5,1,0)</f>
        <v>0</v>
      </c>
      <c r="AB311" s="188"/>
      <c r="AC311" s="188"/>
    </row>
    <row r="312" spans="2:29" hidden="1">
      <c r="B312" s="426">
        <v>780942</v>
      </c>
      <c r="D312" s="432" t="s">
        <v>408</v>
      </c>
      <c r="H312" s="427"/>
      <c r="I312" s="423">
        <f>IF(VLOOKUP("CIG809_1B_UNIT_STATUS",rngPomsData,2,FALSE)=0,0,IF(VLOOKUP("CIG809_1B_UNIT_STATUS",rngPomsData,2,FALSE)=1,0,1))</f>
        <v>1</v>
      </c>
      <c r="AB312" s="188"/>
      <c r="AC312" s="188"/>
    </row>
    <row r="313" spans="2:29" hidden="1">
      <c r="B313" s="426">
        <v>781211</v>
      </c>
      <c r="D313" s="432" t="s">
        <v>409</v>
      </c>
      <c r="H313" s="427"/>
      <c r="I313" s="423">
        <f t="shared" ref="I313:I318" si="138">IF(ISNA(VLOOKUP(D313,misc,2,FALSE))=TRUE,0,VLOOKUP(D313,misc,2,FALSE))</f>
        <v>0</v>
      </c>
      <c r="AB313" s="188"/>
      <c r="AC313" s="188"/>
    </row>
    <row r="314" spans="2:29" hidden="1">
      <c r="B314" s="426">
        <v>781212</v>
      </c>
      <c r="D314" s="432" t="s">
        <v>410</v>
      </c>
      <c r="H314" s="427"/>
      <c r="I314" s="423">
        <f t="shared" si="138"/>
        <v>1</v>
      </c>
      <c r="AB314" s="188"/>
      <c r="AC314" s="188"/>
    </row>
    <row r="315" spans="2:29" hidden="1">
      <c r="B315" s="426">
        <v>781221</v>
      </c>
      <c r="D315" s="432" t="s">
        <v>411</v>
      </c>
      <c r="H315" s="427"/>
      <c r="I315" s="423">
        <f t="shared" si="138"/>
        <v>0</v>
      </c>
      <c r="AB315" s="188"/>
      <c r="AC315" s="188"/>
    </row>
    <row r="316" spans="2:29" hidden="1">
      <c r="B316" s="426">
        <v>781222</v>
      </c>
      <c r="D316" s="432" t="s">
        <v>412</v>
      </c>
      <c r="H316" s="427"/>
      <c r="I316" s="423">
        <f t="shared" si="138"/>
        <v>1</v>
      </c>
      <c r="AB316" s="188"/>
      <c r="AC316" s="188"/>
    </row>
    <row r="317" spans="2:29" hidden="1">
      <c r="B317" s="426">
        <v>781231</v>
      </c>
      <c r="D317" s="432" t="s">
        <v>413</v>
      </c>
      <c r="H317" s="427"/>
      <c r="I317" s="423">
        <f t="shared" si="138"/>
        <v>0</v>
      </c>
      <c r="AB317" s="188"/>
      <c r="AC317" s="188"/>
    </row>
    <row r="318" spans="2:29" hidden="1">
      <c r="B318" s="426">
        <v>781232</v>
      </c>
      <c r="D318" s="432" t="s">
        <v>414</v>
      </c>
      <c r="H318" s="427"/>
      <c r="I318" s="423">
        <f t="shared" si="138"/>
        <v>1</v>
      </c>
      <c r="AB318" s="188"/>
      <c r="AC318" s="188"/>
    </row>
    <row r="319" spans="2:29">
      <c r="X319" s="434" t="s">
        <v>415</v>
      </c>
      <c r="Y319" s="133">
        <f>Y225+Y228</f>
        <v>-17.918041942493147</v>
      </c>
      <c r="AB319" s="188"/>
      <c r="AC319" s="188"/>
    </row>
    <row r="320" spans="2:29">
      <c r="AB320" s="188"/>
      <c r="AC320" s="188"/>
    </row>
    <row r="321" spans="28:29">
      <c r="AB321" s="188"/>
      <c r="AC321" s="188"/>
    </row>
    <row r="322" spans="28:29">
      <c r="AB322" s="188"/>
      <c r="AC322" s="188"/>
    </row>
    <row r="323" spans="28:29">
      <c r="AB323" s="188"/>
      <c r="AC323" s="188"/>
    </row>
    <row r="324" spans="28:29">
      <c r="AB324" s="188"/>
      <c r="AC324" s="188"/>
    </row>
    <row r="325" spans="28:29">
      <c r="AB325" s="188"/>
      <c r="AC325" s="188"/>
    </row>
    <row r="326" spans="28:29">
      <c r="AB326" s="188"/>
      <c r="AC326" s="188"/>
    </row>
    <row r="327" spans="28:29">
      <c r="AB327" s="188"/>
      <c r="AC327" s="188"/>
    </row>
    <row r="328" spans="28:29">
      <c r="AB328" s="188"/>
      <c r="AC328" s="188"/>
    </row>
    <row r="329" spans="28:29">
      <c r="AB329" s="188"/>
      <c r="AC329" s="188"/>
    </row>
    <row r="330" spans="28:29">
      <c r="AB330" s="188"/>
      <c r="AC330" s="188"/>
    </row>
    <row r="331" spans="28:29">
      <c r="AB331" s="188"/>
      <c r="AC331" s="188"/>
    </row>
    <row r="332" spans="28:29">
      <c r="AB332" s="188"/>
      <c r="AC332" s="188"/>
    </row>
    <row r="333" spans="28:29">
      <c r="AB333" s="188"/>
      <c r="AC333" s="188"/>
    </row>
    <row r="334" spans="28:29">
      <c r="AB334" s="188"/>
      <c r="AC334" s="188"/>
    </row>
    <row r="335" spans="28:29">
      <c r="AB335" s="188"/>
      <c r="AC335" s="188"/>
    </row>
    <row r="336" spans="28:29">
      <c r="AB336" s="188"/>
      <c r="AC336" s="188"/>
    </row>
    <row r="337" spans="28:29">
      <c r="AB337" s="188"/>
      <c r="AC337" s="188"/>
    </row>
    <row r="338" spans="28:29">
      <c r="AB338" s="188"/>
      <c r="AC338" s="188"/>
    </row>
    <row r="339" spans="28:29">
      <c r="AB339" s="188"/>
      <c r="AC339" s="188"/>
    </row>
    <row r="340" spans="28:29">
      <c r="AB340" s="188"/>
      <c r="AC340" s="188"/>
    </row>
    <row r="341" spans="28:29">
      <c r="AB341" s="188"/>
      <c r="AC341" s="188"/>
    </row>
    <row r="342" spans="28:29">
      <c r="AB342" s="188"/>
      <c r="AC342" s="188"/>
    </row>
    <row r="343" spans="28:29">
      <c r="AB343" s="188"/>
      <c r="AC343" s="188"/>
    </row>
    <row r="344" spans="28:29">
      <c r="AB344" s="188"/>
      <c r="AC344" s="188"/>
    </row>
    <row r="345" spans="28:29">
      <c r="AB345" s="188"/>
      <c r="AC345" s="188"/>
    </row>
    <row r="346" spans="28:29">
      <c r="AB346" s="188"/>
      <c r="AC346" s="188"/>
    </row>
    <row r="347" spans="28:29">
      <c r="AB347" s="188"/>
      <c r="AC347" s="188"/>
    </row>
    <row r="348" spans="28:29">
      <c r="AB348" s="188"/>
      <c r="AC348" s="188"/>
    </row>
    <row r="349" spans="28:29">
      <c r="AB349" s="188"/>
      <c r="AC349" s="188"/>
    </row>
    <row r="350" spans="28:29">
      <c r="AB350" s="188"/>
      <c r="AC350" s="188"/>
    </row>
    <row r="351" spans="28:29">
      <c r="AB351" s="188"/>
      <c r="AC351" s="188"/>
    </row>
    <row r="352" spans="28:29">
      <c r="AB352" s="188"/>
      <c r="AC352" s="188"/>
    </row>
    <row r="353" spans="28:29">
      <c r="AB353" s="188"/>
      <c r="AC353" s="188"/>
    </row>
    <row r="354" spans="28:29">
      <c r="AB354" s="188"/>
      <c r="AC354" s="188"/>
    </row>
    <row r="355" spans="28:29">
      <c r="AB355" s="188"/>
      <c r="AC355" s="188"/>
    </row>
    <row r="356" spans="28:29">
      <c r="AB356" s="188"/>
      <c r="AC356" s="188"/>
    </row>
    <row r="357" spans="28:29">
      <c r="AB357" s="188"/>
      <c r="AC357" s="188"/>
    </row>
    <row r="358" spans="28:29">
      <c r="AB358" s="188"/>
      <c r="AC358" s="188"/>
    </row>
    <row r="359" spans="28:29">
      <c r="AB359" s="188"/>
      <c r="AC359" s="188"/>
    </row>
    <row r="360" spans="28:29">
      <c r="AB360" s="188"/>
      <c r="AC360" s="188"/>
    </row>
    <row r="361" spans="28:29">
      <c r="AB361" s="188"/>
      <c r="AC361" s="188"/>
    </row>
    <row r="362" spans="28:29">
      <c r="AB362" s="188"/>
      <c r="AC362" s="188"/>
    </row>
    <row r="363" spans="28:29">
      <c r="AB363" s="188"/>
      <c r="AC363" s="188"/>
    </row>
    <row r="364" spans="28:29">
      <c r="AB364" s="188"/>
      <c r="AC364" s="188"/>
    </row>
    <row r="365" spans="28:29">
      <c r="AB365" s="188"/>
      <c r="AC365" s="188"/>
    </row>
    <row r="366" spans="28:29">
      <c r="AB366" s="188"/>
      <c r="AC366" s="188"/>
    </row>
    <row r="367" spans="28:29">
      <c r="AB367" s="188"/>
      <c r="AC367" s="188"/>
    </row>
    <row r="368" spans="28:29">
      <c r="AB368" s="188"/>
      <c r="AC368" s="188"/>
    </row>
    <row r="369" spans="28:29">
      <c r="AB369" s="188"/>
      <c r="AC369" s="188"/>
    </row>
    <row r="370" spans="28:29">
      <c r="AB370" s="188"/>
      <c r="AC370" s="188"/>
    </row>
    <row r="371" spans="28:29">
      <c r="AB371" s="188"/>
      <c r="AC371" s="188"/>
    </row>
    <row r="372" spans="28:29">
      <c r="AB372" s="188"/>
      <c r="AC372" s="188"/>
    </row>
    <row r="373" spans="28:29">
      <c r="AB373" s="188"/>
      <c r="AC373" s="188"/>
    </row>
    <row r="374" spans="28:29">
      <c r="AB374" s="188"/>
      <c r="AC374" s="188"/>
    </row>
    <row r="375" spans="28:29">
      <c r="AB375" s="188"/>
      <c r="AC375" s="188"/>
    </row>
    <row r="376" spans="28:29">
      <c r="AB376" s="188"/>
      <c r="AC376" s="188"/>
    </row>
    <row r="377" spans="28:29">
      <c r="AB377" s="188"/>
      <c r="AC377" s="188"/>
    </row>
    <row r="378" spans="28:29">
      <c r="AB378" s="188"/>
      <c r="AC378" s="188"/>
    </row>
    <row r="379" spans="28:29">
      <c r="AB379" s="188"/>
      <c r="AC379" s="188"/>
    </row>
    <row r="380" spans="28:29">
      <c r="AB380" s="188"/>
      <c r="AC380" s="188"/>
    </row>
    <row r="381" spans="28:29">
      <c r="AB381" s="188"/>
      <c r="AC381" s="188"/>
    </row>
    <row r="382" spans="28:29">
      <c r="AB382" s="188"/>
      <c r="AC382" s="188"/>
    </row>
    <row r="383" spans="28:29">
      <c r="AB383" s="188"/>
      <c r="AC383" s="188"/>
    </row>
  </sheetData>
  <sheetProtection password="C0E5" sheet="1" objects="1" scenarios="1"/>
  <conditionalFormatting sqref="G269:G288 G5:G26 G28:G249">
    <cfRule type="cellIs" dxfId="2" priority="1" stopIfTrue="1" operator="equal">
      <formula>1.025</formula>
    </cfRule>
  </conditionalFormatting>
  <conditionalFormatting sqref="Y261:Y268">
    <cfRule type="cellIs" dxfId="1" priority="2" stopIfTrue="1" operator="greaterThan">
      <formula>0</formula>
    </cfRule>
    <cfRule type="cellIs" dxfId="0" priority="3" stopIfTrue="1" operator="lessThan">
      <formula>0</formula>
    </cfRule>
  </conditionalFormatting>
  <pageMargins left="0.2" right="0.65" top="0.2" bottom="0.48" header="0.2" footer="0.24"/>
  <pageSetup scale="60" fitToWidth="2" fitToHeight="99" orientation="landscape" horizontalDpi="300" verticalDpi="300" r:id="rId1"/>
  <headerFooter alignWithMargins="0">
    <oddFooter>&amp;L&amp;D&amp;CPage &amp;P&amp;R&amp;"Times New Roman,Bold Italic"&amp;14OPERATIONS PLANNING</oddFooter>
  </headerFooter>
  <rowBreaks count="3" manualBreakCount="3">
    <brk id="64" max="16383" man="1"/>
    <brk id="126" max="16383" man="1"/>
    <brk id="17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69" r:id="rId4" name="Check Box 49">
              <controlPr defaultSize="0" print="0" autoFill="0" autoLine="0" autoPict="0">
                <anchor>
                  <from>
                    <xdr:col>3</xdr:col>
                    <xdr:colOff>1691640</xdr:colOff>
                    <xdr:row>0</xdr:row>
                    <xdr:rowOff>83820</xdr:rowOff>
                  </from>
                  <to>
                    <xdr:col>6</xdr:col>
                    <xdr:colOff>121920</xdr:colOff>
                    <xdr:row>0</xdr:row>
                    <xdr:rowOff>312420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329</vt:i4>
      </vt:variant>
    </vt:vector>
  </HeadingPairs>
  <TitlesOfParts>
    <vt:vector size="333" baseType="lpstr">
      <vt:lpstr>Map</vt:lpstr>
      <vt:lpstr>HPL MAP</vt:lpstr>
      <vt:lpstr>Summary</vt:lpstr>
      <vt:lpstr>System Detail</vt:lpstr>
      <vt:lpstr>act11159</vt:lpstr>
      <vt:lpstr>act16058</vt:lpstr>
      <vt:lpstr>act16058hpl</vt:lpstr>
      <vt:lpstr>act16066</vt:lpstr>
      <vt:lpstr>act16069</vt:lpstr>
      <vt:lpstr>act16069hpl</vt:lpstr>
      <vt:lpstr>act16088</vt:lpstr>
      <vt:lpstr>act16127</vt:lpstr>
      <vt:lpstr>act16130</vt:lpstr>
      <vt:lpstr>act16151</vt:lpstr>
      <vt:lpstr>act16151hpl</vt:lpstr>
      <vt:lpstr>act16168</vt:lpstr>
      <vt:lpstr>act16168hpl</vt:lpstr>
      <vt:lpstr>act16179</vt:lpstr>
      <vt:lpstr>act16210</vt:lpstr>
      <vt:lpstr>act16210hpl</vt:lpstr>
      <vt:lpstr>act16222</vt:lpstr>
      <vt:lpstr>act16222hpl</vt:lpstr>
      <vt:lpstr>act16244</vt:lpstr>
      <vt:lpstr>act16244hpl</vt:lpstr>
      <vt:lpstr>act16247</vt:lpstr>
      <vt:lpstr>act16247hpl</vt:lpstr>
      <vt:lpstr>act16273</vt:lpstr>
      <vt:lpstr>act16273hpl</vt:lpstr>
      <vt:lpstr>act16290</vt:lpstr>
      <vt:lpstr>act16290hpl</vt:lpstr>
      <vt:lpstr>act16296</vt:lpstr>
      <vt:lpstr>act16296hpl</vt:lpstr>
      <vt:lpstr>act16297</vt:lpstr>
      <vt:lpstr>act16335</vt:lpstr>
      <vt:lpstr>act16335hpl</vt:lpstr>
      <vt:lpstr>act16338</vt:lpstr>
      <vt:lpstr>act16347</vt:lpstr>
      <vt:lpstr>act16354</vt:lpstr>
      <vt:lpstr>act16355</vt:lpstr>
      <vt:lpstr>act26006</vt:lpstr>
      <vt:lpstr>act26018</vt:lpstr>
      <vt:lpstr>act26018hpl</vt:lpstr>
      <vt:lpstr>act26021</vt:lpstr>
      <vt:lpstr>act26021hpl</vt:lpstr>
      <vt:lpstr>act26026</vt:lpstr>
      <vt:lpstr>act26026hpl</vt:lpstr>
      <vt:lpstr>act26073</vt:lpstr>
      <vt:lpstr>act26073hpl</vt:lpstr>
      <vt:lpstr>act26081</vt:lpstr>
      <vt:lpstr>act26084</vt:lpstr>
      <vt:lpstr>act26084hpl</vt:lpstr>
      <vt:lpstr>act26091</vt:lpstr>
      <vt:lpstr>act26106</vt:lpstr>
      <vt:lpstr>act26126</vt:lpstr>
      <vt:lpstr>act26126hpl</vt:lpstr>
      <vt:lpstr>act26150</vt:lpstr>
      <vt:lpstr>act26160</vt:lpstr>
      <vt:lpstr>act26160hpl</vt:lpstr>
      <vt:lpstr>act26167</vt:lpstr>
      <vt:lpstr>act26169</vt:lpstr>
      <vt:lpstr>act26184</vt:lpstr>
      <vt:lpstr>act26191</vt:lpstr>
      <vt:lpstr>act26205</vt:lpstr>
      <vt:lpstr>act402C</vt:lpstr>
      <vt:lpstr>act56015</vt:lpstr>
      <vt:lpstr>act56032</vt:lpstr>
      <vt:lpstr>act6148</vt:lpstr>
      <vt:lpstr>act802</vt:lpstr>
      <vt:lpstr>act802cig</vt:lpstr>
      <vt:lpstr>act802hpl</vt:lpstr>
      <vt:lpstr>act804</vt:lpstr>
      <vt:lpstr>act804cig</vt:lpstr>
      <vt:lpstr>act804hpl</vt:lpstr>
      <vt:lpstr>act806</vt:lpstr>
      <vt:lpstr>act806cig</vt:lpstr>
      <vt:lpstr>act806hpl</vt:lpstr>
      <vt:lpstr>act809</vt:lpstr>
      <vt:lpstr>act809cig</vt:lpstr>
      <vt:lpstr>act809hpl</vt:lpstr>
      <vt:lpstr>act812</vt:lpstr>
      <vt:lpstr>act812cig</vt:lpstr>
      <vt:lpstr>act812hpl</vt:lpstr>
      <vt:lpstr>act813</vt:lpstr>
      <vt:lpstr>act813cig</vt:lpstr>
      <vt:lpstr>act813hpl</vt:lpstr>
      <vt:lpstr>act814</vt:lpstr>
      <vt:lpstr>act8141a</vt:lpstr>
      <vt:lpstr>act8141acig</vt:lpstr>
      <vt:lpstr>act8141ahpl</vt:lpstr>
      <vt:lpstr>act814cig</vt:lpstr>
      <vt:lpstr>act814hpl</vt:lpstr>
      <vt:lpstr>act816</vt:lpstr>
      <vt:lpstr>act816cig</vt:lpstr>
      <vt:lpstr>act816hpl</vt:lpstr>
      <vt:lpstr>act820</vt:lpstr>
      <vt:lpstr>act820cig</vt:lpstr>
      <vt:lpstr>act820hpl</vt:lpstr>
      <vt:lpstr>actcedar</vt:lpstr>
      <vt:lpstr>actflow</vt:lpstr>
      <vt:lpstr>acthoest</vt:lpstr>
      <vt:lpstr>actHPLAD</vt:lpstr>
      <vt:lpstr>actHPLADhpl</vt:lpstr>
      <vt:lpstr>actHPLGreg</vt:lpstr>
      <vt:lpstr>actHPLGreghpl</vt:lpstr>
      <vt:lpstr>actKR</vt:lpstr>
      <vt:lpstr>actkrcig</vt:lpstr>
      <vt:lpstr>actkrhpl</vt:lpstr>
      <vt:lpstr>actMB</vt:lpstr>
      <vt:lpstr>actMBhpl</vt:lpstr>
      <vt:lpstr>actSCTTL</vt:lpstr>
      <vt:lpstr>actSCTTLhpl</vt:lpstr>
      <vt:lpstr>actSeahawk</vt:lpstr>
      <vt:lpstr>actST</vt:lpstr>
      <vt:lpstr>actSTcig</vt:lpstr>
      <vt:lpstr>actSThpl</vt:lpstr>
      <vt:lpstr>ActTGPAD</vt:lpstr>
      <vt:lpstr>actTGPADhpl</vt:lpstr>
      <vt:lpstr>actTGPSAB</vt:lpstr>
      <vt:lpstr>actTGPSABhpl</vt:lpstr>
      <vt:lpstr>avail4021A</vt:lpstr>
      <vt:lpstr>avail4022A</vt:lpstr>
      <vt:lpstr>avail8041A</vt:lpstr>
      <vt:lpstr>avail8042A</vt:lpstr>
      <vt:lpstr>avail8061A</vt:lpstr>
      <vt:lpstr>avail8062A</vt:lpstr>
      <vt:lpstr>avail8063A</vt:lpstr>
      <vt:lpstr>avail8091B</vt:lpstr>
      <vt:lpstr>avail8092A</vt:lpstr>
      <vt:lpstr>avail8093A</vt:lpstr>
      <vt:lpstr>avail8121A</vt:lpstr>
      <vt:lpstr>avail8122A</vt:lpstr>
      <vt:lpstr>avail8123A</vt:lpstr>
      <vt:lpstr>CheckMeters</vt:lpstr>
      <vt:lpstr>comErrorRange</vt:lpstr>
      <vt:lpstr>currentsetting</vt:lpstr>
      <vt:lpstr>datetext</vt:lpstr>
      <vt:lpstr>delcig</vt:lpstr>
      <vt:lpstr>delcigsch</vt:lpstr>
      <vt:lpstr>delhpl</vt:lpstr>
      <vt:lpstr>delhplsch</vt:lpstr>
      <vt:lpstr>delttl</vt:lpstr>
      <vt:lpstr>delttlsch</vt:lpstr>
      <vt:lpstr>errorrange</vt:lpstr>
      <vt:lpstr>finalData</vt:lpstr>
      <vt:lpstr>finaldatatest</vt:lpstr>
      <vt:lpstr>flowDate</vt:lpstr>
      <vt:lpstr>Fuel</vt:lpstr>
      <vt:lpstr>graph</vt:lpstr>
      <vt:lpstr>LAUF</vt:lpstr>
      <vt:lpstr>LP802b</vt:lpstr>
      <vt:lpstr>LP804b</vt:lpstr>
      <vt:lpstr>LP806b</vt:lpstr>
      <vt:lpstr>LP809b</vt:lpstr>
      <vt:lpstr>LP812b</vt:lpstr>
      <vt:lpstr>LP8141Ab</vt:lpstr>
      <vt:lpstr>LPack</vt:lpstr>
      <vt:lpstr>LPChange</vt:lpstr>
      <vt:lpstr>LPsabineb</vt:lpstr>
      <vt:lpstr>Map!MAP</vt:lpstr>
      <vt:lpstr>MAPHPL</vt:lpstr>
      <vt:lpstr>masterlist</vt:lpstr>
      <vt:lpstr>MBBAL</vt:lpstr>
      <vt:lpstr>meterdata</vt:lpstr>
      <vt:lpstr>meterdataAS</vt:lpstr>
      <vt:lpstr>PD26114</vt:lpstr>
      <vt:lpstr>PD26153</vt:lpstr>
      <vt:lpstr>PD26156</vt:lpstr>
      <vt:lpstr>PD26157</vt:lpstr>
      <vt:lpstr>PD26164</vt:lpstr>
      <vt:lpstr>PD26167</vt:lpstr>
      <vt:lpstr>PD56015</vt:lpstr>
      <vt:lpstr>PD6148</vt:lpstr>
      <vt:lpstr>PD802</vt:lpstr>
      <vt:lpstr>PD804</vt:lpstr>
      <vt:lpstr>PD806</vt:lpstr>
      <vt:lpstr>PD809</vt:lpstr>
      <vt:lpstr>PD812</vt:lpstr>
      <vt:lpstr>PD8121A</vt:lpstr>
      <vt:lpstr>PD813</vt:lpstr>
      <vt:lpstr>PDAD</vt:lpstr>
      <vt:lpstr>PDBLESS</vt:lpstr>
      <vt:lpstr>'HPL MAP'!Print_Area</vt:lpstr>
      <vt:lpstr>Map!Print_Area</vt:lpstr>
      <vt:lpstr>'System Detail'!Print_Titles</vt:lpstr>
      <vt:lpstr>PS16297</vt:lpstr>
      <vt:lpstr>PS800</vt:lpstr>
      <vt:lpstr>PS802</vt:lpstr>
      <vt:lpstr>PS804</vt:lpstr>
      <vt:lpstr>PS806</vt:lpstr>
      <vt:lpstr>PS809</vt:lpstr>
      <vt:lpstr>PS812</vt:lpstr>
      <vt:lpstr>PS8121A</vt:lpstr>
      <vt:lpstr>PSBLESS</vt:lpstr>
      <vt:lpstr>PSLomax</vt:lpstr>
      <vt:lpstr>readingtime</vt:lpstr>
      <vt:lpstr>reccig</vt:lpstr>
      <vt:lpstr>reccigsch</vt:lpstr>
      <vt:lpstr>rechpl</vt:lpstr>
      <vt:lpstr>rechplsch</vt:lpstr>
      <vt:lpstr>recttl</vt:lpstr>
      <vt:lpstr>recttlsch</vt:lpstr>
      <vt:lpstr>Run4021A</vt:lpstr>
      <vt:lpstr>Run4022A</vt:lpstr>
      <vt:lpstr>Run8041A</vt:lpstr>
      <vt:lpstr>run8042A</vt:lpstr>
      <vt:lpstr>run8061A</vt:lpstr>
      <vt:lpstr>run8062A</vt:lpstr>
      <vt:lpstr>run8063A</vt:lpstr>
      <vt:lpstr>run8091B</vt:lpstr>
      <vt:lpstr>run8092A</vt:lpstr>
      <vt:lpstr>run8093A</vt:lpstr>
      <vt:lpstr>run8121A</vt:lpstr>
      <vt:lpstr>run8122A</vt:lpstr>
      <vt:lpstr>run8123A</vt:lpstr>
      <vt:lpstr>sch11159</vt:lpstr>
      <vt:lpstr>sch16058</vt:lpstr>
      <vt:lpstr>sch16058hpl</vt:lpstr>
      <vt:lpstr>sch16066</vt:lpstr>
      <vt:lpstr>sch16069</vt:lpstr>
      <vt:lpstr>sch16069hpl</vt:lpstr>
      <vt:lpstr>sch16088</vt:lpstr>
      <vt:lpstr>sch16127</vt:lpstr>
      <vt:lpstr>sch16130</vt:lpstr>
      <vt:lpstr>sch16151</vt:lpstr>
      <vt:lpstr>sch16151hpl</vt:lpstr>
      <vt:lpstr>sch16168</vt:lpstr>
      <vt:lpstr>sch16168hpl</vt:lpstr>
      <vt:lpstr>sch16210</vt:lpstr>
      <vt:lpstr>sch16210hpl</vt:lpstr>
      <vt:lpstr>sch16222</vt:lpstr>
      <vt:lpstr>sch16222hpl</vt:lpstr>
      <vt:lpstr>sch16244</vt:lpstr>
      <vt:lpstr>sch16244hpl</vt:lpstr>
      <vt:lpstr>sch16247</vt:lpstr>
      <vt:lpstr>sch16247hpl</vt:lpstr>
      <vt:lpstr>sch16273</vt:lpstr>
      <vt:lpstr>sch16273hpl</vt:lpstr>
      <vt:lpstr>sch16290</vt:lpstr>
      <vt:lpstr>sch16290hpl</vt:lpstr>
      <vt:lpstr>sch16296</vt:lpstr>
      <vt:lpstr>sch16296hpl</vt:lpstr>
      <vt:lpstr>sch16335</vt:lpstr>
      <vt:lpstr>sch16335hpl</vt:lpstr>
      <vt:lpstr>sch16347</vt:lpstr>
      <vt:lpstr>sch16354</vt:lpstr>
      <vt:lpstr>sch16355</vt:lpstr>
      <vt:lpstr>sch26018</vt:lpstr>
      <vt:lpstr>sch26018hpl</vt:lpstr>
      <vt:lpstr>sch26021</vt:lpstr>
      <vt:lpstr>sch26021hpl</vt:lpstr>
      <vt:lpstr>sch26026</vt:lpstr>
      <vt:lpstr>sch26026hpl</vt:lpstr>
      <vt:lpstr>sch26073</vt:lpstr>
      <vt:lpstr>sch26073hpl</vt:lpstr>
      <vt:lpstr>sch26084</vt:lpstr>
      <vt:lpstr>sch26084hpl</vt:lpstr>
      <vt:lpstr>sch26106</vt:lpstr>
      <vt:lpstr>sch26126</vt:lpstr>
      <vt:lpstr>sch26126hpl</vt:lpstr>
      <vt:lpstr>sch26150</vt:lpstr>
      <vt:lpstr>sch26160</vt:lpstr>
      <vt:lpstr>sch26160hpl</vt:lpstr>
      <vt:lpstr>sch26167</vt:lpstr>
      <vt:lpstr>sch26169</vt:lpstr>
      <vt:lpstr>sch26184</vt:lpstr>
      <vt:lpstr>sch6148</vt:lpstr>
      <vt:lpstr>sch802</vt:lpstr>
      <vt:lpstr>sch802cig</vt:lpstr>
      <vt:lpstr>sch802hpl</vt:lpstr>
      <vt:lpstr>sch804</vt:lpstr>
      <vt:lpstr>sch804cig</vt:lpstr>
      <vt:lpstr>sch804hpl</vt:lpstr>
      <vt:lpstr>sch806</vt:lpstr>
      <vt:lpstr>sch806cig</vt:lpstr>
      <vt:lpstr>sch806hpl</vt:lpstr>
      <vt:lpstr>sch809</vt:lpstr>
      <vt:lpstr>sch809cig</vt:lpstr>
      <vt:lpstr>sch809hpl</vt:lpstr>
      <vt:lpstr>sch812</vt:lpstr>
      <vt:lpstr>sch812cig</vt:lpstr>
      <vt:lpstr>sch812hpl</vt:lpstr>
      <vt:lpstr>sch813</vt:lpstr>
      <vt:lpstr>sch813cig</vt:lpstr>
      <vt:lpstr>sch813hpl</vt:lpstr>
      <vt:lpstr>sch814</vt:lpstr>
      <vt:lpstr>sch8141a</vt:lpstr>
      <vt:lpstr>sch8141acig</vt:lpstr>
      <vt:lpstr>sch8141ahpl</vt:lpstr>
      <vt:lpstr>sch814cig</vt:lpstr>
      <vt:lpstr>sch814hpl</vt:lpstr>
      <vt:lpstr>sch816</vt:lpstr>
      <vt:lpstr>sch816cig</vt:lpstr>
      <vt:lpstr>sch816hpl</vt:lpstr>
      <vt:lpstr>sch820</vt:lpstr>
      <vt:lpstr>sch820cig</vt:lpstr>
      <vt:lpstr>sch820hpl</vt:lpstr>
      <vt:lpstr>schcedar</vt:lpstr>
      <vt:lpstr>schhoest</vt:lpstr>
      <vt:lpstr>schHPLAD</vt:lpstr>
      <vt:lpstr>schHPLADhpl</vt:lpstr>
      <vt:lpstr>schHPLGreg</vt:lpstr>
      <vt:lpstr>schHPLGreghpl</vt:lpstr>
      <vt:lpstr>schKR</vt:lpstr>
      <vt:lpstr>schkrcig</vt:lpstr>
      <vt:lpstr>schkrhpl</vt:lpstr>
      <vt:lpstr>schMB</vt:lpstr>
      <vt:lpstr>schMBhpl</vt:lpstr>
      <vt:lpstr>schSCTTL</vt:lpstr>
      <vt:lpstr>schSCTTLhpl</vt:lpstr>
      <vt:lpstr>schSeahawk</vt:lpstr>
      <vt:lpstr>schST</vt:lpstr>
      <vt:lpstr>schSTcig</vt:lpstr>
      <vt:lpstr>schSThpl</vt:lpstr>
      <vt:lpstr>SchTGPAD</vt:lpstr>
      <vt:lpstr>schTGPADhpl</vt:lpstr>
      <vt:lpstr>schTGPSAB</vt:lpstr>
      <vt:lpstr>schTGPSABhpl</vt:lpstr>
      <vt:lpstr>tablewinflowlookup</vt:lpstr>
      <vt:lpstr>TD804</vt:lpstr>
      <vt:lpstr>TD806</vt:lpstr>
      <vt:lpstr>TD809</vt:lpstr>
      <vt:lpstr>TG16088</vt:lpstr>
      <vt:lpstr>TG16179</vt:lpstr>
      <vt:lpstr>TG16340</vt:lpstr>
      <vt:lpstr>TG26006</vt:lpstr>
      <vt:lpstr>TG26083</vt:lpstr>
      <vt:lpstr>TG26157</vt:lpstr>
      <vt:lpstr>TS806</vt:lpstr>
      <vt:lpstr>TS809</vt:lpstr>
      <vt:lpstr>TTLCHK800South</vt:lpstr>
      <vt:lpstr>TTLCHK804</vt:lpstr>
      <vt:lpstr>TTLCHK812</vt:lpstr>
      <vt:lpstr>TTLCHK816</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EPFS</dc:creator>
  <cp:lastModifiedBy>Havlíček Jan</cp:lastModifiedBy>
  <dcterms:created xsi:type="dcterms:W3CDTF">2000-09-27T11:26:49Z</dcterms:created>
  <dcterms:modified xsi:type="dcterms:W3CDTF">2023-09-10T15:10:38Z</dcterms:modified>
</cp:coreProperties>
</file>