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60" yWindow="492"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Deals!$C$97</definedName>
    <definedName name="EndofDType">Deals!$B$97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4" i="6"/>
  <c r="AE94" i="6"/>
  <c r="AF94" i="6"/>
  <c r="F101"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G126" i="6"/>
  <c r="F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A satisfied Microsoft Office user</author>
  </authors>
  <commentList>
    <comment ref="B58" authorId="0" shapeId="0">
      <text>
        <r>
          <rPr>
            <b/>
            <sz val="10"/>
            <color indexed="81"/>
            <rFont val="Tahoma"/>
            <family val="2"/>
          </rPr>
          <t>cdean2: Scrape down</t>
        </r>
        <r>
          <rPr>
            <sz val="8"/>
            <color indexed="81"/>
            <rFont val="Tahoma"/>
          </rPr>
          <t xml:space="preserve">
</t>
        </r>
      </text>
    </comment>
    <comment ref="C58" authorId="0" shapeId="0">
      <text>
        <r>
          <rPr>
            <b/>
            <sz val="10"/>
            <color indexed="81"/>
            <rFont val="Tahoma"/>
            <family val="2"/>
          </rPr>
          <t>cdean2: Scrape down</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cdean2</author>
    <author>Holden Salisbury</author>
    <author>s_mcrouch</author>
  </authors>
  <commentList>
    <comment ref="A8" authorId="0" shapeId="0">
      <text>
        <r>
          <rPr>
            <sz val="16"/>
            <color indexed="81"/>
            <rFont val="Tahoma"/>
            <family val="2"/>
          </rPr>
          <t>Amrad</t>
        </r>
      </text>
    </comment>
    <comment ref="J10" authorId="1" shapeId="0">
      <text>
        <r>
          <rPr>
            <b/>
            <sz val="10"/>
            <color indexed="81"/>
            <rFont val="Tahoma"/>
            <family val="2"/>
          </rPr>
          <t xml:space="preserve">cdean2:  Devers line down.  ISO cut this schedule.  I BOUGHT IT BACK AT 6 DOLLARS SEE BELOW.
</t>
        </r>
        <r>
          <rPr>
            <sz val="8"/>
            <color indexed="81"/>
            <rFont val="Tahoma"/>
          </rPr>
          <t xml:space="preserve">
</t>
        </r>
      </text>
    </comment>
    <comment ref="K10" authorId="1" shapeId="0">
      <text>
        <r>
          <rPr>
            <b/>
            <sz val="10"/>
            <color indexed="81"/>
            <rFont val="Tahoma"/>
            <family val="2"/>
          </rPr>
          <t xml:space="preserve">cdean2:  Devers line down.  ISO cut this schedule.  See corresponding bookout in real time.
</t>
        </r>
        <r>
          <rPr>
            <sz val="8"/>
            <color indexed="81"/>
            <rFont val="Tahoma"/>
          </rPr>
          <t xml:space="preserve">
</t>
        </r>
      </text>
    </comment>
    <comment ref="D16" authorId="2" shapeId="0">
      <text>
        <r>
          <rPr>
            <sz val="10"/>
            <color indexed="81"/>
            <rFont val="Tahoma"/>
            <family val="2"/>
          </rPr>
          <t>NOTE TO SELF.
The CALPX lines are hidden.  They are rows 16-64.</t>
        </r>
      </text>
    </comment>
    <comment ref="J68" authorId="1" shapeId="0">
      <text>
        <r>
          <rPr>
            <b/>
            <sz val="10"/>
            <color indexed="81"/>
            <rFont val="Tahoma"/>
            <family val="2"/>
          </rPr>
          <t xml:space="preserve">cdean2:  Devers line down.  ISO cut this schedule.  See corresponding bookout in real time.
</t>
        </r>
        <r>
          <rPr>
            <sz val="8"/>
            <color indexed="81"/>
            <rFont val="Tahoma"/>
          </rPr>
          <t xml:space="preserve">
</t>
        </r>
      </text>
    </comment>
    <comment ref="K68" authorId="1" shapeId="0">
      <text>
        <r>
          <rPr>
            <b/>
            <sz val="10"/>
            <color indexed="81"/>
            <rFont val="Tahoma"/>
            <family val="2"/>
          </rPr>
          <t xml:space="preserve">cdean2:  Devers line down.  ISO cut this schedule.  See corresponding bookout in real time.
</t>
        </r>
        <r>
          <rPr>
            <sz val="8"/>
            <color indexed="81"/>
            <rFont val="Tahoma"/>
          </rPr>
          <t xml:space="preserve">
</t>
        </r>
      </text>
    </comment>
    <comment ref="A94" authorId="3" shapeId="0">
      <text>
        <r>
          <rPr>
            <b/>
            <sz val="12"/>
            <color indexed="81"/>
            <rFont val="Tahoma"/>
            <family val="2"/>
          </rPr>
          <t xml:space="preserve">dporter3
Spin
$10/$300 Strike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<sst xmlns="http://schemas.openxmlformats.org/spreadsheetml/2006/main" count="772" uniqueCount="389">
  <si>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</si>
  <si>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</si>
  <si>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</si>
  <si>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</si>
  <si>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</si>
  <si>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</si>
  <si>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</si>
  <si>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</si>
  <si>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</si>
  <si>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</si>
  <si>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</si>
  <si>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</si>
  <si>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</si>
  <si>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</si>
  <si>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</si>
  <si>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</si>
  <si>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</si>
  <si>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</si>
  <si>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</si>
  <si>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</si>
  <si>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</si>
  <si>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</si>
  <si>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</si>
  <si>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</si>
  <si>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</si>
  <si>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</si>
  <si>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</si>
  <si>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</si>
  <si>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</si>
  <si>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</si>
  <si>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</si>
  <si>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</si>
  <si>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</si>
  <si>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</si>
  <si>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</si>
  <si>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</si>
  <si>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</si>
  <si>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</si>
  <si>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</si>
  <si>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</si>
  <si>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</si>
  <si>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</si>
  <si>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</si>
  <si>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</si>
  <si>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</si>
  <si>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</si>
  <si>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</si>
  <si>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</si>
  <si>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</si>
  <si>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</si>
  <si>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</si>
  <si>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</si>
  <si>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</si>
  <si>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</si>
  <si>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</si>
  <si>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</si>
  <si>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</si>
  <si>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</si>
  <si>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</si>
  <si>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</si>
  <si>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</si>
  <si>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</si>
  <si>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</si>
  <si>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</si>
  <si>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</si>
  <si>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</si>
  <si>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</si>
  <si>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</si>
  <si>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</si>
  <si>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</si>
  <si>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</si>
  <si>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</si>
  <si>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</si>
  <si>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</si>
  <si>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</si>
  <si>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</si>
  <si>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</si>
  <si>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</si>
  <si>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</si>
  <si>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</si>
  <si>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</si>
  <si>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</si>
  <si>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</si>
  <si>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</si>
  <si>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</si>
  <si>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</si>
  <si>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</si>
  <si>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</si>
  <si>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</si>
  <si>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</si>
  <si>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</si>
  <si>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</si>
  <si>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</si>
  <si>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</si>
  <si>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</si>
  <si>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</si>
  <si>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</si>
  <si>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</si>
  <si>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</si>
  <si>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</si>
  <si>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</si>
  <si>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</si>
  <si>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</si>
  <si>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</si>
  <si>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</si>
  <si>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</si>
  <si>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</si>
  <si>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</si>
  <si>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</si>
  <si>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</si>
  <si>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</si>
  <si>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</si>
  <si>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</si>
  <si>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</si>
  <si>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</si>
  <si>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</si>
  <si>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</si>
  <si>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</si>
  <si>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</si>
  <si>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</si>
  <si>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</si>
  <si>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</si>
  <si>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</si>
  <si>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</si>
  <si>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</si>
  <si>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</si>
  <si>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</si>
  <si>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</si>
  <si>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</si>
  <si>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</si>
  <si>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</si>
  <si>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</si>
  <si>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</si>
  <si>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</si>
  <si>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</si>
  <si>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</si>
  <si>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</si>
  <si>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</si>
  <si>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</si>
  <si>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</si>
  <si>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</si>
  <si>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</si>
  <si>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</si>
  <si>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</si>
  <si>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</si>
  <si>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</si>
  <si>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</si>
  <si>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</si>
  <si>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</si>
  <si>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</si>
  <si>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</si>
  <si>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</si>
  <si>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</si>
  <si>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</si>
  <si>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</si>
  <si>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</si>
  <si>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</si>
  <si>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</si>
  <si>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</si>
  <si>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</si>
  <si>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</si>
  <si>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</si>
  <si>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</si>
  <si>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</si>
  <si>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</si>
  <si>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</si>
  <si>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</si>
  <si>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</si>
  <si>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</si>
  <si>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</si>
  <si>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</si>
  <si>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</si>
  <si>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</si>
  <si>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</si>
  <si>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</si>
  <si>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</si>
  <si>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</si>
  <si>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</si>
  <si>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</si>
  <si>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</si>
  <si>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</si>
  <si>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</si>
  <si>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</si>
  <si>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</si>
  <si>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</si>
  <si>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</si>
  <si>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</si>
  <si>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</si>
  <si>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</si>
  <si>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</si>
  <si>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</si>
  <si>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</si>
  <si>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</si>
  <si>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</si>
  <si>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</si>
  <si>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</si>
  <si>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</si>
  <si>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</si>
  <si>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</si>
  <si>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</si>
  <si>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</si>
  <si>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</si>
  <si>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</si>
  <si>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</si>
  <si>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</si>
  <si>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</si>
  <si>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</si>
  <si>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</si>
  <si>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</si>
  <si>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</si>
  <si>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</si>
  <si>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</si>
  <si>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</si>
  <si>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</si>
  <si>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</si>
  <si>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</si>
  <si>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</si>
  <si>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</si>
  <si>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</si>
  <si>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</si>
  <si>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</si>
  <si>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</si>
  <si>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</si>
  <si>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</si>
  <si>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</si>
  <si>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</si>
  <si>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</si>
  <si>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</si>
  <si>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</si>
  <si>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</si>
  <si>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</si>
  <si>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</si>
  <si>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</si>
  <si>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</si>
  <si>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</si>
  <si>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</si>
  <si>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</si>
  <si>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</si>
  <si>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</si>
  <si>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</si>
  <si>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</si>
  <si>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</si>
  <si>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</si>
  <si>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</si>
  <si>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</si>
  <si>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</si>
  <si>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</si>
  <si>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</si>
  <si>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</si>
  <si>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</si>
  <si>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</si>
  <si>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</si>
  <si>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</si>
  <si>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</si>
  <si>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</si>
  <si>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</si>
  <si>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</si>
  <si>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</si>
  <si>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</si>
  <si>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</si>
  <si>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</si>
  <si>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</si>
  <si>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</si>
  <si>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</si>
  <si>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</si>
  <si>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</si>
  <si>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</si>
  <si>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</si>
  <si>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</si>
  <si>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</si>
  <si>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</si>
  <si>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</si>
  <si>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</si>
  <si>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</si>
  <si>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</si>
  <si>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</si>
  <si>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</si>
  <si>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</si>
  <si>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</si>
  <si>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</si>
  <si>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</si>
  <si>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</si>
  <si>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</si>
  <si>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</si>
  <si>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</si>
  <si>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</si>
  <si>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</si>
  <si>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</si>
  <si>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</si>
  <si>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</si>
  <si>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</si>
  <si>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</si>
  <si>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</si>
  <si>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</si>
  <si>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</si>
  <si>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</si>
  <si>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</si>
  <si>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</si>
  <si>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</si>
  <si>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</si>
  <si>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</si>
  <si>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</si>
  <si>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</si>
  <si>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</si>
  <si>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</si>
  <si>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</si>
  <si>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</si>
  <si>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</si>
  <si>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</si>
  <si>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</si>
  <si>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</si>
  <si>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</si>
  <si>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</si>
  <si>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</si>
  <si>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</si>
  <si>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</si>
  <si>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</si>
  <si>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</si>
  <si>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</si>
  <si>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</si>
  <si>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</si>
  <si>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</si>
  <si>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</si>
  <si>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</si>
  <si>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</si>
  <si>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</si>
  <si>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</si>
  <si>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</si>
  <si>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</si>
  <si>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</si>
  <si>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</si>
  <si>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</si>
  <si>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</si>
  <si>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</si>
  <si>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</si>
  <si>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</si>
  <si>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</si>
  <si>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</si>
  <si>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</si>
  <si>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</si>
  <si>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</si>
  <si>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</si>
  <si>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</si>
  <si>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</si>
  <si>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</si>
  <si>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</si>
  <si>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</si>
  <si>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</si>
  <si>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</si>
  <si>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</si>
  <si>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</si>
  <si>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</si>
  <si>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</si>
  <si>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</si>
  <si>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</si>
  <si>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</si>
  <si>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</si>
  <si>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</si>
  <si>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</si>
  <si>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</si>
  <si>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</si>
  <si>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</si>
  <si>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</si>
  <si>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</si>
  <si>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CISO/WESCO</t>
  </si>
  <si>
    <t>x</t>
  </si>
  <si>
    <t>Econ</t>
  </si>
  <si>
    <t>NM/GT2+ST,UNAV,  0  ,100  , 66  ,107  ,  0  ,1</t>
  </si>
  <si>
    <t>SRP/NEVP</t>
  </si>
  <si>
    <t>APS/ISO</t>
  </si>
  <si>
    <t>Firm</t>
  </si>
  <si>
    <t>HI</t>
  </si>
  <si>
    <t>NM/GT1+ST,AVAL,  0  ,100  , 61  ,107  ,  0  ,1</t>
  </si>
  <si>
    <t>WESCO</t>
  </si>
  <si>
    <t>APS/ISO Mirant</t>
  </si>
  <si>
    <t>EPMI/CISO</t>
  </si>
  <si>
    <t>RIOGRAN 6,MANL, 38  , 40  , 28  , 48  ,  0  ,1</t>
  </si>
  <si>
    <t>EPMI/IPC/PNM</t>
  </si>
  <si>
    <t>NEWMAN 1 ,ECON, 38  , 66  , 38  , 78  , 28  ,1</t>
  </si>
  <si>
    <t>NEWMAN 2 ,MANL, 40  , 77  , 37  , 83  ,  0  ,1</t>
  </si>
  <si>
    <t>NEWMAN 3 ,ECON, 97  ,100  , 34  ,103  ,  2  ,1</t>
  </si>
  <si>
    <t>NEWMAN 4 ,MANL,192  ,214  , 86  ,214  ,  0  ,1</t>
  </si>
  <si>
    <t xml:space="preserve">NEWMAN   ,, 368 ,  457,  195, 478 ,  29 , </t>
  </si>
  <si>
    <t>COPPER   ,ECON, 25  , 69  , 15  , 69  , 45  ,1</t>
  </si>
  <si>
    <t>RIOGRAN 8,MANL, 78  , 80  , 50  ,151  ,  0  ,1</t>
  </si>
  <si>
    <t xml:space="preserve">RIOGRANDE,, 116 ,  120,   78, 199 ,   0 , </t>
  </si>
  <si>
    <t>PALOVERDE,MANL,395  ,395  ,395  ,600  ,  0  ,1</t>
  </si>
  <si>
    <t>FOURCRNRS,MANL,104  ,104  ,104  ,104  ,  0  ,1</t>
  </si>
  <si>
    <t>LAMBDA, 45.09,  745,  746,  152,   -1,    0,28787,225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</si>
</sst>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b/>
      <sz val="12"/>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9" fillId="14" borderId="62" xfId="0" applyFont="1" applyFill="1" applyBorder="1" applyAlignment="1" applyProtection="1">
      <alignment wrapText="1"/>
      <protection locked="0"/>
    </xf>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97</xdr:row>
          <xdr:rowOff>167640</xdr:rowOff>
        </xdr:from>
        <xdr:to>
          <xdr:col>12</xdr:col>
          <xdr:colOff>99060</xdr:colOff>
          <xdr:row>98</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99</xdr:row>
      <xdr:rowOff>0</xdr:rowOff>
    </xdr:from>
    <xdr:to>
      <xdr:col>24</xdr:col>
      <xdr:colOff>259080</xdr:colOff>
      <xdr:row>122</xdr:row>
      <xdr:rowOff>76200</xdr:rowOff>
    </xdr:to>
    <xdr:sp macro="" textlink="">
      <xdr:nvSpPr>
        <xdr:cNvPr id="2303" name="Text Box 255"/>
        <xdr:cNvSpPr txBox="1">
          <a:spLocks noChangeArrowheads="1"/>
        </xdr:cNvSpPr>
      </xdr:nvSpPr>
      <xdr:spPr bwMode="auto">
        <a:xfrm>
          <a:off x="5387340" y="86487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31" activePane="bottomLeft" state="frozen"/>
      <selection pane="bottomLeft" activeCell="J33" sqref="J3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4">
        <v>37009</v>
      </c>
      <c r="B1" s="588"/>
      <c r="C1" s="588"/>
      <c r="D1" s="588"/>
      <c r="E1" s="588"/>
      <c r="F1" s="588"/>
      <c r="G1" s="588"/>
      <c r="H1" s="588"/>
      <c r="I1" s="588"/>
      <c r="J1" s="588"/>
      <c r="K1" s="717"/>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5"/>
      <c r="B2" s="493"/>
      <c r="C2" s="493"/>
      <c r="D2" s="493" t="s">
        <v>365</v>
      </c>
      <c r="E2" s="493" t="s">
        <v>365</v>
      </c>
      <c r="F2" s="493" t="s">
        <v>365</v>
      </c>
      <c r="G2" s="493" t="s">
        <v>365</v>
      </c>
      <c r="H2" s="493" t="s">
        <v>365</v>
      </c>
      <c r="I2" s="493" t="s">
        <v>365</v>
      </c>
      <c r="J2" s="493" t="s">
        <v>365</v>
      </c>
      <c r="K2" s="493" t="s">
        <v>365</v>
      </c>
      <c r="L2" s="493" t="s">
        <v>365</v>
      </c>
      <c r="M2" s="493" t="s">
        <v>365</v>
      </c>
      <c r="N2" s="493" t="s">
        <v>365</v>
      </c>
      <c r="O2" s="493" t="s">
        <v>365</v>
      </c>
      <c r="P2" s="493" t="s">
        <v>365</v>
      </c>
      <c r="Q2" s="493" t="s">
        <v>365</v>
      </c>
      <c r="R2" s="493" t="s">
        <v>365</v>
      </c>
      <c r="S2" s="493" t="s">
        <v>365</v>
      </c>
      <c r="T2" s="493" t="s">
        <v>365</v>
      </c>
      <c r="U2" s="493" t="s">
        <v>365</v>
      </c>
      <c r="V2" s="493" t="s">
        <v>365</v>
      </c>
      <c r="W2" s="493" t="s">
        <v>365</v>
      </c>
      <c r="X2" s="493" t="s">
        <v>365</v>
      </c>
      <c r="Y2" s="607" t="s">
        <v>365</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1" t="s">
        <v>306</v>
      </c>
      <c r="B4" s="516">
        <v>610</v>
      </c>
      <c r="C4" s="516">
        <v>616</v>
      </c>
      <c r="D4" s="516">
        <v>597</v>
      </c>
      <c r="E4" s="516">
        <v>598</v>
      </c>
      <c r="F4" s="516">
        <v>630</v>
      </c>
      <c r="G4" s="516">
        <v>597</v>
      </c>
      <c r="H4" s="516">
        <v>630</v>
      </c>
      <c r="I4" s="516">
        <v>692</v>
      </c>
      <c r="J4" s="516">
        <v>726</v>
      </c>
      <c r="K4" s="516">
        <v>787</v>
      </c>
      <c r="L4" s="516">
        <v>793</v>
      </c>
      <c r="M4" s="516">
        <v>814</v>
      </c>
      <c r="N4" s="516">
        <v>812</v>
      </c>
      <c r="O4" s="516">
        <v>819</v>
      </c>
      <c r="P4" s="516">
        <v>837</v>
      </c>
      <c r="Q4" s="516">
        <v>805</v>
      </c>
      <c r="R4" s="516">
        <v>817</v>
      </c>
      <c r="S4" s="516">
        <v>788</v>
      </c>
      <c r="T4" s="516">
        <v>795</v>
      </c>
      <c r="U4" s="516">
        <v>829</v>
      </c>
      <c r="V4" s="516">
        <v>824</v>
      </c>
      <c r="W4" s="516">
        <v>746</v>
      </c>
      <c r="X4" s="516">
        <v>682</v>
      </c>
      <c r="Y4" s="517">
        <v>640</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-25</v>
      </c>
      <c r="Y11" s="627">
        <f t="array" aca="1" ref="Y11" ca="1">SUM(IF((DelPoint= "4C")*IF((DType = "firm")+(DType = "econ")&gt;0,1,0)*(OFFSET(DelPoint,0,Y3+2)&lt;0),OFFSET(DelPoint,0,Y3+2),0))</f>
        <v>0</v>
      </c>
      <c r="Z11" s="160"/>
      <c r="AA11" s="162"/>
    </row>
    <row r="12" spans="1:213" s="161" customFormat="1" ht="11.4"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8">
        <f t="array" aca="1" ref="Y12" ca="1">SUM(IF((DelPoint= "PV")*(DType = "pre")*(OFFSET(DelPoint,0,Y3+2)&lt;0),OFFSET(DelPoint,0,Y3+2),0))</f>
        <v>0</v>
      </c>
      <c r="Z12" s="160"/>
      <c r="AA12" s="162"/>
    </row>
    <row r="13" spans="1:213" s="161" customFormat="1" ht="11.4"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1.4"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-125</v>
      </c>
      <c r="G15" s="202">
        <f t="array" aca="1" ref="G15" ca="1">SUM(IF((DelPoint= "PV")*IF((DType = "firm")+(DType = "econ")&gt;0,1,0)*(OFFSET(DelPoint,0,G3+2)&lt;0),OFFSET(DelPoint,0,G3+2),0))</f>
        <v>-125</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1.4"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c r="X17" s="423"/>
      <c r="Y17" s="631">
        <f t="array" aca="1" ref="Y17" ca="1">SUM(IF((DelPoint= "hidalgo")*IF((DType = "firm")+(DType = "econ")&gt;0,1,0)*(OFFSET(DelPoint,0,Y3+2)&lt;0),OFFSET(DelPoint,0,Y3+2),0))</f>
        <v>0</v>
      </c>
      <c r="Z17" s="160"/>
      <c r="AA17" s="162"/>
    </row>
    <row r="18" spans="1:27" s="161" customFormat="1" ht="12" x14ac:dyDescent="0.2">
      <c r="A18" s="598" t="s">
        <v>277</v>
      </c>
      <c r="B18" s="668">
        <f ca="1">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1.4"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 ca="1">Deals!F3</f>
        <v>150</v>
      </c>
      <c r="C22" s="425">
        <f>Deals!G3</f>
        <v>150</v>
      </c>
      <c r="D22" s="425">
        <f>Deals!H3</f>
        <v>150</v>
      </c>
      <c r="E22" s="425">
        <f>Deals!I3</f>
        <v>150</v>
      </c>
      <c r="F22" s="425">
        <f>Deals!J3</f>
        <v>150</v>
      </c>
      <c r="G22" s="425">
        <f>Deals!K3</f>
        <v>150</v>
      </c>
      <c r="H22" s="425">
        <f>Deals!L3</f>
        <v>125</v>
      </c>
      <c r="I22" s="425">
        <f>Deals!M3</f>
        <v>125</v>
      </c>
      <c r="J22" s="425">
        <f>Deals!N3</f>
        <v>125</v>
      </c>
      <c r="K22" s="425">
        <f>Deals!O3</f>
        <v>125</v>
      </c>
      <c r="L22" s="425">
        <f>Deals!P3</f>
        <v>140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19</v>
      </c>
      <c r="C23" s="205">
        <f>Deals!G5</f>
        <v>19</v>
      </c>
      <c r="D23" s="205">
        <f>Deals!H5</f>
        <v>19</v>
      </c>
      <c r="E23" s="205">
        <f>Deals!I5</f>
        <v>19</v>
      </c>
      <c r="F23" s="205">
        <f>Deals!J5</f>
        <v>1</v>
      </c>
      <c r="G23" s="205">
        <f>Deals!K5</f>
        <v>1</v>
      </c>
      <c r="H23" s="205">
        <f>Deals!L5</f>
        <v>1</v>
      </c>
      <c r="I23" s="205">
        <f>Deals!M5</f>
        <v>1</v>
      </c>
      <c r="J23" s="205">
        <f>Deals!N5</f>
        <v>19</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6">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c r="X27" s="666"/>
      <c r="Y27" s="666"/>
      <c r="Z27" s="160"/>
      <c r="AA27" s="162"/>
    </row>
    <row r="28" spans="1:27" s="161" customFormat="1" ht="12"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0</v>
      </c>
      <c r="D28" s="641">
        <f t="array" aca="1" ref="D28" ca="1">SUM(IF((DelPoint= "4C")*IF((DType = "firm")+(DType = "econ")&gt;0,1,0)*(OFFSET(DelPoint,0,D3+2)&gt;0),OFFSET(DelPoint,0,D3+2),0))</f>
        <v>0</v>
      </c>
      <c r="E28" s="641">
        <f t="array" aca="1" ref="E28" ca="1">SUM(IF((DelPoint= "4C")*IF((DType = "firm")+(DType = "econ")&gt;0,1,0)*(OFFSET(DelPoint,0,E3+2)&gt;0),OFFSET(DelPoint,0,E3+2),0))</f>
        <v>0</v>
      </c>
      <c r="F28" s="641">
        <f t="array" aca="1" ref="F28" ca="1">SUM(IF((DelPoint= "4C")*IF((DType = "firm")+(DType = "econ")&gt;0,1,0)*(OFFSET(DelPoint,0,F3+2)&gt;0),OFFSET(DelPoint,0,F3+2),0))</f>
        <v>0</v>
      </c>
      <c r="G28" s="641">
        <f t="array" aca="1" ref="G28" ca="1">SUM(IF((DelPoint= "4C")*IF((DType = "firm")+(DType = "econ")&gt;0,1,0)*(OFFSET(DelPoint,0,G3+2)&gt;0),OFFSET(DelPoint,0,G3+2),0))</f>
        <v>50</v>
      </c>
      <c r="H28" s="641">
        <f t="array" aca="1" ref="H28" ca="1">SUM(IF((DelPoint= "4C")*IF((DType = "firm")+(DType = "econ")&gt;0,1,0)*(OFFSET(DelPoint,0,H3+2)&gt;0),OFFSET(DelPoint,0,H3+2),0))</f>
        <v>100</v>
      </c>
      <c r="I28" s="641">
        <f t="array" aca="1" ref="I28" ca="1">SUM(IF((DelPoint= "4C")*IF((DType = "firm")+(DType = "econ")&gt;0,1,0)*(OFFSET(DelPoint,0,I3+2)&gt;0),OFFSET(DelPoint,0,I3+2),0))</f>
        <v>100</v>
      </c>
      <c r="J28" s="641">
        <f t="array" aca="1" ref="J28" ca="1">SUM(IF((DelPoint= "4C")*IF((DType = "firm")+(DType = "econ")&gt;0,1,0)*(OFFSET(DelPoint,0,J3+2)&gt;0),OFFSET(DelPoint,0,J3+2),0))</f>
        <v>150</v>
      </c>
      <c r="K28" s="641">
        <f t="array" aca="1" ref="K28" ca="1">SUM(IF((DelPoint= "4C")*IF((DType = "firm")+(DType = "econ")&gt;0,1,0)*(OFFSET(DelPoint,0,K3+2)&gt;0),OFFSET(DelPoint,0,K3+2),0))</f>
        <v>175</v>
      </c>
      <c r="L28" s="641">
        <f t="array" aca="1" ref="L28" ca="1">SUM(IF((DelPoint= "4C")*IF((DType = "firm")+(DType = "econ")&gt;0,1,0)*(OFFSET(DelPoint,0,L3+2)&gt;0),OFFSET(DelPoint,0,L3+2),0))</f>
        <v>125</v>
      </c>
      <c r="M28" s="641">
        <f t="array" aca="1" ref="M28" ca="1">SUM(IF((DelPoint= "4C")*IF((DType = "firm")+(DType = "econ")&gt;0,1,0)*(OFFSET(DelPoint,0,M3+2)&gt;0),OFFSET(DelPoint,0,M3+2),0))</f>
        <v>100</v>
      </c>
      <c r="N28" s="641">
        <f t="array" aca="1" ref="N28" ca="1">SUM(IF((DelPoint= "4C")*IF((DType = "firm")+(DType = "econ")&gt;0,1,0)*(OFFSET(DelPoint,0,N3+2)&gt;0),OFFSET(DelPoint,0,N3+2),0))</f>
        <v>50</v>
      </c>
      <c r="O28" s="641">
        <f t="array" aca="1" ref="O28" ca="1">SUM(IF((DelPoint= "4C")*IF((DType = "firm")+(DType = "econ")&gt;0,1,0)*(OFFSET(DelPoint,0,O3+2)&gt;0),OFFSET(DelPoint,0,O3+2),0))</f>
        <v>43</v>
      </c>
      <c r="P28" s="641">
        <f t="array" aca="1" ref="P28" ca="1">SUM(IF((DelPoint= "4C")*IF((DType = "firm")+(DType = "econ")&gt;0,1,0)*(OFFSET(DelPoint,0,P3+2)&gt;0),OFFSET(DelPoint,0,P3+2),0))</f>
        <v>0</v>
      </c>
      <c r="Q28" s="641">
        <f t="array" aca="1" ref="Q28" ca="1">SUM(IF((DelPoint= "4C")*IF((DType = "firm")+(DType = "econ")&gt;0,1,0)*(OFFSET(DelPoint,0,Q3+2)&gt;0),OFFSET(DelPoint,0,Q3+2),0))</f>
        <v>0</v>
      </c>
      <c r="R28" s="641">
        <f t="array" aca="1" ref="R28" ca="1">SUM(IF((DelPoint= "4C")*IF((DType = "firm")+(DType = "econ")&gt;0,1,0)*(OFFSET(DelPoint,0,R3+2)&gt;0),OFFSET(DelPoint,0,R3+2),0))</f>
        <v>0</v>
      </c>
      <c r="S28" s="641">
        <f t="array" aca="1" ref="S28" ca="1">SUM(IF((DelPoint= "4C")*IF((DType = "firm")+(DType = "econ")&gt;0,1,0)*(OFFSET(DelPoint,0,S3+2)&gt;0),OFFSET(DelPoint,0,S3+2),0))</f>
        <v>50</v>
      </c>
      <c r="T28" s="641">
        <f t="array" aca="1" ref="T28" ca="1">SUM(IF((DelPoint= "4C")*IF((DType = "firm")+(DType = "econ")&gt;0,1,0)*(OFFSET(DelPoint,0,T3+2)&gt;0),OFFSET(DelPoint,0,T3+2),0))</f>
        <v>50</v>
      </c>
      <c r="U28" s="641">
        <f t="array" aca="1" ref="U28" ca="1">SUM(IF((DelPoint= "4C")*IF((DType = "firm")+(DType = "econ")&gt;0,1,0)*(OFFSET(DelPoint,0,U3+2)&gt;0),OFFSET(DelPoint,0,U3+2),0))</f>
        <v>50</v>
      </c>
      <c r="V28" s="641">
        <f t="array" aca="1" ref="V28" ca="1">SUM(IF((DelPoint= "4C")*IF((DType = "firm")+(DType = "econ")&gt;0,1,0)*(OFFSET(DelPoint,0,V3+2)&gt;0),OFFSET(DelPoint,0,V3+2),0))</f>
        <v>50</v>
      </c>
      <c r="W28" s="641">
        <f t="array" aca="1" ref="W28" ca="1">SUM(IF((DelPoint= "4C")*IF((DType = "firm")+(DType = "econ")&gt;0,1,0)*(OFFSET(DelPoint,0,W3+2)&gt;0),OFFSET(DelPoint,0,W3+2),0))</f>
        <v>75</v>
      </c>
      <c r="X28" s="641">
        <f t="array" aca="1" ref="X28" ca="1">SUM(IF((DelPoint= "4C")*IF((DType = "firm")+(DType = "econ")&gt;0,1,0)*(OFFSET(DelPoint,0,X3+2)&gt;0),OFFSET(DelPoint,0,X3+2),0))</f>
        <v>78</v>
      </c>
      <c r="Y28" s="643">
        <f t="array" aca="1" ref="Y28" ca="1">SUM(IF((DelPoint= "4C")*IF((DType = "firm")+(DType = "econ")&gt;0,1,0)*(OFFSET(DelPoint,0,Y3+2)&gt;0),OFFSET(DelPoint,0,Y3+2),0))</f>
        <v>26</v>
      </c>
      <c r="Z28" s="160"/>
      <c r="AA28" s="162"/>
    </row>
    <row r="29" spans="1:27" s="161" customFormat="1" ht="11.4"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 ca="1">Deals!F10+Deals!F11</f>
        <v>103</v>
      </c>
      <c r="C31" s="671">
        <f>Deals!G10+Deals!G11</f>
        <v>103</v>
      </c>
      <c r="D31" s="671">
        <f>Deals!H10+Deals!H11</f>
        <v>103</v>
      </c>
      <c r="E31" s="671">
        <f>Deals!I10+Deals!I11</f>
        <v>103</v>
      </c>
      <c r="F31" s="671">
        <f>Deals!J10+Deals!J11</f>
        <v>103</v>
      </c>
      <c r="G31" s="671">
        <f>Deals!K10+Deals!K11</f>
        <v>103</v>
      </c>
      <c r="H31" s="671">
        <f>Deals!L10+Deals!L11</f>
        <v>0</v>
      </c>
      <c r="I31" s="671">
        <f>Deals!M10+Deals!M11</f>
        <v>0</v>
      </c>
      <c r="J31" s="671">
        <f>Deals!N10+Deals!N11</f>
        <v>0</v>
      </c>
      <c r="K31" s="671">
        <f>Deals!O10+Deals!O11</f>
        <v>0</v>
      </c>
      <c r="L31" s="671">
        <f>Deals!P10+Deals!P11</f>
        <v>0</v>
      </c>
      <c r="M31" s="671">
        <f>Deals!Q10+Deals!Q11</f>
        <v>0</v>
      </c>
      <c r="N31" s="671">
        <f>Deals!R10+Deals!R11</f>
        <v>0</v>
      </c>
      <c r="O31" s="671">
        <f>Deals!S10+Deals!S11</f>
        <v>0</v>
      </c>
      <c r="P31" s="671">
        <f>Deals!T10+Deals!T11</f>
        <v>0</v>
      </c>
      <c r="Q31" s="671">
        <f>Deals!U10+Deals!U11</f>
        <v>0</v>
      </c>
      <c r="R31" s="671">
        <f>Deals!V10+Deals!V11</f>
        <v>0</v>
      </c>
      <c r="S31" s="671">
        <f>Deals!W10+Deals!W11</f>
        <v>0</v>
      </c>
      <c r="T31" s="671">
        <f>Deals!X10+Deals!X11</f>
        <v>0</v>
      </c>
      <c r="U31" s="671">
        <f>Deals!Y10+Deals!Y11</f>
        <v>0</v>
      </c>
      <c r="V31" s="671">
        <f>Deals!Z10+Deals!Z11</f>
        <v>0</v>
      </c>
      <c r="W31" s="671">
        <f>Deals!AA10+Deals!AA11</f>
        <v>0</v>
      </c>
      <c r="X31" s="671">
        <f>Deals!AB10+Deals!AB11</f>
        <v>103</v>
      </c>
      <c r="Y31" s="671">
        <f>Deals!AC10+Deals!AC11</f>
        <v>103</v>
      </c>
      <c r="Z31" s="160"/>
      <c r="AA31" s="162"/>
    </row>
    <row r="32" spans="1:27" s="161" customFormat="1" ht="11.4" x14ac:dyDescent="0.2">
      <c r="A32" s="501" t="s">
        <v>120</v>
      </c>
      <c r="B32" s="610">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25</v>
      </c>
      <c r="O32" s="202">
        <f t="array" aca="1" ref="O32" ca="1">SUM(IF((DelPoint= "PV")*IF((DType = "firm")+(DType = "econ")&gt;0,1,0)*(OFFSET(DelPoint,0,O3+2)&gt;0),OFFSET(DelPoint,0,O3+2),0))</f>
        <v>25</v>
      </c>
      <c r="P32" s="202">
        <f t="array" aca="1" ref="P32" ca="1">SUM(IF((DelPoint= "PV")*IF((DType = "firm")+(DType = "econ")&gt;0,1,0)*(OFFSET(DelPoint,0,P3+2)&gt;0),OFFSET(DelPoint,0,P3+2),0))</f>
        <v>25</v>
      </c>
      <c r="Q32" s="202">
        <f t="array" aca="1" ref="Q32" ca="1">SUM(IF((DelPoint= "PV")*IF((DType = "firm")+(DType = "econ")&gt;0,1,0)*(OFFSET(DelPoint,0,Q3+2)&gt;0),OFFSET(DelPoint,0,Q3+2),0))</f>
        <v>25</v>
      </c>
      <c r="R32" s="202">
        <f t="array" aca="1" ref="R32" ca="1">SUM(IF((DelPoint= "PV")*IF((DType = "firm")+(DType = "econ")&gt;0,1,0)*(OFFSET(DelPoint,0,R3+2)&gt;0),OFFSET(DelPoint,0,R3+2),0))</f>
        <v>25</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50</v>
      </c>
      <c r="V32" s="202">
        <f t="array" aca="1" ref="V32" ca="1">SUM(IF((DelPoint= "PV")*IF((DType = "firm")+(DType = "econ")&gt;0,1,0)*(OFFSET(DelPoint,0,V3+2)&gt;0),OFFSET(DelPoint,0,V3+2),0))</f>
        <v>100</v>
      </c>
      <c r="W32" s="202">
        <f t="array" aca="1" ref="W32" ca="1">SUM(IF((DelPoint= "PV")*IF((DType = "firm")+(DType = "econ")&gt;0,1,0)*(OFFSET(DelPoint,0,W3+2)&gt;0),OFFSET(DelPoint,0,W3+2),0))</f>
        <v>100</v>
      </c>
      <c r="X32" s="202">
        <f t="array" aca="1" ref="X32" ca="1">SUM(IF((DelPoint= "PV")*IF((DType = "firm")+(DType = "econ")&gt;0,1,0)*(OFFSET(DelPoint,0,X3+2)&gt;0),OFFSET(DelPoint,0,X3+2),0))</f>
        <v>75</v>
      </c>
      <c r="Y32" s="629">
        <f t="array" aca="1" ref="Y32" ca="1">SUM(IF((DelPoint= "PV")*IF((DType = "firm")+(DType = "econ")&gt;0,1,0)*(OFFSET(DelPoint,0,Y3+2)&gt;0),OFFSET(DelPoint,0,Y3+2),0))</f>
        <v>75</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1007</v>
      </c>
      <c r="C38" s="533">
        <f ca="1">SUM(C22:C37)+C4+C5</f>
        <v>1013</v>
      </c>
      <c r="D38" s="533">
        <f ca="1">SUM(D22:D37)+D4+D5</f>
        <v>994</v>
      </c>
      <c r="E38" s="533">
        <f ca="1">SUM(E22:E37)+E4+E5</f>
        <v>995</v>
      </c>
      <c r="F38" s="533">
        <f ca="1">SUM(F22:F37)+F4+F5</f>
        <v>959</v>
      </c>
      <c r="G38" s="533">
        <f t="shared" ref="G38:Y38" ca="1" si="6">SUM(G22:G37)+G4+G5</f>
        <v>976</v>
      </c>
      <c r="H38" s="533">
        <f t="shared" ca="1" si="6"/>
        <v>881</v>
      </c>
      <c r="I38" s="533">
        <f t="shared" ca="1" si="6"/>
        <v>943</v>
      </c>
      <c r="J38" s="533">
        <f t="shared" ca="1" si="6"/>
        <v>1045</v>
      </c>
      <c r="K38" s="533">
        <f t="shared" ca="1" si="6"/>
        <v>1131</v>
      </c>
      <c r="L38" s="533">
        <f t="shared" ca="1" si="6"/>
        <v>1102</v>
      </c>
      <c r="M38" s="533">
        <f t="shared" ca="1" si="6"/>
        <v>1108</v>
      </c>
      <c r="N38" s="533">
        <f t="shared" ca="1" si="6"/>
        <v>1081</v>
      </c>
      <c r="O38" s="533">
        <f t="shared" ca="1" si="6"/>
        <v>1081</v>
      </c>
      <c r="P38" s="533">
        <f t="shared" ca="1" si="6"/>
        <v>1056</v>
      </c>
      <c r="Q38" s="533">
        <f t="shared" ca="1" si="6"/>
        <v>1024</v>
      </c>
      <c r="R38" s="533">
        <f t="shared" ca="1" si="6"/>
        <v>1036</v>
      </c>
      <c r="S38" s="533">
        <f t="shared" ca="1" si="6"/>
        <v>1032</v>
      </c>
      <c r="T38" s="533">
        <f t="shared" ca="1" si="6"/>
        <v>1039</v>
      </c>
      <c r="U38" s="533">
        <f t="shared" ca="1" si="6"/>
        <v>1123</v>
      </c>
      <c r="V38" s="533">
        <f t="shared" ca="1" si="6"/>
        <v>1168</v>
      </c>
      <c r="W38" s="533">
        <f ca="1">SUM(W22:W37)+W4+W5</f>
        <v>1115</v>
      </c>
      <c r="X38" s="533">
        <f ca="1">SUM(X22:X37)+X4+X5</f>
        <v>1182</v>
      </c>
      <c r="Y38" s="534">
        <f t="shared" ca="1" si="6"/>
        <v>1088</v>
      </c>
      <c r="Z38" s="352"/>
      <c r="AA38" s="162"/>
    </row>
    <row r="39" spans="1:33" s="161" customFormat="1" ht="16.2"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ht="12.6"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40</v>
      </c>
      <c r="C41" s="191">
        <v>39</v>
      </c>
      <c r="D41" s="191">
        <v>38</v>
      </c>
      <c r="E41" s="585">
        <v>38</v>
      </c>
      <c r="F41" s="191">
        <v>38</v>
      </c>
      <c r="G41" s="191">
        <v>38</v>
      </c>
      <c r="H41" s="191">
        <v>41</v>
      </c>
      <c r="I41" s="191">
        <v>39</v>
      </c>
      <c r="J41" s="191">
        <v>41</v>
      </c>
      <c r="K41" s="191">
        <v>55</v>
      </c>
      <c r="L41" s="191">
        <v>39</v>
      </c>
      <c r="M41" s="191">
        <v>53</v>
      </c>
      <c r="N41" s="191">
        <v>53</v>
      </c>
      <c r="O41" s="191">
        <v>41</v>
      </c>
      <c r="P41" s="191">
        <v>39</v>
      </c>
      <c r="Q41" s="191">
        <v>40</v>
      </c>
      <c r="R41" s="191">
        <v>38</v>
      </c>
      <c r="S41" s="191">
        <v>38</v>
      </c>
      <c r="T41" s="191">
        <v>40</v>
      </c>
      <c r="U41" s="191">
        <v>39</v>
      </c>
      <c r="V41" s="191">
        <v>58</v>
      </c>
      <c r="W41" s="191">
        <v>38</v>
      </c>
      <c r="X41" s="191">
        <v>38</v>
      </c>
      <c r="Y41" s="559">
        <v>39</v>
      </c>
      <c r="Z41" s="354">
        <v>80</v>
      </c>
      <c r="AA41" s="214">
        <f ca="1">-Economics!D34/Economics!I34</f>
        <v>11684.600207270409</v>
      </c>
    </row>
    <row r="42" spans="1:33" s="161" customFormat="1" ht="15" customHeight="1" x14ac:dyDescent="0.2">
      <c r="A42" s="558" t="s">
        <v>131</v>
      </c>
      <c r="B42" s="191">
        <v>42</v>
      </c>
      <c r="C42" s="191">
        <v>40</v>
      </c>
      <c r="D42" s="191">
        <v>33</v>
      </c>
      <c r="E42" s="585">
        <v>32</v>
      </c>
      <c r="F42" s="191">
        <v>32</v>
      </c>
      <c r="G42" s="191">
        <v>33</v>
      </c>
      <c r="H42" s="191">
        <v>33</v>
      </c>
      <c r="I42" s="191">
        <v>34</v>
      </c>
      <c r="J42" s="191">
        <v>34</v>
      </c>
      <c r="K42" s="191">
        <v>78</v>
      </c>
      <c r="L42" s="191">
        <v>77</v>
      </c>
      <c r="M42" s="191">
        <v>77</v>
      </c>
      <c r="N42" s="191">
        <v>77</v>
      </c>
      <c r="O42" s="191">
        <v>71</v>
      </c>
      <c r="P42" s="191">
        <v>42</v>
      </c>
      <c r="Q42" s="191">
        <v>40</v>
      </c>
      <c r="R42" s="191">
        <v>41</v>
      </c>
      <c r="S42" s="191">
        <v>42</v>
      </c>
      <c r="T42" s="191">
        <v>41</v>
      </c>
      <c r="U42" s="191">
        <v>43</v>
      </c>
      <c r="V42" s="191">
        <v>43</v>
      </c>
      <c r="W42" s="191">
        <v>40</v>
      </c>
      <c r="X42" s="191">
        <v>41</v>
      </c>
      <c r="Y42" s="559">
        <v>78</v>
      </c>
      <c r="Z42" s="354">
        <v>78</v>
      </c>
      <c r="AA42" s="214">
        <f ca="1">-Economics!D35/Economics!I35</f>
        <v>12119.317004145409</v>
      </c>
    </row>
    <row r="43" spans="1:33" s="161" customFormat="1" ht="12.75" customHeight="1" x14ac:dyDescent="0.2">
      <c r="A43" s="560" t="s">
        <v>132</v>
      </c>
      <c r="B43" s="192">
        <v>63</v>
      </c>
      <c r="C43" s="192">
        <v>99</v>
      </c>
      <c r="D43" s="192">
        <v>61</v>
      </c>
      <c r="E43" s="586">
        <v>63</v>
      </c>
      <c r="F43" s="192">
        <v>34</v>
      </c>
      <c r="G43" s="192">
        <v>81</v>
      </c>
      <c r="H43" s="192">
        <v>81</v>
      </c>
      <c r="I43" s="192">
        <v>81</v>
      </c>
      <c r="J43" s="192">
        <v>100</v>
      </c>
      <c r="K43" s="192">
        <v>100</v>
      </c>
      <c r="L43" s="192">
        <v>100</v>
      </c>
      <c r="M43" s="192">
        <v>100</v>
      </c>
      <c r="N43" s="192">
        <v>87</v>
      </c>
      <c r="O43" s="192">
        <v>80</v>
      </c>
      <c r="P43" s="192">
        <v>82</v>
      </c>
      <c r="Q43" s="192">
        <v>53</v>
      </c>
      <c r="R43" s="192">
        <v>57</v>
      </c>
      <c r="S43" s="192">
        <v>50</v>
      </c>
      <c r="T43" s="192">
        <v>67</v>
      </c>
      <c r="U43" s="192">
        <v>100</v>
      </c>
      <c r="V43" s="192">
        <v>100</v>
      </c>
      <c r="W43" s="192">
        <v>97</v>
      </c>
      <c r="X43" s="192">
        <v>50</v>
      </c>
      <c r="Y43" s="561">
        <v>51</v>
      </c>
      <c r="Z43" s="356">
        <v>103</v>
      </c>
      <c r="AA43" s="215">
        <f ca="1">-Economics!D36/Economics!I36</f>
        <v>18665.078922193879</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213</v>
      </c>
      <c r="C48" s="192">
        <v>214</v>
      </c>
      <c r="D48" s="192">
        <v>208</v>
      </c>
      <c r="E48" s="192">
        <v>207</v>
      </c>
      <c r="F48" s="192">
        <v>100</v>
      </c>
      <c r="G48" s="192">
        <v>101</v>
      </c>
      <c r="H48" s="192">
        <v>122</v>
      </c>
      <c r="I48" s="192">
        <v>138</v>
      </c>
      <c r="J48" s="192">
        <v>203</v>
      </c>
      <c r="K48" s="192">
        <v>191</v>
      </c>
      <c r="L48" s="192">
        <v>196</v>
      </c>
      <c r="M48" s="192">
        <v>180</v>
      </c>
      <c r="N48" s="192">
        <v>179</v>
      </c>
      <c r="O48" s="192">
        <v>206</v>
      </c>
      <c r="P48" s="192">
        <v>208</v>
      </c>
      <c r="Q48" s="192">
        <v>207</v>
      </c>
      <c r="R48" s="192">
        <v>208</v>
      </c>
      <c r="S48" s="192">
        <v>207</v>
      </c>
      <c r="T48" s="192">
        <v>201</v>
      </c>
      <c r="U48" s="192">
        <v>189</v>
      </c>
      <c r="V48" s="192">
        <v>185</v>
      </c>
      <c r="W48" s="192">
        <v>192</v>
      </c>
      <c r="X48" s="192">
        <v>197</v>
      </c>
      <c r="Y48" s="561">
        <v>185</v>
      </c>
      <c r="Z48" s="356">
        <v>212</v>
      </c>
      <c r="AA48" s="215">
        <f ca="1">-Economics!D41/Economics!I41</f>
        <v>41469.622927295917</v>
      </c>
    </row>
    <row r="49" spans="1:27" s="161" customFormat="1" ht="12.75" customHeight="1" x14ac:dyDescent="0.2">
      <c r="A49" s="560" t="s">
        <v>134</v>
      </c>
      <c r="B49" s="192">
        <v>18</v>
      </c>
      <c r="C49" s="192">
        <v>37</v>
      </c>
      <c r="D49" s="192">
        <v>16</v>
      </c>
      <c r="E49" s="192">
        <v>15</v>
      </c>
      <c r="F49" s="192">
        <v>16</v>
      </c>
      <c r="G49" s="192">
        <v>13</v>
      </c>
      <c r="H49" s="192">
        <v>16</v>
      </c>
      <c r="I49" s="192">
        <v>15</v>
      </c>
      <c r="J49" s="192">
        <v>41</v>
      </c>
      <c r="K49" s="192">
        <v>58</v>
      </c>
      <c r="L49" s="192">
        <v>30</v>
      </c>
      <c r="M49" s="192">
        <v>30</v>
      </c>
      <c r="N49" s="192">
        <v>21</v>
      </c>
      <c r="O49" s="192">
        <v>18</v>
      </c>
      <c r="P49" s="192">
        <v>20</v>
      </c>
      <c r="Q49" s="192">
        <v>16</v>
      </c>
      <c r="R49" s="192">
        <v>17</v>
      </c>
      <c r="S49" s="192">
        <v>17</v>
      </c>
      <c r="T49" s="192">
        <v>16</v>
      </c>
      <c r="U49" s="192">
        <v>55</v>
      </c>
      <c r="V49" s="192">
        <v>63</v>
      </c>
      <c r="W49" s="192">
        <v>25</v>
      </c>
      <c r="X49" s="192">
        <v>16</v>
      </c>
      <c r="Y49" s="192">
        <v>14</v>
      </c>
      <c r="Z49" s="356">
        <v>68</v>
      </c>
      <c r="AA49" s="215">
        <f ca="1">-Economics!D42/Economics!I42</f>
        <v>11049.806680484695</v>
      </c>
    </row>
    <row r="50" spans="1:27" s="161" customFormat="1" ht="12.75" customHeight="1" x14ac:dyDescent="0.2">
      <c r="A50" s="558" t="s">
        <v>135</v>
      </c>
      <c r="B50" s="191">
        <v>28</v>
      </c>
      <c r="C50" s="191">
        <v>28</v>
      </c>
      <c r="D50" s="191">
        <v>28</v>
      </c>
      <c r="E50" s="191">
        <v>28</v>
      </c>
      <c r="F50" s="191">
        <v>28</v>
      </c>
      <c r="G50" s="191">
        <v>28</v>
      </c>
      <c r="H50" s="191">
        <v>28</v>
      </c>
      <c r="I50" s="191">
        <v>28</v>
      </c>
      <c r="J50" s="191">
        <v>28</v>
      </c>
      <c r="K50" s="191">
        <v>38</v>
      </c>
      <c r="L50" s="191">
        <v>38</v>
      </c>
      <c r="M50" s="191">
        <v>38</v>
      </c>
      <c r="N50" s="191">
        <v>38</v>
      </c>
      <c r="O50" s="191">
        <v>38</v>
      </c>
      <c r="P50" s="191">
        <v>38</v>
      </c>
      <c r="Q50" s="191">
        <v>38</v>
      </c>
      <c r="R50" s="191">
        <v>38</v>
      </c>
      <c r="S50" s="191">
        <v>38</v>
      </c>
      <c r="T50" s="191">
        <v>38</v>
      </c>
      <c r="U50" s="191">
        <v>38</v>
      </c>
      <c r="V50" s="191">
        <v>38</v>
      </c>
      <c r="W50" s="191">
        <v>38</v>
      </c>
      <c r="X50" s="191">
        <v>38</v>
      </c>
      <c r="Y50" s="559">
        <v>39</v>
      </c>
      <c r="Z50" s="354">
        <v>48</v>
      </c>
      <c r="AA50" s="214">
        <f ca="1">-Economics!D43/Economics!I43</f>
        <v>10087.071994617225</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60</v>
      </c>
      <c r="C52" s="191">
        <v>59</v>
      </c>
      <c r="D52" s="191">
        <v>59</v>
      </c>
      <c r="E52" s="191">
        <v>59</v>
      </c>
      <c r="F52" s="191">
        <v>58</v>
      </c>
      <c r="G52" s="191">
        <v>60</v>
      </c>
      <c r="H52" s="191">
        <v>59</v>
      </c>
      <c r="I52" s="191">
        <v>61</v>
      </c>
      <c r="J52" s="191">
        <v>60</v>
      </c>
      <c r="K52" s="191">
        <v>60</v>
      </c>
      <c r="L52" s="191">
        <v>79</v>
      </c>
      <c r="M52" s="191">
        <v>79</v>
      </c>
      <c r="N52" s="191">
        <v>79</v>
      </c>
      <c r="O52" s="191">
        <v>78</v>
      </c>
      <c r="P52" s="191">
        <v>78</v>
      </c>
      <c r="Q52" s="191">
        <v>79</v>
      </c>
      <c r="R52" s="191">
        <v>79</v>
      </c>
      <c r="S52" s="191">
        <v>79</v>
      </c>
      <c r="T52" s="191">
        <v>79</v>
      </c>
      <c r="U52" s="191">
        <v>79</v>
      </c>
      <c r="V52" s="191">
        <v>79</v>
      </c>
      <c r="W52" s="191">
        <v>78</v>
      </c>
      <c r="X52" s="191">
        <v>78</v>
      </c>
      <c r="Y52" s="559">
        <v>79</v>
      </c>
      <c r="Z52" s="357">
        <v>130</v>
      </c>
      <c r="AA52" s="216">
        <f ca="1">-Economics!D45/Economics!I45</f>
        <v>17276.259718899524</v>
      </c>
    </row>
    <row r="53" spans="1:27" s="161" customFormat="1" ht="12.75" customHeight="1" thickTop="1" x14ac:dyDescent="0.2">
      <c r="A53" s="558" t="s">
        <v>127</v>
      </c>
      <c r="B53" s="191">
        <v>131</v>
      </c>
      <c r="C53" s="191">
        <v>131</v>
      </c>
      <c r="D53" s="191">
        <v>132</v>
      </c>
      <c r="E53" s="191">
        <v>132</v>
      </c>
      <c r="F53" s="191">
        <v>132</v>
      </c>
      <c r="G53" s="191">
        <v>133</v>
      </c>
      <c r="H53" s="191">
        <v>132</v>
      </c>
      <c r="I53" s="191">
        <v>132</v>
      </c>
      <c r="J53" s="191">
        <v>132</v>
      </c>
      <c r="K53" s="191">
        <v>132</v>
      </c>
      <c r="L53" s="191">
        <v>132</v>
      </c>
      <c r="M53" s="191">
        <v>132</v>
      </c>
      <c r="N53" s="191">
        <v>132</v>
      </c>
      <c r="O53" s="191">
        <v>131</v>
      </c>
      <c r="P53" s="191">
        <v>132</v>
      </c>
      <c r="Q53" s="191">
        <v>132</v>
      </c>
      <c r="R53" s="191">
        <v>132</v>
      </c>
      <c r="S53" s="191">
        <v>132</v>
      </c>
      <c r="T53" s="191">
        <v>132</v>
      </c>
      <c r="U53" s="191">
        <v>132</v>
      </c>
      <c r="V53" s="191">
        <v>132</v>
      </c>
      <c r="W53" s="191">
        <v>132</v>
      </c>
      <c r="X53" s="191">
        <v>132</v>
      </c>
      <c r="Y53" s="559">
        <v>134</v>
      </c>
      <c r="Z53" s="354">
        <v>198</v>
      </c>
      <c r="AA53" s="212"/>
    </row>
    <row r="54" spans="1:27" s="161" customFormat="1" ht="12.75" customHeight="1" x14ac:dyDescent="0.2">
      <c r="A54" s="558" t="s">
        <v>128</v>
      </c>
      <c r="B54" s="191">
        <v>131</v>
      </c>
      <c r="C54" s="191">
        <v>131</v>
      </c>
      <c r="D54" s="191">
        <v>132</v>
      </c>
      <c r="E54" s="191">
        <v>132</v>
      </c>
      <c r="F54" s="191">
        <v>132</v>
      </c>
      <c r="G54" s="191">
        <v>133</v>
      </c>
      <c r="H54" s="191">
        <v>132</v>
      </c>
      <c r="I54" s="191">
        <v>132</v>
      </c>
      <c r="J54" s="191">
        <v>132</v>
      </c>
      <c r="K54" s="191">
        <v>132</v>
      </c>
      <c r="L54" s="191">
        <v>132</v>
      </c>
      <c r="M54" s="191">
        <v>132</v>
      </c>
      <c r="N54" s="191">
        <v>132</v>
      </c>
      <c r="O54" s="191">
        <v>131</v>
      </c>
      <c r="P54" s="191">
        <v>132</v>
      </c>
      <c r="Q54" s="191">
        <v>132</v>
      </c>
      <c r="R54" s="191">
        <v>132</v>
      </c>
      <c r="S54" s="191">
        <v>132</v>
      </c>
      <c r="T54" s="191">
        <v>132</v>
      </c>
      <c r="U54" s="191">
        <v>132</v>
      </c>
      <c r="V54" s="191">
        <v>132</v>
      </c>
      <c r="W54" s="191">
        <v>132</v>
      </c>
      <c r="X54" s="191">
        <v>132</v>
      </c>
      <c r="Y54" s="559">
        <v>134</v>
      </c>
      <c r="Z54" s="354">
        <v>198</v>
      </c>
      <c r="AA54" s="212"/>
    </row>
    <row r="55" spans="1:27" s="161" customFormat="1" ht="12.75" customHeight="1" x14ac:dyDescent="0.2">
      <c r="A55" s="558" t="s">
        <v>129</v>
      </c>
      <c r="B55" s="191">
        <v>131</v>
      </c>
      <c r="C55" s="191">
        <v>131</v>
      </c>
      <c r="D55" s="191">
        <v>132</v>
      </c>
      <c r="E55" s="191">
        <v>133</v>
      </c>
      <c r="F55" s="191">
        <v>133</v>
      </c>
      <c r="G55" s="191">
        <v>133</v>
      </c>
      <c r="H55" s="191">
        <v>132</v>
      </c>
      <c r="I55" s="191">
        <v>132</v>
      </c>
      <c r="J55" s="191">
        <v>132</v>
      </c>
      <c r="K55" s="191">
        <v>132</v>
      </c>
      <c r="L55" s="191">
        <v>132</v>
      </c>
      <c r="M55" s="191">
        <v>132</v>
      </c>
      <c r="N55" s="191">
        <v>132</v>
      </c>
      <c r="O55" s="191">
        <v>131</v>
      </c>
      <c r="P55" s="191">
        <v>132</v>
      </c>
      <c r="Q55" s="191">
        <v>132</v>
      </c>
      <c r="R55" s="191">
        <v>132</v>
      </c>
      <c r="S55" s="191">
        <v>132</v>
      </c>
      <c r="T55" s="191">
        <v>132</v>
      </c>
      <c r="U55" s="191">
        <v>132</v>
      </c>
      <c r="V55" s="191">
        <v>132</v>
      </c>
      <c r="W55" s="191">
        <v>132</v>
      </c>
      <c r="X55" s="191">
        <v>132</v>
      </c>
      <c r="Y55" s="559">
        <v>134</v>
      </c>
      <c r="Z55" s="354">
        <v>198</v>
      </c>
      <c r="AA55" s="212"/>
    </row>
    <row r="56" spans="1:27" s="161" customFormat="1" ht="12.75" customHeight="1" x14ac:dyDescent="0.2">
      <c r="A56" s="558" t="s">
        <v>125</v>
      </c>
      <c r="B56" s="191">
        <v>-2</v>
      </c>
      <c r="C56" s="191">
        <v>-2</v>
      </c>
      <c r="D56" s="191">
        <v>51</v>
      </c>
      <c r="E56" s="191">
        <v>51</v>
      </c>
      <c r="F56" s="191">
        <v>51</v>
      </c>
      <c r="G56" s="191">
        <v>-1</v>
      </c>
      <c r="H56" s="191">
        <v>1</v>
      </c>
      <c r="I56" s="191">
        <v>46</v>
      </c>
      <c r="J56" s="191">
        <v>46</v>
      </c>
      <c r="K56" s="191">
        <v>46</v>
      </c>
      <c r="L56" s="191">
        <v>46</v>
      </c>
      <c r="M56" s="191">
        <v>46</v>
      </c>
      <c r="N56" s="191">
        <v>46</v>
      </c>
      <c r="O56" s="191">
        <v>46</v>
      </c>
      <c r="P56" s="191">
        <v>48</v>
      </c>
      <c r="Q56" s="191">
        <v>51</v>
      </c>
      <c r="R56" s="191">
        <v>53</v>
      </c>
      <c r="S56" s="191">
        <v>65</v>
      </c>
      <c r="T56" s="191">
        <v>64</v>
      </c>
      <c r="U56" s="191">
        <v>87</v>
      </c>
      <c r="V56" s="191">
        <v>105</v>
      </c>
      <c r="W56" s="191">
        <v>104</v>
      </c>
      <c r="X56" s="191">
        <v>104</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-49</v>
      </c>
      <c r="C58" s="563">
        <f t="shared" ca="1" si="7"/>
        <v>-3</v>
      </c>
      <c r="D58" s="563">
        <f t="shared" ca="1" si="7"/>
        <v>-1</v>
      </c>
      <c r="E58" s="563">
        <f t="shared" ca="1" si="7"/>
        <v>-2</v>
      </c>
      <c r="F58" s="563">
        <f t="shared" ca="1" si="7"/>
        <v>23</v>
      </c>
      <c r="G58" s="563">
        <f t="shared" ca="1" si="7"/>
        <v>4</v>
      </c>
      <c r="H58" s="563">
        <f ca="1">H59-H38</f>
        <v>-1</v>
      </c>
      <c r="I58" s="563">
        <f t="shared" ca="1" si="7"/>
        <v>-2</v>
      </c>
      <c r="J58" s="563">
        <f t="shared" ca="1" si="7"/>
        <v>7</v>
      </c>
      <c r="K58" s="563">
        <f t="shared" ca="1" si="7"/>
        <v>-6</v>
      </c>
      <c r="L58" s="563">
        <f t="shared" ca="1" si="7"/>
        <v>2</v>
      </c>
      <c r="M58" s="563">
        <f t="shared" ca="1" si="7"/>
        <v>-6</v>
      </c>
      <c r="N58" s="563">
        <f ca="1">N59-N38</f>
        <v>-2</v>
      </c>
      <c r="O58" s="563">
        <f ca="1">O59-O38</f>
        <v>-7</v>
      </c>
      <c r="P58" s="563">
        <f ca="1">P59-P38</f>
        <v>-2</v>
      </c>
      <c r="Q58" s="563">
        <f ca="1">Q59-Q38</f>
        <v>-1</v>
      </c>
      <c r="R58" s="563">
        <f ca="1">R59-R38</f>
        <v>-6</v>
      </c>
      <c r="S58" s="563">
        <f t="shared" ca="1" si="7"/>
        <v>3</v>
      </c>
      <c r="T58" s="563">
        <f t="shared" ca="1" si="7"/>
        <v>6</v>
      </c>
      <c r="U58" s="563">
        <f t="shared" ca="1" si="7"/>
        <v>6</v>
      </c>
      <c r="V58" s="563">
        <f t="shared" ca="1" si="7"/>
        <v>2</v>
      </c>
      <c r="W58" s="563">
        <f t="shared" ca="1" si="7"/>
        <v>-4</v>
      </c>
      <c r="X58" s="563">
        <f t="shared" ca="1" si="7"/>
        <v>-96</v>
      </c>
      <c r="Y58" s="563">
        <f t="shared" ca="1" si="7"/>
        <v>7</v>
      </c>
      <c r="Z58" s="355">
        <f ca="1">SUM(Z41:Z55)+Z41+Z42+Z43+Z48+Z49+Z50+Z51+Z52</f>
        <v>2416</v>
      </c>
      <c r="AA58" s="213">
        <f ca="1">SUM(AA41:AA55)</f>
        <v>122351.75745490706</v>
      </c>
    </row>
    <row r="59" spans="1:27" s="161" customFormat="1" ht="12" x14ac:dyDescent="0.2">
      <c r="A59" s="552"/>
      <c r="B59" s="553">
        <f t="shared" ref="B59:Y59" ca="1" si="8">SUM(B41:B57)-SUM(B7:B20)</f>
        <v>958</v>
      </c>
      <c r="C59" s="553">
        <f t="shared" ca="1" si="8"/>
        <v>1010</v>
      </c>
      <c r="D59" s="553">
        <f t="shared" ca="1" si="8"/>
        <v>993</v>
      </c>
      <c r="E59" s="553">
        <f t="shared" ca="1" si="8"/>
        <v>993</v>
      </c>
      <c r="F59" s="553">
        <f t="shared" ca="1" si="8"/>
        <v>982</v>
      </c>
      <c r="G59" s="553">
        <f t="shared" ca="1" si="8"/>
        <v>980</v>
      </c>
      <c r="H59" s="553">
        <f t="shared" ca="1" si="8"/>
        <v>880</v>
      </c>
      <c r="I59" s="553">
        <f t="shared" ca="1" si="8"/>
        <v>941</v>
      </c>
      <c r="J59" s="553">
        <f t="shared" ca="1" si="8"/>
        <v>1052</v>
      </c>
      <c r="K59" s="553">
        <f t="shared" ca="1" si="8"/>
        <v>1125</v>
      </c>
      <c r="L59" s="553">
        <f t="shared" ca="1" si="8"/>
        <v>1104</v>
      </c>
      <c r="M59" s="553">
        <f t="shared" ca="1" si="8"/>
        <v>1102</v>
      </c>
      <c r="N59" s="553">
        <f t="shared" ca="1" si="8"/>
        <v>1079</v>
      </c>
      <c r="O59" s="553">
        <f t="shared" ca="1" si="8"/>
        <v>1074</v>
      </c>
      <c r="P59" s="553">
        <f t="shared" ca="1" si="8"/>
        <v>1054</v>
      </c>
      <c r="Q59" s="553">
        <f t="shared" ca="1" si="8"/>
        <v>1023</v>
      </c>
      <c r="R59" s="553">
        <f t="shared" ca="1" si="8"/>
        <v>1030</v>
      </c>
      <c r="S59" s="553">
        <f t="shared" ca="1" si="8"/>
        <v>1035</v>
      </c>
      <c r="T59" s="553">
        <f ca="1">SUM(T41:T57)-SUM(T7:T20)</f>
        <v>1045</v>
      </c>
      <c r="U59" s="553">
        <f t="shared" ca="1" si="8"/>
        <v>1129</v>
      </c>
      <c r="V59" s="553">
        <f t="shared" ca="1" si="8"/>
        <v>1170</v>
      </c>
      <c r="W59" s="553">
        <f t="shared" ca="1" si="8"/>
        <v>1111</v>
      </c>
      <c r="X59" s="553">
        <f t="shared" ca="1" si="8"/>
        <v>1086</v>
      </c>
      <c r="Y59" s="553">
        <f t="shared" ca="1" si="8"/>
        <v>1095</v>
      </c>
      <c r="Z59" s="217">
        <f ca="1">SUM(Economics!D28:D45)</f>
        <v>-317750.37789437501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65</v>
      </c>
      <c r="C62" s="169">
        <f t="shared" ca="1" si="10"/>
        <v>65</v>
      </c>
      <c r="D62" s="169">
        <f t="shared" ca="1" si="10"/>
        <v>68</v>
      </c>
      <c r="E62" s="169">
        <f t="shared" ca="1" si="10"/>
        <v>69</v>
      </c>
      <c r="F62" s="169">
        <f t="shared" ca="1" si="10"/>
        <v>244</v>
      </c>
      <c r="G62" s="169">
        <f t="shared" ca="1" si="10"/>
        <v>246</v>
      </c>
      <c r="H62" s="169">
        <f t="shared" ca="1" si="10"/>
        <v>271</v>
      </c>
      <c r="I62" s="169">
        <f t="shared" ca="1" si="10"/>
        <v>271</v>
      </c>
      <c r="J62" s="169">
        <f ca="1">-SUM(J12:J15,J29:J32,J22) + SUM(J53:J55)</f>
        <v>271</v>
      </c>
      <c r="K62" s="169">
        <f t="shared" ca="1" si="10"/>
        <v>271</v>
      </c>
      <c r="L62" s="169">
        <f t="shared" ca="1" si="10"/>
        <v>256</v>
      </c>
      <c r="M62" s="169">
        <f t="shared" ca="1" si="10"/>
        <v>246</v>
      </c>
      <c r="N62" s="169">
        <f t="shared" ca="1" si="10"/>
        <v>221</v>
      </c>
      <c r="O62" s="169">
        <f t="shared" ca="1" si="10"/>
        <v>218</v>
      </c>
      <c r="P62" s="169">
        <f t="shared" ca="1" si="10"/>
        <v>221</v>
      </c>
      <c r="Q62" s="169">
        <f t="shared" ca="1" si="10"/>
        <v>221</v>
      </c>
      <c r="R62" s="169">
        <f t="shared" ca="1" si="10"/>
        <v>221</v>
      </c>
      <c r="S62" s="169">
        <f t="shared" ca="1" si="10"/>
        <v>246</v>
      </c>
      <c r="T62" s="169">
        <f t="shared" ca="1" si="10"/>
        <v>246</v>
      </c>
      <c r="U62" s="169">
        <f t="shared" ca="1" si="10"/>
        <v>196</v>
      </c>
      <c r="V62" s="169">
        <f t="shared" ca="1" si="10"/>
        <v>146</v>
      </c>
      <c r="W62" s="169">
        <f t="shared" ca="1" si="10"/>
        <v>146</v>
      </c>
      <c r="X62" s="169">
        <f t="shared" ca="1" si="10"/>
        <v>43</v>
      </c>
      <c r="Y62" s="170">
        <f t="shared" ca="1" si="10"/>
        <v>49</v>
      </c>
      <c r="Z62" s="193"/>
      <c r="AA62" s="162"/>
    </row>
    <row r="63" spans="1:27" s="161" customFormat="1" ht="12" x14ac:dyDescent="0.2">
      <c r="A63" s="195" t="s">
        <v>141</v>
      </c>
      <c r="B63" s="169">
        <f t="shared" ref="B63:L63" ca="1" si="11">-SUM(B8:B11,B25:B28) + SUM(B56:B57)</f>
        <v>-27</v>
      </c>
      <c r="C63" s="169">
        <f t="shared" ca="1" si="11"/>
        <v>-27</v>
      </c>
      <c r="D63" s="169">
        <f t="shared" ca="1" si="11"/>
        <v>26</v>
      </c>
      <c r="E63" s="169">
        <f t="shared" ca="1" si="11"/>
        <v>26</v>
      </c>
      <c r="F63" s="169">
        <f t="shared" ca="1" si="11"/>
        <v>26</v>
      </c>
      <c r="G63" s="169">
        <f t="shared" ca="1" si="11"/>
        <v>-76</v>
      </c>
      <c r="H63" s="169">
        <f t="shared" ca="1" si="11"/>
        <v>-99</v>
      </c>
      <c r="I63" s="169">
        <f t="shared" ca="1" si="11"/>
        <v>-54</v>
      </c>
      <c r="J63" s="169">
        <f t="shared" ca="1" si="11"/>
        <v>-104</v>
      </c>
      <c r="K63" s="169">
        <f t="shared" ca="1" si="11"/>
        <v>-129</v>
      </c>
      <c r="L63" s="169">
        <f t="shared" ca="1" si="11"/>
        <v>-79</v>
      </c>
      <c r="M63" s="169">
        <f ca="1">-SUM(M8:M11,M25:M28) + SUM(M57:M57)</f>
        <v>-100</v>
      </c>
      <c r="N63" s="169">
        <f t="shared" ref="N63:Y63" ca="1" si="12">-SUM(N8:N11,N25:N28) + SUM(N56:N57)</f>
        <v>-4</v>
      </c>
      <c r="O63" s="169">
        <f t="shared" ca="1" si="12"/>
        <v>3</v>
      </c>
      <c r="P63" s="169">
        <f t="shared" ca="1" si="12"/>
        <v>48</v>
      </c>
      <c r="Q63" s="169">
        <f t="shared" ca="1" si="12"/>
        <v>51</v>
      </c>
      <c r="R63" s="169">
        <f t="shared" ca="1" si="12"/>
        <v>53</v>
      </c>
      <c r="S63" s="169">
        <f t="shared" ca="1" si="12"/>
        <v>15</v>
      </c>
      <c r="T63" s="169">
        <f t="shared" ca="1" si="12"/>
        <v>14</v>
      </c>
      <c r="U63" s="169">
        <f t="shared" ca="1" si="12"/>
        <v>37</v>
      </c>
      <c r="V63" s="169">
        <f t="shared" ca="1" si="12"/>
        <v>55</v>
      </c>
      <c r="W63" s="169">
        <f t="shared" ca="1" si="12"/>
        <v>29</v>
      </c>
      <c r="X63" s="169">
        <f t="shared" ca="1" si="12"/>
        <v>26</v>
      </c>
      <c r="Y63" s="170">
        <f t="shared" ca="1" si="12"/>
        <v>54</v>
      </c>
      <c r="Z63" s="193"/>
      <c r="AA63" s="162"/>
    </row>
    <row r="64" spans="1:27" s="161" customFormat="1" ht="12" x14ac:dyDescent="0.2">
      <c r="A64" s="195" t="s">
        <v>142</v>
      </c>
      <c r="B64" s="169">
        <f ca="1">IF(B62+B63&gt;645,"err",B62+B63)</f>
        <v>38</v>
      </c>
      <c r="C64" s="169">
        <f t="shared" ref="C64:Y64" ca="1" si="13">IF(C62+C63&gt;645,"err",C62+C63)</f>
        <v>38</v>
      </c>
      <c r="D64" s="169">
        <f t="shared" ca="1" si="13"/>
        <v>94</v>
      </c>
      <c r="E64" s="169">
        <f t="shared" ca="1" si="13"/>
        <v>95</v>
      </c>
      <c r="F64" s="169">
        <f t="shared" ca="1" si="13"/>
        <v>270</v>
      </c>
      <c r="G64" s="169">
        <f t="shared" ca="1" si="13"/>
        <v>170</v>
      </c>
      <c r="H64" s="169">
        <f t="shared" ca="1" si="13"/>
        <v>172</v>
      </c>
      <c r="I64" s="169">
        <f t="shared" ca="1" si="13"/>
        <v>217</v>
      </c>
      <c r="J64" s="169">
        <f t="shared" ca="1" si="13"/>
        <v>167</v>
      </c>
      <c r="K64" s="169">
        <f t="shared" ca="1" si="13"/>
        <v>142</v>
      </c>
      <c r="L64" s="169">
        <f t="shared" ca="1" si="13"/>
        <v>177</v>
      </c>
      <c r="M64" s="169">
        <f t="shared" ca="1" si="13"/>
        <v>146</v>
      </c>
      <c r="N64" s="169">
        <f t="shared" ca="1" si="13"/>
        <v>217</v>
      </c>
      <c r="O64" s="169">
        <f t="shared" ca="1" si="13"/>
        <v>221</v>
      </c>
      <c r="P64" s="169">
        <f t="shared" ca="1" si="13"/>
        <v>269</v>
      </c>
      <c r="Q64" s="169">
        <f t="shared" ca="1" si="13"/>
        <v>272</v>
      </c>
      <c r="R64" s="169">
        <f t="shared" ca="1" si="13"/>
        <v>274</v>
      </c>
      <c r="S64" s="169">
        <f t="shared" ca="1" si="13"/>
        <v>261</v>
      </c>
      <c r="T64" s="169">
        <f t="shared" ca="1" si="13"/>
        <v>260</v>
      </c>
      <c r="U64" s="169">
        <f t="shared" ca="1" si="13"/>
        <v>233</v>
      </c>
      <c r="V64" s="169">
        <f t="shared" ca="1" si="13"/>
        <v>201</v>
      </c>
      <c r="W64" s="169">
        <f t="shared" ca="1" si="13"/>
        <v>175</v>
      </c>
      <c r="X64" s="169">
        <f t="shared" ca="1" si="13"/>
        <v>69</v>
      </c>
      <c r="Y64" s="170">
        <f t="shared" ca="1" si="13"/>
        <v>103</v>
      </c>
      <c r="Z64" s="194"/>
      <c r="AA64" s="162"/>
    </row>
    <row r="65" spans="1:27" s="161" customFormat="1" ht="12" x14ac:dyDescent="0.2">
      <c r="A65" s="195" t="s">
        <v>18</v>
      </c>
      <c r="B65" s="169">
        <f ca="1">SUM(B61:B63)</f>
        <v>38</v>
      </c>
      <c r="C65" s="169">
        <f t="shared" ref="C65:Y65" ca="1" si="14">SUM(C61:C63)</f>
        <v>38</v>
      </c>
      <c r="D65" s="169">
        <f t="shared" ca="1" si="14"/>
        <v>94</v>
      </c>
      <c r="E65" s="169">
        <f t="shared" ca="1" si="14"/>
        <v>95</v>
      </c>
      <c r="F65" s="169">
        <f t="shared" ca="1" si="14"/>
        <v>270</v>
      </c>
      <c r="G65" s="169">
        <f t="shared" ca="1" si="14"/>
        <v>170</v>
      </c>
      <c r="H65" s="169">
        <f t="shared" ca="1" si="14"/>
        <v>172</v>
      </c>
      <c r="I65" s="169">
        <f t="shared" ca="1" si="14"/>
        <v>217</v>
      </c>
      <c r="J65" s="169">
        <f t="shared" ca="1" si="14"/>
        <v>167</v>
      </c>
      <c r="K65" s="169">
        <f t="shared" ca="1" si="14"/>
        <v>142</v>
      </c>
      <c r="L65" s="169">
        <f t="shared" ca="1" si="14"/>
        <v>177</v>
      </c>
      <c r="M65" s="169">
        <f t="shared" ca="1" si="14"/>
        <v>146</v>
      </c>
      <c r="N65" s="169">
        <f t="shared" ca="1" si="14"/>
        <v>217</v>
      </c>
      <c r="O65" s="169">
        <f t="shared" ca="1" si="14"/>
        <v>221</v>
      </c>
      <c r="P65" s="169">
        <f t="shared" ca="1" si="14"/>
        <v>269</v>
      </c>
      <c r="Q65" s="169">
        <f t="shared" ca="1" si="14"/>
        <v>272</v>
      </c>
      <c r="R65" s="169">
        <f t="shared" ca="1" si="14"/>
        <v>274</v>
      </c>
      <c r="S65" s="169">
        <f t="shared" ca="1" si="14"/>
        <v>261</v>
      </c>
      <c r="T65" s="169">
        <f t="shared" ca="1" si="14"/>
        <v>260</v>
      </c>
      <c r="U65" s="169">
        <f t="shared" ca="1" si="14"/>
        <v>233</v>
      </c>
      <c r="V65" s="169">
        <f t="shared" ca="1" si="14"/>
        <v>201</v>
      </c>
      <c r="W65" s="169">
        <f t="shared" ca="1" si="14"/>
        <v>175</v>
      </c>
      <c r="X65" s="169">
        <f t="shared" ca="1" si="14"/>
        <v>69</v>
      </c>
      <c r="Y65" s="170">
        <f t="shared" ca="1" si="14"/>
        <v>103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456</v>
      </c>
      <c r="C67" s="169">
        <f t="array" ref="C67">SUM(IF(C$41:C$55 = 0,0,$Z$41:$Z$55-C$41:C$55))-INDEX(Balancing!$R$4:$R$27,C$3)</f>
        <v>404</v>
      </c>
      <c r="D67" s="169">
        <f t="array" ref="D67">SUM(IF(D$41:D$55 = 0,0,$Z$41:$Z$55-D$41:D$55))-INDEX(Balancing!$R$4:$R$27,D$3)</f>
        <v>474</v>
      </c>
      <c r="E67" s="169">
        <f t="array" ref="E67">SUM(IF(E$41:E$55 = 0,0,$Z$41:$Z$55-E$41:E$55))-INDEX(Balancing!$R$4:$R$27,E$3)</f>
        <v>474</v>
      </c>
      <c r="F67" s="169">
        <f t="array" ref="F67">SUM(IF(F$41:F$55 = 0,0,$Z$41:$Z$55-F$41:F$55))-INDEX(Balancing!$R$4:$R$27,F$3)</f>
        <v>610</v>
      </c>
      <c r="G67" s="169">
        <f t="array" ref="G67">SUM(IF(G$41:G$55 = 0,0,$Z$41:$Z$55-G$41:G$55))-INDEX(Balancing!$R$4:$R$27,G$3)</f>
        <v>560</v>
      </c>
      <c r="H67" s="169">
        <f t="array" ref="H67">SUM(IF(H$41:H$55 = 0,0,$Z$41:$Z$55-H$41:H$55))-INDEX(Balancing!$R$4:$R$27,H$3)</f>
        <v>537</v>
      </c>
      <c r="I67" s="169">
        <f t="array" ref="I67">SUM(IF(I$41:I$55 = 0,0,$Z$41:$Z$55-I$41:I$55))-INDEX(Balancing!$R$4:$R$27,I$3)</f>
        <v>521</v>
      </c>
      <c r="J67" s="169">
        <f t="array" ref="J67">SUM(IF(J$41:J$55 = 0,0,$Z$41:$Z$55-J$41:J$55))-INDEX(Balancing!$R$4:$R$27,J$3)</f>
        <v>410</v>
      </c>
      <c r="K67" s="169">
        <f t="array" ref="K67">SUM(IF(K$41:K$55 = 0,0,$Z$41:$Z$55-K$41:K$55))-INDEX(Balancing!$R$4:$R$27,K$3)</f>
        <v>337</v>
      </c>
      <c r="L67" s="169">
        <f t="array" ref="L67">SUM(IF(L$41:L$55 = 0,0,$Z$41:$Z$55-L$41:L$55))-INDEX(Balancing!$R$4:$R$27,L$3)</f>
        <v>358</v>
      </c>
      <c r="M67" s="169">
        <f t="array" ref="M67">SUM(IF(M$41:M$55 = 0,0,$Z$41:$Z$55-M$41:M$55))-INDEX(Balancing!$R$4:$R$27,M$3)</f>
        <v>360</v>
      </c>
      <c r="N67" s="169">
        <v>179</v>
      </c>
      <c r="O67" s="169">
        <f t="array" ref="O67">SUM(IF(O$41:O$55 = 0,0,$Z$41:$Z$55-O$41:O$55))-INDEX(Balancing!$R$4:$R$27,O$3)</f>
        <v>388</v>
      </c>
      <c r="P67" s="169">
        <f t="array" ref="P67">SUM(IF(P$41:P$55 = 0,0,$Z$41:$Z$55-P$41:P$55))-INDEX(Balancing!$R$4:$R$27,P$3)</f>
        <v>410</v>
      </c>
      <c r="Q67" s="169">
        <f t="array" ref="Q67">SUM(IF(Q$41:Q$55 = 0,0,$Z$41:$Z$55-Q$41:Q$55))-INDEX(Balancing!$R$4:$R$27,Q$3)</f>
        <v>444</v>
      </c>
      <c r="R67" s="169">
        <f t="array" ref="R67">SUM(IF(R$41:R$55 = 0,0,$Z$41:$Z$55-R$41:R$55))-INDEX(Balancing!$R$4:$R$27,R$3)</f>
        <v>439</v>
      </c>
      <c r="S67" s="169">
        <f t="array" ref="S67">SUM(IF(S$41:S$55 = 0,0,$Z$41:$Z$55-S$41:S$55))-INDEX(Balancing!$R$4:$R$27,S$3)</f>
        <v>446</v>
      </c>
      <c r="T67" s="169">
        <f t="array" ref="T67">SUM(IF(T$41:T$55 = 0,0,$Z$41:$Z$55-T$41:T$55))-INDEX(Balancing!$R$4:$R$27,T$3)</f>
        <v>435</v>
      </c>
      <c r="U67" s="169">
        <f t="array" ref="U67">SUM(IF(U$41:U$55 = 0,0,$Z$41:$Z$55-U$41:U$55))-INDEX(Balancing!$R$4:$R$27,U$3)</f>
        <v>374</v>
      </c>
      <c r="V67" s="169">
        <f t="array" ref="V67">SUM(IF(V$41:V$55 = 0,0,$Z$41:$Z$55-V$41:V$55))-INDEX(Balancing!$R$4:$R$27,V$3)</f>
        <v>351</v>
      </c>
      <c r="W67" s="169">
        <f t="array" ref="W67">SUM(IF(W$41:W$55 = 0,0,$Z$41:$Z$55-W$41:W$55))-INDEX(Balancing!$R$4:$R$27,W$3)</f>
        <v>409</v>
      </c>
      <c r="X67" s="169">
        <f t="array" ref="X67">SUM(IF(X$41:X$55 = 0,0,$Z$41:$Z$55-X$41:X$55))-INDEX(Balancing!$R$4:$R$27,X$3)</f>
        <v>459</v>
      </c>
      <c r="Y67" s="170">
        <f t="array" ref="Y67">SUM(IF(Y$41:Y$55 = 0,0,$Z$41:$Z$55-Y$41:Y$55))-INDEX(Balancing!$R$4:$R$27,Y$3)</f>
        <v>426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43</v>
      </c>
      <c r="C69" s="171">
        <f t="shared" si="15"/>
        <v>43</v>
      </c>
      <c r="D69" s="171">
        <f t="shared" si="15"/>
        <v>42</v>
      </c>
      <c r="E69" s="171">
        <f t="shared" si="15"/>
        <v>42</v>
      </c>
      <c r="F69" s="171">
        <f t="shared" si="15"/>
        <v>44</v>
      </c>
      <c r="G69" s="171">
        <f t="shared" si="15"/>
        <v>42</v>
      </c>
      <c r="H69" s="171">
        <f t="shared" ref="H69:X69" si="16">IF(H67&lt;0.07*I4,"err",ROUND(I4*0.07,0))</f>
        <v>48</v>
      </c>
      <c r="I69" s="171">
        <f t="shared" si="16"/>
        <v>51</v>
      </c>
      <c r="J69" s="171">
        <f t="shared" si="16"/>
        <v>55</v>
      </c>
      <c r="K69" s="171">
        <f t="shared" si="16"/>
        <v>56</v>
      </c>
      <c r="L69" s="171">
        <f t="shared" si="16"/>
        <v>57</v>
      </c>
      <c r="M69" s="171">
        <f t="shared" si="16"/>
        <v>57</v>
      </c>
      <c r="N69" s="171">
        <f t="shared" si="16"/>
        <v>57</v>
      </c>
      <c r="O69" s="171">
        <f t="shared" si="16"/>
        <v>59</v>
      </c>
      <c r="P69" s="171">
        <f t="shared" si="16"/>
        <v>56</v>
      </c>
      <c r="Q69" s="171">
        <f t="shared" si="16"/>
        <v>57</v>
      </c>
      <c r="R69" s="171">
        <f t="shared" si="16"/>
        <v>55</v>
      </c>
      <c r="S69" s="171">
        <f t="shared" si="16"/>
        <v>56</v>
      </c>
      <c r="T69" s="171">
        <f t="shared" si="16"/>
        <v>58</v>
      </c>
      <c r="U69" s="171">
        <f t="shared" si="16"/>
        <v>58</v>
      </c>
      <c r="V69" s="171">
        <f t="shared" si="16"/>
        <v>52</v>
      </c>
      <c r="W69" s="171">
        <f t="shared" si="16"/>
        <v>48</v>
      </c>
      <c r="X69" s="171">
        <f t="shared" si="16"/>
        <v>45</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7">(B22+B25+B29)</f>
        <v>200</v>
      </c>
      <c r="C78" s="472">
        <f t="shared" ca="1" si="17"/>
        <v>200</v>
      </c>
      <c r="D78" s="472">
        <f t="shared" ca="1" si="17"/>
        <v>200</v>
      </c>
      <c r="E78" s="472">
        <f t="shared" ca="1" si="17"/>
        <v>200</v>
      </c>
      <c r="F78" s="472">
        <f t="shared" ca="1" si="17"/>
        <v>200</v>
      </c>
      <c r="G78" s="472">
        <f t="shared" ca="1" si="17"/>
        <v>200</v>
      </c>
      <c r="H78" s="472">
        <f t="shared" ca="1" si="17"/>
        <v>125</v>
      </c>
      <c r="I78" s="472">
        <f t="shared" ca="1" si="17"/>
        <v>125</v>
      </c>
      <c r="J78" s="472">
        <f t="shared" ca="1" si="17"/>
        <v>125</v>
      </c>
      <c r="K78" s="472">
        <f t="shared" ca="1" si="17"/>
        <v>125</v>
      </c>
      <c r="L78" s="472">
        <f t="shared" ca="1" si="17"/>
        <v>140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Deals!AD122</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3890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252605.86886632576</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-2</v>
      </c>
      <c r="C89" s="232">
        <f t="shared" si="18"/>
        <v>-2</v>
      </c>
      <c r="D89" s="232">
        <f t="shared" si="18"/>
        <v>51</v>
      </c>
      <c r="E89" s="232">
        <f>E56</f>
        <v>51</v>
      </c>
      <c r="F89" s="232">
        <f t="shared" si="18"/>
        <v>51</v>
      </c>
      <c r="G89" s="232">
        <f t="shared" si="18"/>
        <v>-1</v>
      </c>
      <c r="H89" s="232">
        <f t="shared" si="18"/>
        <v>1</v>
      </c>
      <c r="I89" s="232">
        <f t="shared" si="18"/>
        <v>46</v>
      </c>
      <c r="J89" s="232">
        <f t="shared" si="18"/>
        <v>46</v>
      </c>
      <c r="K89" s="232">
        <f t="shared" si="18"/>
        <v>46</v>
      </c>
      <c r="L89" s="232">
        <f t="shared" si="18"/>
        <v>46</v>
      </c>
      <c r="M89" s="232">
        <f>M57</f>
        <v>0</v>
      </c>
      <c r="N89" s="232">
        <f t="shared" si="18"/>
        <v>46</v>
      </c>
      <c r="O89" s="232">
        <f t="shared" si="18"/>
        <v>46</v>
      </c>
      <c r="P89" s="232">
        <f t="shared" si="18"/>
        <v>48</v>
      </c>
      <c r="Q89" s="232">
        <f t="shared" si="18"/>
        <v>51</v>
      </c>
      <c r="R89" s="232">
        <f t="shared" si="18"/>
        <v>53</v>
      </c>
      <c r="S89" s="232">
        <f t="shared" si="18"/>
        <v>65</v>
      </c>
      <c r="T89" s="232">
        <f t="shared" si="18"/>
        <v>64</v>
      </c>
      <c r="U89" s="232">
        <f t="shared" si="18"/>
        <v>87</v>
      </c>
      <c r="V89" s="232">
        <f t="shared" si="18"/>
        <v>105</v>
      </c>
      <c r="W89" s="232">
        <f t="shared" si="18"/>
        <v>104</v>
      </c>
      <c r="X89" s="232">
        <f t="shared" si="18"/>
        <v>104</v>
      </c>
      <c r="Y89" s="232">
        <f t="shared" si="18"/>
        <v>105</v>
      </c>
      <c r="Z89" s="261">
        <f t="array" ref="Z89">SUM(B89:Y89*Economics!F$28)</f>
        <v>15833.679680000001</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105</v>
      </c>
      <c r="C91" s="210">
        <f t="shared" si="19"/>
        <v>54</v>
      </c>
      <c r="D91" s="210">
        <f t="shared" si="19"/>
        <v>-49</v>
      </c>
      <c r="E91" s="210">
        <f t="shared" si="19"/>
        <v>-49</v>
      </c>
      <c r="F91" s="210">
        <f t="shared" si="19"/>
        <v>-49</v>
      </c>
      <c r="G91" s="210">
        <f t="shared" si="19"/>
        <v>3</v>
      </c>
      <c r="H91" s="210">
        <f t="shared" si="19"/>
        <v>51</v>
      </c>
      <c r="I91" s="210">
        <f t="shared" si="19"/>
        <v>6</v>
      </c>
      <c r="J91" s="210">
        <f t="shared" si="19"/>
        <v>6</v>
      </c>
      <c r="K91" s="210">
        <f t="shared" si="19"/>
        <v>6</v>
      </c>
      <c r="L91" s="210">
        <f t="shared" si="19"/>
        <v>57</v>
      </c>
      <c r="M91" s="210">
        <f t="shared" si="19"/>
        <v>103</v>
      </c>
      <c r="N91" s="210">
        <f t="shared" si="19"/>
        <v>57</v>
      </c>
      <c r="O91" s="210">
        <f t="shared" si="19"/>
        <v>57</v>
      </c>
      <c r="P91" s="210">
        <f t="shared" si="19"/>
        <v>55</v>
      </c>
      <c r="Q91" s="210">
        <f t="shared" si="19"/>
        <v>52</v>
      </c>
      <c r="R91" s="210">
        <f t="shared" si="19"/>
        <v>50</v>
      </c>
      <c r="S91" s="210">
        <f t="shared" si="19"/>
        <v>38</v>
      </c>
      <c r="T91" s="210">
        <f t="shared" si="19"/>
        <v>39</v>
      </c>
      <c r="U91" s="210">
        <f t="shared" si="19"/>
        <v>16</v>
      </c>
      <c r="V91" s="210">
        <f t="shared" si="19"/>
        <v>-53</v>
      </c>
      <c r="W91" s="210">
        <f t="shared" si="19"/>
        <v>-52</v>
      </c>
      <c r="X91" s="210">
        <f t="shared" si="19"/>
        <v>-52</v>
      </c>
      <c r="Y91" s="210">
        <f t="shared" si="19"/>
        <v>-53</v>
      </c>
      <c r="Z91" s="264">
        <f>Z89-Z90</f>
        <v>-5203.8022399999936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131</v>
      </c>
      <c r="C95" s="181">
        <f t="shared" si="22"/>
        <v>131</v>
      </c>
      <c r="D95" s="181">
        <f t="shared" si="22"/>
        <v>132</v>
      </c>
      <c r="E95" s="181">
        <f>E53</f>
        <v>132</v>
      </c>
      <c r="F95" s="181">
        <f t="shared" si="22"/>
        <v>132</v>
      </c>
      <c r="G95" s="181">
        <f t="shared" si="22"/>
        <v>133</v>
      </c>
      <c r="H95" s="181">
        <f t="shared" si="22"/>
        <v>132</v>
      </c>
      <c r="I95" s="181">
        <f t="shared" si="22"/>
        <v>132</v>
      </c>
      <c r="J95" s="181">
        <f t="shared" si="22"/>
        <v>132</v>
      </c>
      <c r="K95" s="181">
        <f t="shared" si="22"/>
        <v>132</v>
      </c>
      <c r="L95" s="181">
        <f t="shared" si="22"/>
        <v>132</v>
      </c>
      <c r="M95" s="181">
        <f t="shared" si="22"/>
        <v>132</v>
      </c>
      <c r="N95" s="181">
        <f t="shared" si="22"/>
        <v>132</v>
      </c>
      <c r="O95" s="181">
        <f t="shared" si="22"/>
        <v>131</v>
      </c>
      <c r="P95" s="181">
        <f t="shared" si="22"/>
        <v>132</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134</v>
      </c>
      <c r="Z95" s="263">
        <f t="array" ref="Z95">SUM(B95:Y95*Economics!F$30)</f>
        <v>19312.128000000004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69</v>
      </c>
      <c r="C97" s="210">
        <f t="shared" si="23"/>
        <v>69</v>
      </c>
      <c r="D97" s="210">
        <f t="shared" si="23"/>
        <v>68</v>
      </c>
      <c r="E97" s="210">
        <f t="shared" si="23"/>
        <v>68</v>
      </c>
      <c r="F97" s="210">
        <f t="shared" si="23"/>
        <v>68</v>
      </c>
      <c r="G97" s="210">
        <f t="shared" si="23"/>
        <v>67</v>
      </c>
      <c r="H97" s="210">
        <f t="shared" si="23"/>
        <v>68</v>
      </c>
      <c r="I97" s="210">
        <f t="shared" si="23"/>
        <v>68</v>
      </c>
      <c r="J97" s="210">
        <f t="shared" si="23"/>
        <v>68</v>
      </c>
      <c r="K97" s="210">
        <f t="shared" si="23"/>
        <v>68</v>
      </c>
      <c r="L97" s="210">
        <f t="shared" si="23"/>
        <v>68</v>
      </c>
      <c r="M97" s="210">
        <f t="shared" si="23"/>
        <v>68</v>
      </c>
      <c r="N97" s="210">
        <f t="shared" si="23"/>
        <v>68</v>
      </c>
      <c r="O97" s="210">
        <f t="shared" si="23"/>
        <v>69</v>
      </c>
      <c r="P97" s="210">
        <f t="shared" si="23"/>
        <v>68</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66</v>
      </c>
      <c r="Z97" s="264">
        <f>Z95-Z96</f>
        <v>-9948.6720000000059</v>
      </c>
    </row>
    <row r="98" spans="1:29" x14ac:dyDescent="0.25">
      <c r="A98" s="183" t="str">
        <f>Economics!A31</f>
        <v>PV Unit 2</v>
      </c>
      <c r="B98" s="181">
        <f t="shared" ref="B98:Y98" si="24">B54</f>
        <v>131</v>
      </c>
      <c r="C98" s="181">
        <f t="shared" si="24"/>
        <v>131</v>
      </c>
      <c r="D98" s="181">
        <f t="shared" si="24"/>
        <v>132</v>
      </c>
      <c r="E98" s="181">
        <f>E54</f>
        <v>132</v>
      </c>
      <c r="F98" s="181">
        <f t="shared" si="24"/>
        <v>132</v>
      </c>
      <c r="G98" s="181">
        <f t="shared" si="24"/>
        <v>133</v>
      </c>
      <c r="H98" s="181">
        <f t="shared" si="24"/>
        <v>132</v>
      </c>
      <c r="I98" s="181">
        <f t="shared" si="24"/>
        <v>132</v>
      </c>
      <c r="J98" s="181">
        <f t="shared" si="24"/>
        <v>132</v>
      </c>
      <c r="K98" s="181">
        <f t="shared" si="24"/>
        <v>132</v>
      </c>
      <c r="L98" s="181">
        <f t="shared" si="24"/>
        <v>132</v>
      </c>
      <c r="M98" s="181">
        <f t="shared" si="24"/>
        <v>132</v>
      </c>
      <c r="N98" s="181">
        <f t="shared" si="24"/>
        <v>132</v>
      </c>
      <c r="O98" s="181">
        <f t="shared" si="24"/>
        <v>131</v>
      </c>
      <c r="P98" s="181">
        <f t="shared" si="24"/>
        <v>132</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134</v>
      </c>
      <c r="Z98" s="263">
        <f t="array" ref="Z98">SUM(B98:Y98*Economics!F$31)</f>
        <v>19312.128000000004</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63</v>
      </c>
      <c r="C100" s="210">
        <f t="shared" si="25"/>
        <v>63</v>
      </c>
      <c r="D100" s="210">
        <f t="shared" si="25"/>
        <v>62</v>
      </c>
      <c r="E100" s="210">
        <f t="shared" si="25"/>
        <v>62</v>
      </c>
      <c r="F100" s="210">
        <f t="shared" si="25"/>
        <v>63</v>
      </c>
      <c r="G100" s="210">
        <f t="shared" si="25"/>
        <v>62</v>
      </c>
      <c r="H100" s="210">
        <f t="shared" si="25"/>
        <v>63</v>
      </c>
      <c r="I100" s="210">
        <f t="shared" si="25"/>
        <v>63</v>
      </c>
      <c r="J100" s="210">
        <f t="shared" si="25"/>
        <v>63</v>
      </c>
      <c r="K100" s="210">
        <f t="shared" si="25"/>
        <v>63</v>
      </c>
      <c r="L100" s="210">
        <f t="shared" si="25"/>
        <v>63</v>
      </c>
      <c r="M100" s="210">
        <f t="shared" si="25"/>
        <v>63</v>
      </c>
      <c r="N100" s="210">
        <f t="shared" si="25"/>
        <v>63</v>
      </c>
      <c r="O100" s="210">
        <f t="shared" si="25"/>
        <v>64</v>
      </c>
      <c r="P100" s="210">
        <f t="shared" si="25"/>
        <v>63</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61</v>
      </c>
      <c r="Z100" s="264">
        <f>Z98-Z99</f>
        <v>-9192.7680000000037</v>
      </c>
    </row>
    <row r="101" spans="1:29" x14ac:dyDescent="0.25">
      <c r="A101" s="183" t="str">
        <f>Economics!A32</f>
        <v>PV Unit 3</v>
      </c>
      <c r="B101" s="181">
        <f t="shared" ref="B101:Y101" si="26">B55</f>
        <v>131</v>
      </c>
      <c r="C101" s="181">
        <f t="shared" si="26"/>
        <v>131</v>
      </c>
      <c r="D101" s="181">
        <f t="shared" si="26"/>
        <v>132</v>
      </c>
      <c r="E101" s="181">
        <f>E55</f>
        <v>133</v>
      </c>
      <c r="F101" s="181">
        <f t="shared" si="26"/>
        <v>133</v>
      </c>
      <c r="G101" s="181">
        <f t="shared" si="26"/>
        <v>133</v>
      </c>
      <c r="H101" s="181">
        <f t="shared" si="26"/>
        <v>132</v>
      </c>
      <c r="I101" s="181">
        <f t="shared" si="26"/>
        <v>132</v>
      </c>
      <c r="J101" s="181">
        <f t="shared" si="26"/>
        <v>132</v>
      </c>
      <c r="K101" s="181">
        <f t="shared" si="26"/>
        <v>132</v>
      </c>
      <c r="L101" s="181">
        <f t="shared" si="26"/>
        <v>132</v>
      </c>
      <c r="M101" s="181">
        <f t="shared" si="26"/>
        <v>132</v>
      </c>
      <c r="N101" s="181">
        <f t="shared" si="26"/>
        <v>132</v>
      </c>
      <c r="O101" s="181">
        <f t="shared" si="26"/>
        <v>131</v>
      </c>
      <c r="P101" s="181">
        <f t="shared" si="26"/>
        <v>132</v>
      </c>
      <c r="Q101" s="181">
        <f t="shared" si="26"/>
        <v>132</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134</v>
      </c>
      <c r="Z101" s="263">
        <f t="array" ref="Z101">SUM(B101:Y101*Economics!F$32)</f>
        <v>19324.320000000003</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69</v>
      </c>
      <c r="C103" s="210">
        <f t="shared" si="27"/>
        <v>69</v>
      </c>
      <c r="D103" s="210">
        <f t="shared" si="27"/>
        <v>68</v>
      </c>
      <c r="E103" s="210">
        <f t="shared" si="27"/>
        <v>67</v>
      </c>
      <c r="F103" s="210">
        <f t="shared" si="27"/>
        <v>67</v>
      </c>
      <c r="G103" s="210">
        <f t="shared" si="27"/>
        <v>67</v>
      </c>
      <c r="H103" s="210">
        <f t="shared" si="27"/>
        <v>68</v>
      </c>
      <c r="I103" s="210">
        <f t="shared" si="27"/>
        <v>68</v>
      </c>
      <c r="J103" s="210">
        <f t="shared" si="27"/>
        <v>68</v>
      </c>
      <c r="K103" s="210">
        <f t="shared" si="27"/>
        <v>68</v>
      </c>
      <c r="L103" s="210">
        <f t="shared" si="27"/>
        <v>68</v>
      </c>
      <c r="M103" s="210">
        <f t="shared" si="27"/>
        <v>68</v>
      </c>
      <c r="N103" s="210">
        <f t="shared" si="27"/>
        <v>68</v>
      </c>
      <c r="O103" s="210">
        <f t="shared" si="27"/>
        <v>69</v>
      </c>
      <c r="P103" s="210">
        <f t="shared" si="27"/>
        <v>68</v>
      </c>
      <c r="Q103" s="210">
        <f t="shared" si="27"/>
        <v>68</v>
      </c>
      <c r="R103" s="210">
        <f t="shared" si="27"/>
        <v>68</v>
      </c>
      <c r="S103" s="210">
        <f t="shared" si="27"/>
        <v>68</v>
      </c>
      <c r="T103" s="210">
        <f t="shared" si="27"/>
        <v>68</v>
      </c>
      <c r="U103" s="210">
        <f t="shared" si="27"/>
        <v>68</v>
      </c>
      <c r="V103" s="210">
        <f t="shared" si="27"/>
        <v>68</v>
      </c>
      <c r="W103" s="210">
        <f t="shared" si="27"/>
        <v>68</v>
      </c>
      <c r="X103" s="210">
        <f t="shared" si="27"/>
        <v>68</v>
      </c>
      <c r="Y103" s="210">
        <f t="shared" si="27"/>
        <v>66</v>
      </c>
      <c r="Z103" s="264">
        <f>Z101-Z102</f>
        <v>-9936.4800000000068</v>
      </c>
    </row>
    <row r="104" spans="1:29" x14ac:dyDescent="0.25">
      <c r="A104" s="183" t="str">
        <f>Economics!A34</f>
        <v>Newman 1</v>
      </c>
      <c r="B104" s="181">
        <v>31</v>
      </c>
      <c r="C104" s="181">
        <f t="shared" ref="C104:R104" si="28">C41</f>
        <v>39</v>
      </c>
      <c r="D104" s="181">
        <f t="shared" si="28"/>
        <v>38</v>
      </c>
      <c r="E104" s="181">
        <f>E41</f>
        <v>38</v>
      </c>
      <c r="F104" s="181">
        <f t="shared" si="28"/>
        <v>38</v>
      </c>
      <c r="G104" s="181">
        <f t="shared" si="28"/>
        <v>38</v>
      </c>
      <c r="H104" s="181">
        <f t="shared" si="28"/>
        <v>41</v>
      </c>
      <c r="I104" s="181">
        <f>I41</f>
        <v>39</v>
      </c>
      <c r="J104" s="181">
        <f t="shared" si="28"/>
        <v>41</v>
      </c>
      <c r="K104" s="181">
        <f t="shared" si="28"/>
        <v>55</v>
      </c>
      <c r="L104" s="181">
        <f t="shared" si="28"/>
        <v>39</v>
      </c>
      <c r="M104" s="181">
        <f t="shared" si="28"/>
        <v>53</v>
      </c>
      <c r="N104" s="181">
        <f t="shared" si="28"/>
        <v>53</v>
      </c>
      <c r="O104" s="181">
        <f t="shared" si="28"/>
        <v>41</v>
      </c>
      <c r="P104" s="181">
        <f t="shared" si="28"/>
        <v>39</v>
      </c>
      <c r="Q104" s="181">
        <f t="shared" si="28"/>
        <v>40</v>
      </c>
      <c r="R104" s="181">
        <f t="shared" si="28"/>
        <v>38</v>
      </c>
      <c r="S104" s="181">
        <v>34</v>
      </c>
      <c r="T104" s="181">
        <v>34</v>
      </c>
      <c r="U104" s="181">
        <v>34</v>
      </c>
      <c r="V104" s="181">
        <v>34</v>
      </c>
      <c r="W104" s="181">
        <f>W41</f>
        <v>38</v>
      </c>
      <c r="X104" s="181">
        <f>X41</f>
        <v>38</v>
      </c>
      <c r="Y104" s="181">
        <f>Y41</f>
        <v>39</v>
      </c>
      <c r="Z104" s="223">
        <f>SUM(B104:Y104)</f>
        <v>952</v>
      </c>
      <c r="AA104" s="322" t="s">
        <v>167</v>
      </c>
    </row>
    <row r="105" spans="1:29" x14ac:dyDescent="0.25">
      <c r="A105" s="185">
        <f>Economics!$I34</f>
        <v>1.96</v>
      </c>
      <c r="B105" s="189">
        <f t="shared" ref="B105:Y105" ca="1" si="29">IndGencost(B104,OFFSET(HeatRateStart,1,MATCH($A104,HeatRateNames,0)-1,250,1),$A105)</f>
        <v>23.547401890555044</v>
      </c>
      <c r="C105" s="189">
        <f t="shared" ca="1" si="29"/>
        <v>23.022853483985266</v>
      </c>
      <c r="D105" s="189">
        <f t="shared" ca="1" si="29"/>
        <v>23.075264070160518</v>
      </c>
      <c r="E105" s="189">
        <f ca="1">IndGencost(E104,OFFSET(HeatRateStart,1,MATCH($A104,HeatRateNames,0)-1,250,1),$A105)</f>
        <v>23.075264070160518</v>
      </c>
      <c r="F105" s="189">
        <f t="shared" ca="1" si="29"/>
        <v>23.075264070160518</v>
      </c>
      <c r="G105" s="189">
        <f t="shared" ca="1" si="29"/>
        <v>23.075264070160518</v>
      </c>
      <c r="H105" s="189">
        <f t="shared" ca="1" si="29"/>
        <v>22.926559773042957</v>
      </c>
      <c r="I105" s="189">
        <f t="shared" ca="1" si="29"/>
        <v>23.022853483985266</v>
      </c>
      <c r="J105" s="189">
        <f t="shared" ca="1" si="29"/>
        <v>22.926559773042957</v>
      </c>
      <c r="K105" s="189">
        <f t="shared" ca="1" si="29"/>
        <v>22.472460619193857</v>
      </c>
      <c r="L105" s="189">
        <f t="shared" ca="1" si="29"/>
        <v>23.022853483985266</v>
      </c>
      <c r="M105" s="189">
        <f t="shared" ca="1" si="29"/>
        <v>22.519990317546014</v>
      </c>
      <c r="N105" s="189">
        <f t="shared" ca="1" si="29"/>
        <v>22.519990317546014</v>
      </c>
      <c r="O105" s="189">
        <f t="shared" ca="1" si="29"/>
        <v>22.926559773042957</v>
      </c>
      <c r="P105" s="189">
        <f t="shared" ca="1" si="29"/>
        <v>23.022853483985266</v>
      </c>
      <c r="Q105" s="189">
        <f t="shared" ca="1" si="29"/>
        <v>22.97335644712448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23.075264070160518</v>
      </c>
      <c r="Y105" s="189">
        <f t="shared" ca="1" si="29"/>
        <v>23.022853483985266</v>
      </c>
      <c r="Z105" s="263">
        <f t="array" aca="1" ref="Z105" ca="1">SUM(B104:Y104*B105:Y105)</f>
        <v>21890.860499656144</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0.61154564267158307</v>
      </c>
      <c r="D108" s="188">
        <f t="shared" ca="1" si="31"/>
        <v>0.55913505649633066</v>
      </c>
      <c r="E108" s="188">
        <f t="shared" ca="1" si="31"/>
        <v>0.55913505649633066</v>
      </c>
      <c r="F108" s="188">
        <f t="shared" ca="1" si="31"/>
        <v>0.55913505649633066</v>
      </c>
      <c r="G108" s="188">
        <f t="shared" ca="1" si="31"/>
        <v>0.55913505649633066</v>
      </c>
      <c r="H108" s="188">
        <f t="shared" ca="1" si="31"/>
        <v>0.70783935361389183</v>
      </c>
      <c r="I108" s="188">
        <f t="shared" ca="1" si="31"/>
        <v>0.61154564267158307</v>
      </c>
      <c r="J108" s="188">
        <f t="shared" ca="1" si="31"/>
        <v>0.70783935361389183</v>
      </c>
      <c r="K108" s="188">
        <f t="shared" ca="1" si="31"/>
        <v>1.1619385074629918</v>
      </c>
      <c r="L108" s="188">
        <f t="shared" ca="1" si="31"/>
        <v>0.61154564267158307</v>
      </c>
      <c r="M108" s="188">
        <f t="shared" ca="1" si="31"/>
        <v>1.1144088091108344</v>
      </c>
      <c r="N108" s="188">
        <f t="shared" ca="1" si="31"/>
        <v>1.1144088091108344</v>
      </c>
      <c r="O108" s="188">
        <f t="shared" ca="1" si="31"/>
        <v>0.70783935361389183</v>
      </c>
      <c r="P108" s="188">
        <f t="shared" ca="1" si="31"/>
        <v>0.61154564267158307</v>
      </c>
      <c r="Q108" s="188">
        <f t="shared" ca="1" si="31"/>
        <v>0.66104267953236828</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0.55913505649633066</v>
      </c>
      <c r="Y108" s="188">
        <f t="shared" ca="1" si="31"/>
        <v>0.61154564267158307</v>
      </c>
      <c r="Z108" s="264">
        <f ca="1">Z105-Z107</f>
        <v>4874.093128463217</v>
      </c>
    </row>
    <row r="109" spans="1:29" x14ac:dyDescent="0.25">
      <c r="A109" s="183" t="str">
        <f>Economics!A35</f>
        <v>Newman 2</v>
      </c>
      <c r="B109" s="181">
        <f>B42</f>
        <v>42</v>
      </c>
      <c r="C109" s="181">
        <f t="shared" ref="C109:Y109" si="32">C42</f>
        <v>40</v>
      </c>
      <c r="D109" s="181">
        <f t="shared" si="32"/>
        <v>33</v>
      </c>
      <c r="E109" s="181">
        <f>E42</f>
        <v>32</v>
      </c>
      <c r="F109" s="181">
        <f t="shared" si="32"/>
        <v>32</v>
      </c>
      <c r="G109" s="181">
        <f t="shared" si="32"/>
        <v>33</v>
      </c>
      <c r="H109" s="181">
        <f t="shared" si="32"/>
        <v>33</v>
      </c>
      <c r="I109" s="181">
        <f>I42</f>
        <v>34</v>
      </c>
      <c r="J109" s="181">
        <f t="shared" si="32"/>
        <v>34</v>
      </c>
      <c r="K109" s="181">
        <f t="shared" si="32"/>
        <v>78</v>
      </c>
      <c r="L109" s="181">
        <f t="shared" si="32"/>
        <v>77</v>
      </c>
      <c r="M109" s="181">
        <f t="shared" si="32"/>
        <v>77</v>
      </c>
      <c r="N109" s="181">
        <f t="shared" si="32"/>
        <v>77</v>
      </c>
      <c r="O109" s="181">
        <f t="shared" si="32"/>
        <v>71</v>
      </c>
      <c r="P109" s="181">
        <f t="shared" si="32"/>
        <v>42</v>
      </c>
      <c r="Q109" s="181">
        <f t="shared" si="32"/>
        <v>40</v>
      </c>
      <c r="R109" s="181">
        <f t="shared" si="32"/>
        <v>41</v>
      </c>
      <c r="S109" s="181">
        <f t="shared" si="32"/>
        <v>42</v>
      </c>
      <c r="T109" s="181">
        <f t="shared" si="32"/>
        <v>41</v>
      </c>
      <c r="U109" s="181">
        <f t="shared" si="32"/>
        <v>43</v>
      </c>
      <c r="V109" s="181">
        <f t="shared" si="32"/>
        <v>43</v>
      </c>
      <c r="W109" s="181">
        <f t="shared" si="32"/>
        <v>40</v>
      </c>
      <c r="X109" s="181">
        <f t="shared" si="32"/>
        <v>41</v>
      </c>
      <c r="Y109" s="181">
        <f t="shared" si="32"/>
        <v>78</v>
      </c>
      <c r="Z109" s="223">
        <f>SUM(B109:Y109)</f>
        <v>1144</v>
      </c>
      <c r="AA109" s="322" t="s">
        <v>171</v>
      </c>
    </row>
    <row r="110" spans="1:29" x14ac:dyDescent="0.25">
      <c r="A110" s="185">
        <f>Economics!$I35</f>
        <v>1.96</v>
      </c>
      <c r="B110" s="189">
        <f t="shared" ref="B110:Y110" ca="1" si="33">IndGencost(B109,OFFSET(HeatRateStart,1,MATCH($A109,HeatRateNames,0)-1,250,1),$A110)</f>
        <v>20.908963073612398</v>
      </c>
      <c r="C110" s="189">
        <f t="shared" ca="1" si="33"/>
        <v>21.000420408725741</v>
      </c>
      <c r="D110" s="189">
        <f t="shared" ca="1" si="33"/>
        <v>21.427652901889342</v>
      </c>
      <c r="E110" s="189">
        <f ca="1">IndGencost(E109,OFFSET(HeatRateStart,1,MATCH($A109,HeatRateNames,0)-1,250,1),$A110)</f>
        <v>21.506541418576244</v>
      </c>
      <c r="F110" s="189">
        <f t="shared" ca="1" si="33"/>
        <v>21.506541418576244</v>
      </c>
      <c r="G110" s="189">
        <f t="shared" ca="1" si="33"/>
        <v>21.427652901889342</v>
      </c>
      <c r="H110" s="189">
        <f t="shared" ca="1" si="33"/>
        <v>21.427652901889342</v>
      </c>
      <c r="I110" s="189">
        <f t="shared" ca="1" si="33"/>
        <v>21.354015945019448</v>
      </c>
      <c r="J110" s="189">
        <f t="shared" ca="1" si="33"/>
        <v>21.354015945019448</v>
      </c>
      <c r="K110" s="189">
        <f t="shared" ca="1" si="33"/>
        <v>20.246931060727437</v>
      </c>
      <c r="L110" s="189">
        <f t="shared" ca="1" si="33"/>
        <v>20.252240030527737</v>
      </c>
      <c r="M110" s="189">
        <f t="shared" ca="1" si="33"/>
        <v>20.252240030527737</v>
      </c>
      <c r="N110" s="189">
        <f t="shared" ca="1" si="33"/>
        <v>20.252240030527737</v>
      </c>
      <c r="O110" s="189">
        <f t="shared" ca="1" si="33"/>
        <v>20.293379380880278</v>
      </c>
      <c r="P110" s="189">
        <f t="shared" ca="1" si="33"/>
        <v>20.908963073612398</v>
      </c>
      <c r="Q110" s="189">
        <f t="shared" ca="1" si="33"/>
        <v>21.000420408725741</v>
      </c>
      <c r="R110" s="189">
        <f t="shared" ca="1" si="33"/>
        <v>20.953323041955436</v>
      </c>
      <c r="S110" s="189">
        <f t="shared" ca="1" si="33"/>
        <v>20.908963073612398</v>
      </c>
      <c r="T110" s="189">
        <f t="shared" ca="1" si="33"/>
        <v>20.953323041955436</v>
      </c>
      <c r="U110" s="189">
        <f t="shared" ca="1" si="33"/>
        <v>20.867149522410994</v>
      </c>
      <c r="V110" s="189">
        <f t="shared" ca="1" si="33"/>
        <v>20.867149522410994</v>
      </c>
      <c r="W110" s="189">
        <f t="shared" ca="1" si="33"/>
        <v>21.000420408725741</v>
      </c>
      <c r="X110" s="189">
        <f t="shared" ca="1" si="33"/>
        <v>20.953323041955436</v>
      </c>
      <c r="Y110" s="189">
        <f t="shared" ca="1" si="33"/>
        <v>20.246931060727437</v>
      </c>
      <c r="Z110" s="263">
        <f t="array" aca="1" ref="Z110" ca="1">SUM(B109:Y109*B110:Y110)</f>
        <v>23753.861390315244</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0.68222663693391183</v>
      </c>
      <c r="C113" s="188">
        <f t="shared" ca="1" si="35"/>
        <v>0.59076930182056842</v>
      </c>
      <c r="D113" s="188">
        <f t="shared" ca="1" si="35"/>
        <v>0.16353680865696774</v>
      </c>
      <c r="E113" s="188">
        <f t="shared" ca="1" si="35"/>
        <v>8.4648291970065515E-2</v>
      </c>
      <c r="F113" s="188">
        <f t="shared" ca="1" si="35"/>
        <v>8.4648291970065515E-2</v>
      </c>
      <c r="G113" s="188">
        <f t="shared" ca="1" si="35"/>
        <v>0.16353680865696774</v>
      </c>
      <c r="H113" s="188">
        <f t="shared" ca="1" si="35"/>
        <v>0.16353680865696774</v>
      </c>
      <c r="I113" s="188">
        <f t="shared" ca="1" si="35"/>
        <v>0.23717376552686176</v>
      </c>
      <c r="J113" s="188">
        <f t="shared" ca="1" si="35"/>
        <v>0.23717376552686176</v>
      </c>
      <c r="K113" s="188">
        <f t="shared" ca="1" si="35"/>
        <v>1.3442586498188724</v>
      </c>
      <c r="L113" s="188">
        <f t="shared" ca="1" si="35"/>
        <v>1.3389496800185725</v>
      </c>
      <c r="M113" s="188">
        <f t="shared" ca="1" si="35"/>
        <v>1.3389496800185725</v>
      </c>
      <c r="N113" s="188">
        <f t="shared" ca="1" si="35"/>
        <v>1.3389496800185725</v>
      </c>
      <c r="O113" s="188">
        <f t="shared" ca="1" si="35"/>
        <v>1.2978103296660315</v>
      </c>
      <c r="P113" s="188">
        <f t="shared" ca="1" si="35"/>
        <v>0.68222663693391183</v>
      </c>
      <c r="Q113" s="188">
        <f t="shared" ca="1" si="35"/>
        <v>0.59076930182056842</v>
      </c>
      <c r="R113" s="188">
        <f t="shared" ca="1" si="35"/>
        <v>0.63786666859087404</v>
      </c>
      <c r="S113" s="188">
        <f t="shared" ca="1" si="35"/>
        <v>0.68222663693391183</v>
      </c>
      <c r="T113" s="188">
        <f t="shared" ca="1" si="35"/>
        <v>0.63786666859087404</v>
      </c>
      <c r="U113" s="188">
        <f t="shared" ca="1" si="35"/>
        <v>0.72404018813531579</v>
      </c>
      <c r="V113" s="188">
        <f t="shared" ca="1" si="35"/>
        <v>0.72404018813531579</v>
      </c>
      <c r="W113" s="188">
        <f t="shared" ca="1" si="35"/>
        <v>0.59076930182056842</v>
      </c>
      <c r="X113" s="188">
        <f t="shared" ca="1" si="35"/>
        <v>0.63786666859087404</v>
      </c>
      <c r="Y113" s="188">
        <f t="shared" ca="1" si="35"/>
        <v>1.3442586498188724</v>
      </c>
      <c r="Z113" s="264">
        <f ca="1">Z110-Z112</f>
        <v>7690.0162456687794</v>
      </c>
      <c r="AC113" s="174"/>
    </row>
    <row r="114" spans="1:29" x14ac:dyDescent="0.25">
      <c r="A114" s="183" t="str">
        <f>Economics!A36</f>
        <v>Newman 3</v>
      </c>
      <c r="B114" s="181">
        <f t="shared" ref="B114:Y114" si="36">B43</f>
        <v>63</v>
      </c>
      <c r="C114" s="181">
        <f t="shared" si="36"/>
        <v>99</v>
      </c>
      <c r="D114" s="181">
        <f t="shared" si="36"/>
        <v>61</v>
      </c>
      <c r="E114" s="181">
        <f>E43</f>
        <v>63</v>
      </c>
      <c r="F114" s="181">
        <f t="shared" si="36"/>
        <v>34</v>
      </c>
      <c r="G114" s="181">
        <f t="shared" si="36"/>
        <v>81</v>
      </c>
      <c r="H114" s="181">
        <f t="shared" si="36"/>
        <v>81</v>
      </c>
      <c r="I114" s="181">
        <f t="shared" si="36"/>
        <v>81</v>
      </c>
      <c r="J114" s="181">
        <f t="shared" si="36"/>
        <v>100</v>
      </c>
      <c r="K114" s="181">
        <f t="shared" si="36"/>
        <v>100</v>
      </c>
      <c r="L114" s="181">
        <f t="shared" si="36"/>
        <v>100</v>
      </c>
      <c r="M114" s="181">
        <f t="shared" si="36"/>
        <v>100</v>
      </c>
      <c r="N114" s="181">
        <f t="shared" si="36"/>
        <v>87</v>
      </c>
      <c r="O114" s="181">
        <f t="shared" si="36"/>
        <v>80</v>
      </c>
      <c r="P114" s="181">
        <f t="shared" si="36"/>
        <v>82</v>
      </c>
      <c r="Q114" s="181">
        <f t="shared" si="36"/>
        <v>53</v>
      </c>
      <c r="R114" s="181">
        <f t="shared" si="36"/>
        <v>57</v>
      </c>
      <c r="S114" s="181">
        <f t="shared" si="36"/>
        <v>50</v>
      </c>
      <c r="T114" s="181">
        <f t="shared" si="36"/>
        <v>67</v>
      </c>
      <c r="U114" s="181">
        <f t="shared" si="36"/>
        <v>100</v>
      </c>
      <c r="V114" s="181">
        <f t="shared" si="36"/>
        <v>100</v>
      </c>
      <c r="W114" s="181">
        <f t="shared" si="36"/>
        <v>97</v>
      </c>
      <c r="X114" s="181">
        <f t="shared" si="36"/>
        <v>50</v>
      </c>
      <c r="Y114" s="181">
        <f t="shared" si="36"/>
        <v>51</v>
      </c>
      <c r="Z114" s="223">
        <f>SUM(B114:Y114)</f>
        <v>1837</v>
      </c>
      <c r="AA114" s="322" t="s">
        <v>173</v>
      </c>
    </row>
    <row r="115" spans="1:29" x14ac:dyDescent="0.25">
      <c r="A115" s="185">
        <f>Economics!$I36</f>
        <v>1.96</v>
      </c>
      <c r="B115" s="189">
        <f t="shared" ref="B115:Y115" ca="1" si="37">IndGencost(B114,OFFSET(HeatRateStart,1,MATCH($A114,HeatRateNames,0)-1,250,1),$A115)</f>
        <v>19.985995944537812</v>
      </c>
      <c r="C115" s="189">
        <f t="shared" ca="1" si="37"/>
        <v>19.764383010931688</v>
      </c>
      <c r="D115" s="189">
        <f t="shared" ca="1" si="37"/>
        <v>20.037723012939828</v>
      </c>
      <c r="E115" s="189">
        <f ca="1">IndGencost(E114,OFFSET(HeatRateStart,1,MATCH($A114,HeatRateNames,0)-1,250,1),$A115)</f>
        <v>19.985995944537812</v>
      </c>
      <c r="F115" s="189">
        <f t="shared" ca="1" si="37"/>
        <v>21.918449838357816</v>
      </c>
      <c r="G115" s="189">
        <f t="shared" ca="1" si="37"/>
        <v>19.748645816461543</v>
      </c>
      <c r="H115" s="189">
        <f t="shared" ca="1" si="37"/>
        <v>19.748645816461543</v>
      </c>
      <c r="I115" s="189">
        <f t="shared" ca="1" si="37"/>
        <v>19.748645816461543</v>
      </c>
      <c r="J115" s="189">
        <f t="shared" ca="1" si="37"/>
        <v>19.769932384777071</v>
      </c>
      <c r="K115" s="189">
        <f t="shared" ca="1" si="37"/>
        <v>19.769932384777071</v>
      </c>
      <c r="L115" s="189">
        <f t="shared" ca="1" si="37"/>
        <v>19.769932384777071</v>
      </c>
      <c r="M115" s="189">
        <f t="shared" ca="1" si="37"/>
        <v>19.769932384777071</v>
      </c>
      <c r="N115" s="189">
        <f t="shared" ca="1" si="37"/>
        <v>19.733528200160496</v>
      </c>
      <c r="O115" s="189">
        <f t="shared" ca="1" si="37"/>
        <v>19.753615384459493</v>
      </c>
      <c r="P115" s="189">
        <f t="shared" ca="1" si="37"/>
        <v>19.744418920865876</v>
      </c>
      <c r="Q115" s="189">
        <f t="shared" ca="1" si="37"/>
        <v>20.322130961562106</v>
      </c>
      <c r="R115" s="189">
        <f t="shared" ca="1" si="37"/>
        <v>20.16279548014256</v>
      </c>
      <c r="S115" s="189">
        <f t="shared" ca="1" si="37"/>
        <v>20.469064398384099</v>
      </c>
      <c r="T115" s="189">
        <f t="shared" ca="1" si="37"/>
        <v>19.900933521655066</v>
      </c>
      <c r="U115" s="189">
        <f t="shared" ca="1" si="37"/>
        <v>19.769932384777071</v>
      </c>
      <c r="V115" s="189">
        <f t="shared" ca="1" si="37"/>
        <v>19.769932384777071</v>
      </c>
      <c r="W115" s="189">
        <f t="shared" ca="1" si="37"/>
        <v>19.754517085507974</v>
      </c>
      <c r="X115" s="189">
        <f t="shared" ca="1" si="37"/>
        <v>20.469064398384099</v>
      </c>
      <c r="Y115" s="189">
        <f t="shared" ca="1" si="37"/>
        <v>20.417166671883827</v>
      </c>
      <c r="Z115" s="263">
        <f t="array" aca="1" ref="Z115" ca="1">SUM(B114:Y114*B115:Y115)</f>
        <v>36583.551632016184</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-19.985995944537812</v>
      </c>
      <c r="C118" s="188">
        <f t="shared" ca="1" si="39"/>
        <v>-19.764383010931688</v>
      </c>
      <c r="D118" s="188">
        <f t="shared" ca="1" si="39"/>
        <v>-20.037723012939828</v>
      </c>
      <c r="E118" s="188">
        <f t="shared" ca="1" si="39"/>
        <v>-19.985995944537812</v>
      </c>
      <c r="F118" s="188">
        <f t="shared" ca="1" si="39"/>
        <v>-21.918449838357816</v>
      </c>
      <c r="G118" s="188">
        <f t="shared" ca="1" si="39"/>
        <v>-19.748645816461543</v>
      </c>
      <c r="H118" s="188">
        <f t="shared" ca="1" si="39"/>
        <v>-19.748645816461543</v>
      </c>
      <c r="I118" s="188">
        <f t="shared" ca="1" si="39"/>
        <v>-19.748645816461543</v>
      </c>
      <c r="J118" s="188">
        <f t="shared" ca="1" si="39"/>
        <v>-19.769932384777071</v>
      </c>
      <c r="K118" s="188">
        <f t="shared" ca="1" si="39"/>
        <v>-19.769932384777071</v>
      </c>
      <c r="L118" s="188">
        <f t="shared" ca="1" si="39"/>
        <v>-19.769932384777071</v>
      </c>
      <c r="M118" s="188">
        <f t="shared" ca="1" si="39"/>
        <v>-19.769932384777071</v>
      </c>
      <c r="N118" s="188">
        <f t="shared" ca="1" si="39"/>
        <v>-19.733528200160496</v>
      </c>
      <c r="O118" s="188">
        <f t="shared" ca="1" si="39"/>
        <v>-19.753615384459493</v>
      </c>
      <c r="P118" s="188">
        <f t="shared" ca="1" si="39"/>
        <v>-19.744418920865876</v>
      </c>
      <c r="Q118" s="188">
        <f t="shared" ca="1" si="39"/>
        <v>-20.322130961562106</v>
      </c>
      <c r="R118" s="188">
        <f t="shared" ca="1" si="39"/>
        <v>-20.16279548014256</v>
      </c>
      <c r="S118" s="188">
        <f t="shared" ca="1" si="39"/>
        <v>-20.469064398384099</v>
      </c>
      <c r="T118" s="188">
        <f t="shared" ca="1" si="39"/>
        <v>-19.900933521655066</v>
      </c>
      <c r="U118" s="188">
        <f t="shared" ca="1" si="39"/>
        <v>-19.769932384777071</v>
      </c>
      <c r="V118" s="188">
        <f t="shared" ca="1" si="39"/>
        <v>-19.769932384777071</v>
      </c>
      <c r="W118" s="188">
        <f t="shared" ca="1" si="39"/>
        <v>-19.754517085507974</v>
      </c>
      <c r="X118" s="188">
        <f t="shared" ca="1" si="39"/>
        <v>-20.469064398384099</v>
      </c>
      <c r="Y118" s="188">
        <f t="shared" ca="1" si="39"/>
        <v>-20.417166671883827</v>
      </c>
      <c r="Z118" s="264">
        <f ca="1">Z115-Z117</f>
        <v>36583.551632016184</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213</v>
      </c>
      <c r="C139" s="181">
        <f t="shared" si="59"/>
        <v>214</v>
      </c>
      <c r="D139" s="181">
        <f t="shared" si="59"/>
        <v>208</v>
      </c>
      <c r="E139" s="181">
        <f>E48</f>
        <v>207</v>
      </c>
      <c r="F139" s="181">
        <f t="shared" si="59"/>
        <v>100</v>
      </c>
      <c r="G139" s="181">
        <f t="shared" si="59"/>
        <v>101</v>
      </c>
      <c r="H139" s="181">
        <f t="shared" si="59"/>
        <v>122</v>
      </c>
      <c r="I139" s="181">
        <f t="shared" si="59"/>
        <v>138</v>
      </c>
      <c r="J139" s="181">
        <f t="shared" si="59"/>
        <v>203</v>
      </c>
      <c r="K139" s="181">
        <f t="shared" si="59"/>
        <v>191</v>
      </c>
      <c r="L139" s="181">
        <f t="shared" si="59"/>
        <v>196</v>
      </c>
      <c r="M139" s="181">
        <f t="shared" si="59"/>
        <v>180</v>
      </c>
      <c r="N139" s="181">
        <f t="shared" si="59"/>
        <v>179</v>
      </c>
      <c r="O139" s="181">
        <f t="shared" si="59"/>
        <v>206</v>
      </c>
      <c r="P139" s="181">
        <f t="shared" si="59"/>
        <v>208</v>
      </c>
      <c r="Q139" s="181">
        <f t="shared" si="59"/>
        <v>207</v>
      </c>
      <c r="R139" s="181">
        <f t="shared" si="59"/>
        <v>208</v>
      </c>
      <c r="S139" s="181">
        <f t="shared" si="59"/>
        <v>207</v>
      </c>
      <c r="T139" s="181">
        <f t="shared" si="59"/>
        <v>201</v>
      </c>
      <c r="U139" s="181">
        <f t="shared" si="59"/>
        <v>189</v>
      </c>
      <c r="V139" s="181">
        <f t="shared" si="59"/>
        <v>185</v>
      </c>
      <c r="W139" s="181">
        <f t="shared" si="59"/>
        <v>192</v>
      </c>
      <c r="X139" s="181">
        <f t="shared" si="59"/>
        <v>197</v>
      </c>
      <c r="Y139" s="181">
        <f t="shared" si="59"/>
        <v>185</v>
      </c>
      <c r="Z139" s="223">
        <f>SUM(B139:Y139)</f>
        <v>4437</v>
      </c>
      <c r="AA139" s="322" t="s">
        <v>175</v>
      </c>
    </row>
    <row r="140" spans="1:27" x14ac:dyDescent="0.25">
      <c r="A140" s="185">
        <f>Economics!$I41</f>
        <v>1.96</v>
      </c>
      <c r="B140" s="189">
        <f t="shared" ref="B140:Y140" ca="1" si="60">IndGencost(B139,OFFSET(HeatRateStart,1,MATCH($A139,HeatRateNames,0)-1,250,1),$A140)</f>
        <v>17.981286011120037</v>
      </c>
      <c r="C140" s="189">
        <f t="shared" ca="1" si="60"/>
        <v>17.9755006516469</v>
      </c>
      <c r="D140" s="189">
        <f t="shared" ca="1" si="60"/>
        <v>18.013111921046068</v>
      </c>
      <c r="E140" s="189">
        <f ca="1">IndGencost(E139,OFFSET(HeatRateStart,1,MATCH($A139,HeatRateNames,0)-1,250,1),$A140)</f>
        <v>18.020076533067904</v>
      </c>
      <c r="F140" s="189">
        <f t="shared" ca="1" si="60"/>
        <v>21.2243798130846</v>
      </c>
      <c r="G140" s="189">
        <f t="shared" ca="1" si="60"/>
        <v>21.147979955696663</v>
      </c>
      <c r="H140" s="189">
        <f t="shared" ca="1" si="60"/>
        <v>19.887110289811773</v>
      </c>
      <c r="I140" s="189">
        <f t="shared" ca="1" si="60"/>
        <v>19.245426583090488</v>
      </c>
      <c r="J140" s="189">
        <f t="shared" ca="1" si="60"/>
        <v>18.050031509854808</v>
      </c>
      <c r="K140" s="189">
        <f t="shared" ca="1" si="60"/>
        <v>18.161814495227379</v>
      </c>
      <c r="L140" s="189">
        <f t="shared" ca="1" si="60"/>
        <v>18.111018536490057</v>
      </c>
      <c r="M140" s="189">
        <f t="shared" ca="1" si="60"/>
        <v>18.297496076119423</v>
      </c>
      <c r="N140" s="189">
        <f t="shared" ca="1" si="60"/>
        <v>18.311617346975265</v>
      </c>
      <c r="O140" s="189">
        <f t="shared" ca="1" si="60"/>
        <v>18.027247744762562</v>
      </c>
      <c r="P140" s="189">
        <f t="shared" ca="1" si="60"/>
        <v>18.013111921046068</v>
      </c>
      <c r="Q140" s="189">
        <f t="shared" ca="1" si="60"/>
        <v>18.020076533067904</v>
      </c>
      <c r="R140" s="189">
        <f t="shared" ca="1" si="60"/>
        <v>18.013111921046068</v>
      </c>
      <c r="S140" s="189">
        <f t="shared" ca="1" si="60"/>
        <v>18.020076533067904</v>
      </c>
      <c r="T140" s="189">
        <f t="shared" ca="1" si="60"/>
        <v>18.066310723530371</v>
      </c>
      <c r="U140" s="189">
        <f t="shared" ca="1" si="60"/>
        <v>18.183945793242756</v>
      </c>
      <c r="V140" s="189">
        <f t="shared" ca="1" si="60"/>
        <v>18.231501034024166</v>
      </c>
      <c r="W140" s="189">
        <f t="shared" ca="1" si="60"/>
        <v>18.151145421271039</v>
      </c>
      <c r="X140" s="189">
        <f t="shared" ca="1" si="60"/>
        <v>18.101604756296688</v>
      </c>
      <c r="Y140" s="189">
        <f t="shared" ca="1" si="60"/>
        <v>18.231501034024166</v>
      </c>
      <c r="Z140" s="263">
        <f t="array" aca="1" ref="Z140" ca="1">SUM(B139:Y139*B140:Y140)</f>
        <v>81280.450789534341</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2.2627494407104614</v>
      </c>
      <c r="C143" s="188">
        <f t="shared" ca="1" si="62"/>
        <v>2.2685348001835983</v>
      </c>
      <c r="D143" s="188">
        <f t="shared" ca="1" si="62"/>
        <v>1.3369089122250379</v>
      </c>
      <c r="E143" s="188">
        <f t="shared" ca="1" si="62"/>
        <v>1.3299443002032021</v>
      </c>
      <c r="F143" s="188">
        <f t="shared" ca="1" si="62"/>
        <v>-1.8743589798134934</v>
      </c>
      <c r="G143" s="188">
        <f t="shared" ca="1" si="62"/>
        <v>-1.7979591224255564</v>
      </c>
      <c r="H143" s="188">
        <f t="shared" ca="1" si="62"/>
        <v>-0.34763342798153829</v>
      </c>
      <c r="I143" s="188">
        <f t="shared" ca="1" si="62"/>
        <v>0.99860886874001054</v>
      </c>
      <c r="J143" s="188">
        <f t="shared" ca="1" si="62"/>
        <v>2.1940039419756907</v>
      </c>
      <c r="K143" s="188">
        <f t="shared" ca="1" si="62"/>
        <v>2.0822209566031198</v>
      </c>
      <c r="L143" s="188">
        <f t="shared" ca="1" si="62"/>
        <v>2.1330169153404412</v>
      </c>
      <c r="M143" s="188">
        <f t="shared" ca="1" si="62"/>
        <v>1.946539375711076</v>
      </c>
      <c r="N143" s="188">
        <f t="shared" ca="1" si="62"/>
        <v>1.932418104855234</v>
      </c>
      <c r="O143" s="188">
        <f t="shared" ca="1" si="62"/>
        <v>2.2167877070679367</v>
      </c>
      <c r="P143" s="188">
        <f t="shared" ca="1" si="62"/>
        <v>2.2309235307844304</v>
      </c>
      <c r="Q143" s="188">
        <f t="shared" ca="1" si="62"/>
        <v>2.2239589187625945</v>
      </c>
      <c r="R143" s="188">
        <f t="shared" ca="1" si="62"/>
        <v>2.2309235307844304</v>
      </c>
      <c r="S143" s="188">
        <f t="shared" ca="1" si="62"/>
        <v>2.2239589187625945</v>
      </c>
      <c r="T143" s="188">
        <f t="shared" ca="1" si="62"/>
        <v>0.16519031049379507</v>
      </c>
      <c r="U143" s="188">
        <f t="shared" ca="1" si="62"/>
        <v>4.7555240781409935E-2</v>
      </c>
      <c r="V143" s="188">
        <f t="shared" ca="1" si="62"/>
        <v>0.22226232866605855</v>
      </c>
      <c r="W143" s="188">
        <f t="shared" ca="1" si="62"/>
        <v>0.39436153149353714</v>
      </c>
      <c r="X143" s="188">
        <f t="shared" ca="1" si="62"/>
        <v>0.92351059915661793</v>
      </c>
      <c r="Y143" s="188">
        <f t="shared" ca="1" si="62"/>
        <v>0.79361432142913912</v>
      </c>
      <c r="Z143" s="264">
        <f ca="1">Z140-Z142</f>
        <v>19566.387292509513</v>
      </c>
    </row>
    <row r="144" spans="1:27" x14ac:dyDescent="0.25">
      <c r="A144" s="183" t="str">
        <f>Economics!A42</f>
        <v>Copper</v>
      </c>
      <c r="B144" s="181">
        <f t="shared" ref="B144:T144" si="63">B49</f>
        <v>18</v>
      </c>
      <c r="C144" s="181">
        <f t="shared" si="63"/>
        <v>37</v>
      </c>
      <c r="D144" s="181">
        <f t="shared" si="63"/>
        <v>16</v>
      </c>
      <c r="E144" s="181">
        <f>E49</f>
        <v>15</v>
      </c>
      <c r="F144" s="181">
        <f t="shared" si="63"/>
        <v>16</v>
      </c>
      <c r="G144" s="181">
        <f t="shared" si="63"/>
        <v>13</v>
      </c>
      <c r="H144" s="181">
        <f t="shared" si="63"/>
        <v>16</v>
      </c>
      <c r="I144" s="181">
        <f t="shared" si="63"/>
        <v>15</v>
      </c>
      <c r="J144" s="181">
        <f t="shared" si="63"/>
        <v>41</v>
      </c>
      <c r="K144" s="181">
        <f t="shared" si="63"/>
        <v>58</v>
      </c>
      <c r="L144" s="181">
        <f t="shared" si="63"/>
        <v>30</v>
      </c>
      <c r="M144" s="181">
        <f t="shared" si="63"/>
        <v>30</v>
      </c>
      <c r="N144" s="181">
        <f t="shared" si="63"/>
        <v>21</v>
      </c>
      <c r="O144" s="181">
        <f t="shared" si="63"/>
        <v>18</v>
      </c>
      <c r="P144" s="181">
        <f t="shared" si="63"/>
        <v>20</v>
      </c>
      <c r="Q144" s="181">
        <f t="shared" si="63"/>
        <v>16</v>
      </c>
      <c r="R144" s="181">
        <f t="shared" si="63"/>
        <v>17</v>
      </c>
      <c r="S144" s="181">
        <f t="shared" si="63"/>
        <v>17</v>
      </c>
      <c r="T144" s="181">
        <f t="shared" si="63"/>
        <v>16</v>
      </c>
      <c r="U144" s="181">
        <v>0</v>
      </c>
      <c r="V144" s="181">
        <v>0</v>
      </c>
      <c r="W144" s="181">
        <v>0</v>
      </c>
      <c r="X144" s="181">
        <f>X49</f>
        <v>16</v>
      </c>
      <c r="Y144" s="181">
        <f>Y49</f>
        <v>14</v>
      </c>
      <c r="Z144" s="223">
        <f>SUM(B144:Y144)</f>
        <v>460</v>
      </c>
      <c r="AA144" s="322" t="s">
        <v>171</v>
      </c>
    </row>
    <row r="145" spans="1:27" x14ac:dyDescent="0.25">
      <c r="A145" s="185">
        <f>Economics!$I41</f>
        <v>1.96</v>
      </c>
      <c r="B145" s="189">
        <f t="shared" ref="B145:Y145" ca="1" si="64">IndGencost(B144,OFFSET(HeatRateStart,1,MATCH($A144,HeatRateNames,0)-1,250,1),$A145)</f>
        <v>43.133706727500147</v>
      </c>
      <c r="C145" s="189">
        <f t="shared" ca="1" si="64"/>
        <v>29.452973673343699</v>
      </c>
      <c r="D145" s="189">
        <f t="shared" ca="1" si="64"/>
        <v>46.638041363704097</v>
      </c>
      <c r="E145" s="189">
        <f ca="1">IndGencost(E144,OFFSET(HeatRateStart,1,MATCH($A144,HeatRateNames,0)-1,250,1),$A145)</f>
        <v>48.753911188884729</v>
      </c>
      <c r="F145" s="189">
        <f t="shared" ca="1" si="64"/>
        <v>46.638041363704097</v>
      </c>
      <c r="G145" s="189">
        <f t="shared" ca="1" si="64"/>
        <v>53.992827012694548</v>
      </c>
      <c r="H145" s="189">
        <f t="shared" ca="1" si="64"/>
        <v>46.638041363704097</v>
      </c>
      <c r="I145" s="189">
        <f t="shared" ca="1" si="64"/>
        <v>48.753911188884729</v>
      </c>
      <c r="J145" s="189">
        <f t="shared" ca="1" si="64"/>
        <v>28.337387870937867</v>
      </c>
      <c r="K145" s="189">
        <f t="shared" ca="1" si="64"/>
        <v>25.721170201018257</v>
      </c>
      <c r="L145" s="189">
        <f t="shared" ca="1" si="64"/>
        <v>32.291369108478541</v>
      </c>
      <c r="M145" s="189">
        <f t="shared" ca="1" si="64"/>
        <v>32.291369108478541</v>
      </c>
      <c r="N145" s="189">
        <f t="shared" ca="1" si="64"/>
        <v>39.176142298475099</v>
      </c>
      <c r="O145" s="189">
        <f t="shared" ca="1" si="64"/>
        <v>43.133706727500147</v>
      </c>
      <c r="P145" s="189">
        <f t="shared" ca="1" si="64"/>
        <v>40.356777105453496</v>
      </c>
      <c r="Q145" s="189">
        <f t="shared" ca="1" si="64"/>
        <v>46.638041363704097</v>
      </c>
      <c r="R145" s="189">
        <f t="shared" ca="1" si="64"/>
        <v>44.778902719990761</v>
      </c>
      <c r="S145" s="189">
        <f t="shared" ca="1" si="64"/>
        <v>44.778902719990761</v>
      </c>
      <c r="T145" s="189">
        <f t="shared" ca="1" si="64"/>
        <v>46.638041363704097</v>
      </c>
      <c r="U145" s="189">
        <f t="shared" ca="1" si="64"/>
        <v>0</v>
      </c>
      <c r="V145" s="189">
        <f t="shared" ca="1" si="64"/>
        <v>0</v>
      </c>
      <c r="W145" s="189">
        <f t="shared" ca="1" si="64"/>
        <v>0</v>
      </c>
      <c r="X145" s="189">
        <f t="shared" ca="1" si="64"/>
        <v>46.638041363704097</v>
      </c>
      <c r="Y145" s="189">
        <f t="shared" ca="1" si="64"/>
        <v>51.181526020132772</v>
      </c>
      <c r="Z145" s="263">
        <f t="array" aca="1" ref="Z145" ca="1">SUM(B144:Y144*B145:Y145)</f>
        <v>17744.351033865707</v>
      </c>
      <c r="AA145" s="322" t="s">
        <v>168</v>
      </c>
    </row>
    <row r="146" spans="1:27" x14ac:dyDescent="0.25">
      <c r="A146" s="184" t="s">
        <v>178</v>
      </c>
      <c r="B146" s="186">
        <v>0</v>
      </c>
      <c r="C146" s="186">
        <f t="shared" ref="C146:T146" si="65">C144</f>
        <v>37</v>
      </c>
      <c r="D146" s="186">
        <f t="shared" si="65"/>
        <v>16</v>
      </c>
      <c r="E146" s="186">
        <f t="shared" si="65"/>
        <v>15</v>
      </c>
      <c r="F146" s="186">
        <f t="shared" si="65"/>
        <v>16</v>
      </c>
      <c r="G146" s="186">
        <f t="shared" si="65"/>
        <v>13</v>
      </c>
      <c r="H146" s="186">
        <f t="shared" si="65"/>
        <v>16</v>
      </c>
      <c r="I146" s="186">
        <f t="shared" si="65"/>
        <v>15</v>
      </c>
      <c r="J146" s="186">
        <f t="shared" si="65"/>
        <v>41</v>
      </c>
      <c r="K146" s="186">
        <f t="shared" si="65"/>
        <v>58</v>
      </c>
      <c r="L146" s="186">
        <f t="shared" si="65"/>
        <v>30</v>
      </c>
      <c r="M146" s="186">
        <f t="shared" si="65"/>
        <v>30</v>
      </c>
      <c r="N146" s="186">
        <f t="shared" si="65"/>
        <v>21</v>
      </c>
      <c r="O146" s="186">
        <f t="shared" si="65"/>
        <v>18</v>
      </c>
      <c r="P146" s="186">
        <f t="shared" si="65"/>
        <v>20</v>
      </c>
      <c r="Q146" s="186">
        <f t="shared" si="65"/>
        <v>16</v>
      </c>
      <c r="R146" s="186">
        <f t="shared" si="65"/>
        <v>17</v>
      </c>
      <c r="S146" s="186">
        <f t="shared" si="65"/>
        <v>17</v>
      </c>
      <c r="T146" s="186">
        <f t="shared" si="65"/>
        <v>16</v>
      </c>
      <c r="U146" s="186"/>
      <c r="V146" s="186"/>
      <c r="W146" s="186"/>
      <c r="X146" s="186">
        <f>X144</f>
        <v>16</v>
      </c>
      <c r="Y146" s="186">
        <f>Y144</f>
        <v>14</v>
      </c>
      <c r="Z146" s="224">
        <f>SUM(B146:Y146)</f>
        <v>442</v>
      </c>
    </row>
    <row r="147" spans="1:27" x14ac:dyDescent="0.25">
      <c r="A147" s="182"/>
      <c r="B147" s="190">
        <f t="shared" ref="B147:Y147" ca="1" si="66">IndGencost(B146,OFFSET(HeatRateStart,1,MATCH($A144,HeatRateNames,0)-1,250,1),$A145)</f>
        <v>0</v>
      </c>
      <c r="C147" s="190">
        <f t="shared" ca="1" si="66"/>
        <v>29.452973673343699</v>
      </c>
      <c r="D147" s="190">
        <f t="shared" ca="1" si="66"/>
        <v>46.638041363704097</v>
      </c>
      <c r="E147" s="190">
        <f ca="1">IndGencost(E146,OFFSET(HeatRateStart,1,MATCH($A144,HeatRateNames,0)-1,250,1),$A145)</f>
        <v>48.753911188884729</v>
      </c>
      <c r="F147" s="190">
        <f t="shared" ca="1" si="66"/>
        <v>46.638041363704097</v>
      </c>
      <c r="G147" s="190">
        <f t="shared" ca="1" si="66"/>
        <v>53.992827012694548</v>
      </c>
      <c r="H147" s="190">
        <f t="shared" ca="1" si="66"/>
        <v>46.638041363704097</v>
      </c>
      <c r="I147" s="190">
        <f t="shared" ca="1" si="66"/>
        <v>48.753911188884729</v>
      </c>
      <c r="J147" s="190">
        <f t="shared" ca="1" si="66"/>
        <v>28.337387870937867</v>
      </c>
      <c r="K147" s="190">
        <f t="shared" ca="1" si="66"/>
        <v>25.721170201018257</v>
      </c>
      <c r="L147" s="190">
        <f t="shared" ca="1" si="66"/>
        <v>32.291369108478541</v>
      </c>
      <c r="M147" s="190">
        <f t="shared" ca="1" si="66"/>
        <v>32.291369108478541</v>
      </c>
      <c r="N147" s="190">
        <f t="shared" ca="1" si="66"/>
        <v>39.176142298475099</v>
      </c>
      <c r="O147" s="190">
        <f t="shared" ca="1" si="66"/>
        <v>43.133706727500147</v>
      </c>
      <c r="P147" s="190">
        <f t="shared" ca="1" si="66"/>
        <v>40.356777105453496</v>
      </c>
      <c r="Q147" s="190">
        <f t="shared" ca="1" si="66"/>
        <v>46.638041363704097</v>
      </c>
      <c r="R147" s="190">
        <f t="shared" ca="1" si="66"/>
        <v>44.778902719990761</v>
      </c>
      <c r="S147" s="190">
        <f t="shared" ca="1" si="66"/>
        <v>44.778902719990761</v>
      </c>
      <c r="T147" s="190">
        <f t="shared" ca="1" si="66"/>
        <v>46.638041363704097</v>
      </c>
      <c r="U147" s="190">
        <f t="shared" ca="1" si="66"/>
        <v>0</v>
      </c>
      <c r="V147" s="190">
        <f t="shared" ca="1" si="66"/>
        <v>0</v>
      </c>
      <c r="W147" s="190">
        <f t="shared" ca="1" si="66"/>
        <v>0</v>
      </c>
      <c r="X147" s="190">
        <f t="shared" ca="1" si="66"/>
        <v>46.638041363704097</v>
      </c>
      <c r="Y147" s="190">
        <f t="shared" ca="1" si="66"/>
        <v>51.181526020132772</v>
      </c>
      <c r="Z147" s="262">
        <f t="array" aca="1" ref="Z147" ca="1">SUM(B146:Y146*B147:Y147)</f>
        <v>16967.944312770705</v>
      </c>
    </row>
    <row r="148" spans="1:27" ht="13.8" thickBot="1" x14ac:dyDescent="0.3">
      <c r="A148" s="187" t="s">
        <v>166</v>
      </c>
      <c r="B148" s="188">
        <f t="shared" ref="B148:Y148" ca="1" si="67">B147-B145</f>
        <v>-43.133706727500147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776.40672109500156</v>
      </c>
    </row>
    <row r="149" spans="1:27" x14ac:dyDescent="0.25">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39</v>
      </c>
      <c r="Z149" s="223">
        <f>SUM(B149:Y149)</f>
        <v>823</v>
      </c>
      <c r="AA149" s="322" t="s">
        <v>179</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25.444858668637675</v>
      </c>
      <c r="Z150" s="263">
        <f t="array" aca="1" ref="Z150" ca="1">SUM(B149:Y149*B150:Y150)</f>
        <v>21081.977045609779</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-25.444858668637675</v>
      </c>
      <c r="Z153" s="264">
        <f ca="1">Z150-Z152</f>
        <v>21081.977045609779</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60</v>
      </c>
      <c r="C159" s="181">
        <f t="shared" si="76"/>
        <v>59</v>
      </c>
      <c r="D159" s="181">
        <f t="shared" si="76"/>
        <v>59</v>
      </c>
      <c r="E159" s="181">
        <f>E52</f>
        <v>59</v>
      </c>
      <c r="F159" s="181">
        <f t="shared" si="76"/>
        <v>58</v>
      </c>
      <c r="G159" s="181">
        <f t="shared" si="76"/>
        <v>60</v>
      </c>
      <c r="H159" s="181">
        <f t="shared" si="76"/>
        <v>59</v>
      </c>
      <c r="I159" s="181">
        <f t="shared" si="76"/>
        <v>61</v>
      </c>
      <c r="J159" s="181">
        <f t="shared" si="76"/>
        <v>60</v>
      </c>
      <c r="K159" s="181">
        <f t="shared" si="76"/>
        <v>60</v>
      </c>
      <c r="L159" s="181">
        <f t="shared" si="76"/>
        <v>79</v>
      </c>
      <c r="M159" s="181">
        <f t="shared" si="76"/>
        <v>79</v>
      </c>
      <c r="N159" s="181">
        <f t="shared" si="76"/>
        <v>79</v>
      </c>
      <c r="O159" s="181">
        <f t="shared" si="76"/>
        <v>78</v>
      </c>
      <c r="P159" s="181">
        <f t="shared" si="76"/>
        <v>78</v>
      </c>
      <c r="Q159" s="181">
        <f t="shared" si="76"/>
        <v>79</v>
      </c>
      <c r="R159" s="181">
        <f t="shared" si="76"/>
        <v>79</v>
      </c>
      <c r="S159" s="181">
        <f t="shared" si="76"/>
        <v>79</v>
      </c>
      <c r="T159" s="181">
        <f t="shared" si="76"/>
        <v>79</v>
      </c>
      <c r="U159" s="181">
        <f t="shared" si="76"/>
        <v>79</v>
      </c>
      <c r="V159" s="181">
        <f t="shared" si="76"/>
        <v>79</v>
      </c>
      <c r="W159" s="181">
        <f t="shared" si="76"/>
        <v>78</v>
      </c>
      <c r="X159" s="181">
        <f t="shared" si="76"/>
        <v>78</v>
      </c>
      <c r="Y159" s="181">
        <f t="shared" si="76"/>
        <v>79</v>
      </c>
      <c r="Z159" s="223">
        <f>SUM(B159:Y159)</f>
        <v>1697</v>
      </c>
      <c r="AA159" s="322" t="s">
        <v>179</v>
      </c>
    </row>
    <row r="160" spans="1:27" x14ac:dyDescent="0.25">
      <c r="A160" s="185">
        <f>Economics!$I45</f>
        <v>2.09</v>
      </c>
      <c r="B160" s="189">
        <f t="shared" ref="B160:Y160" ca="1" si="77">IndGencost(B159,OFFSET(HeatRateStart,1,MATCH($A159,HeatRateNames,0)-1,250,1),$A160)</f>
        <v>21.408914120793344</v>
      </c>
      <c r="C160" s="189">
        <f t="shared" ca="1" si="77"/>
        <v>21.433994119763373</v>
      </c>
      <c r="D160" s="189">
        <f t="shared" ca="1" si="77"/>
        <v>21.433994119763373</v>
      </c>
      <c r="E160" s="189">
        <f ca="1">IndGencost(E159,OFFSET(HeatRateStart,1,MATCH($A159,HeatRateNames,0)-1,250,1),$A160)</f>
        <v>21.433994119763373</v>
      </c>
      <c r="F160" s="189">
        <f t="shared" ca="1" si="77"/>
        <v>21.460983946241182</v>
      </c>
      <c r="G160" s="189">
        <f t="shared" ca="1" si="77"/>
        <v>21.408914120793344</v>
      </c>
      <c r="H160" s="189">
        <f t="shared" ca="1" si="77"/>
        <v>21.433994119763373</v>
      </c>
      <c r="I160" s="189">
        <f t="shared" ca="1" si="77"/>
        <v>21.385650023388084</v>
      </c>
      <c r="J160" s="189">
        <f t="shared" ca="1" si="77"/>
        <v>21.408914120793344</v>
      </c>
      <c r="K160" s="189">
        <f t="shared" ca="1" si="77"/>
        <v>21.408914120793344</v>
      </c>
      <c r="L160" s="189">
        <f t="shared" ca="1" si="77"/>
        <v>21.198802990181537</v>
      </c>
      <c r="M160" s="189">
        <f t="shared" ca="1" si="77"/>
        <v>21.198802990181537</v>
      </c>
      <c r="N160" s="189">
        <f t="shared" ca="1" si="77"/>
        <v>21.198802990181537</v>
      </c>
      <c r="O160" s="189">
        <f t="shared" ca="1" si="77"/>
        <v>21.200316052436825</v>
      </c>
      <c r="P160" s="189">
        <f t="shared" ca="1" si="77"/>
        <v>21.200316052436825</v>
      </c>
      <c r="Q160" s="189">
        <f t="shared" ca="1" si="77"/>
        <v>21.198802990181537</v>
      </c>
      <c r="R160" s="189">
        <f t="shared" ca="1" si="77"/>
        <v>21.198802990181537</v>
      </c>
      <c r="S160" s="189">
        <f t="shared" ca="1" si="77"/>
        <v>21.198802990181537</v>
      </c>
      <c r="T160" s="189">
        <f t="shared" ca="1" si="77"/>
        <v>21.198802990181537</v>
      </c>
      <c r="U160" s="189">
        <f t="shared" ca="1" si="77"/>
        <v>21.198802990181537</v>
      </c>
      <c r="V160" s="189">
        <f t="shared" ca="1" si="77"/>
        <v>21.198802990181537</v>
      </c>
      <c r="W160" s="189">
        <f t="shared" ca="1" si="77"/>
        <v>21.200316052436825</v>
      </c>
      <c r="X160" s="189">
        <f t="shared" ca="1" si="77"/>
        <v>21.200316052436825</v>
      </c>
      <c r="Y160" s="189">
        <f t="shared" ca="1" si="77"/>
        <v>21.198802990181537</v>
      </c>
      <c r="Z160" s="263">
        <f t="array" aca="1" ref="Z160" ca="1">SUM(B159:Y159*B160:Y160)</f>
        <v>36107.376692166916</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0.11218820967844323</v>
      </c>
      <c r="C163" s="188">
        <f t="shared" ca="1" si="79"/>
        <v>8.7108210708414902E-2</v>
      </c>
      <c r="D163" s="188">
        <f t="shared" ca="1" si="79"/>
        <v>8.7108210708414902E-2</v>
      </c>
      <c r="E163" s="188">
        <f t="shared" ca="1" si="79"/>
        <v>8.7108210708414902E-2</v>
      </c>
      <c r="F163" s="188">
        <f t="shared" ca="1" si="79"/>
        <v>-0.15190751365546262</v>
      </c>
      <c r="G163" s="188">
        <f t="shared" ca="1" si="79"/>
        <v>-0.19896799182892266</v>
      </c>
      <c r="H163" s="188">
        <f t="shared" ca="1" si="79"/>
        <v>8.7108210708414902E-2</v>
      </c>
      <c r="I163" s="188">
        <f t="shared" ca="1" si="79"/>
        <v>0.13545230708370326</v>
      </c>
      <c r="J163" s="188">
        <f t="shared" ca="1" si="79"/>
        <v>0.11218820967844323</v>
      </c>
      <c r="K163" s="188">
        <f t="shared" ca="1" si="79"/>
        <v>0.11218820967844323</v>
      </c>
      <c r="L163" s="188">
        <f t="shared" ca="1" si="79"/>
        <v>0.32229934029025031</v>
      </c>
      <c r="M163" s="188">
        <f t="shared" ca="1" si="79"/>
        <v>0.32229934029025031</v>
      </c>
      <c r="N163" s="188">
        <f t="shared" ca="1" si="79"/>
        <v>0.32229934029025031</v>
      </c>
      <c r="O163" s="188">
        <f t="shared" ca="1" si="79"/>
        <v>0.32078627803496218</v>
      </c>
      <c r="P163" s="188">
        <f t="shared" ca="1" si="79"/>
        <v>0.32078627803496218</v>
      </c>
      <c r="Q163" s="188">
        <f t="shared" ca="1" si="79"/>
        <v>0.32229934029025031</v>
      </c>
      <c r="R163" s="188">
        <f t="shared" ca="1" si="79"/>
        <v>0.32229934029025031</v>
      </c>
      <c r="S163" s="188">
        <f t="shared" ca="1" si="79"/>
        <v>0.32229934029025031</v>
      </c>
      <c r="T163" s="188">
        <f t="shared" ca="1" si="79"/>
        <v>6.6434919088536049E-3</v>
      </c>
      <c r="U163" s="188">
        <f t="shared" ca="1" si="79"/>
        <v>0.24003612938286167</v>
      </c>
      <c r="V163" s="188">
        <f t="shared" ca="1" si="79"/>
        <v>3.0022804674217696E-2</v>
      </c>
      <c r="W163" s="188">
        <f t="shared" ca="1" si="79"/>
        <v>0.10876038014889389</v>
      </c>
      <c r="X163" s="188">
        <f t="shared" ca="1" si="79"/>
        <v>0.32078627803496218</v>
      </c>
      <c r="Y163" s="188">
        <f t="shared" ca="1" si="79"/>
        <v>0.32229934029025031</v>
      </c>
      <c r="Z163" s="264">
        <f ca="1">Z160-Z162</f>
        <v>3981.8500714760921</v>
      </c>
      <c r="AA163" s="266"/>
    </row>
    <row r="164" spans="1:27" s="273" customFormat="1" x14ac:dyDescent="0.25">
      <c r="A164" s="306" t="s">
        <v>183</v>
      </c>
      <c r="B164" s="307">
        <f t="shared" ref="B164:Y164" si="80">B159+B154+B149+B144+B139+B134+B129+B124+B119+B114+B109+B104+B101+B98+B95+B92+B89</f>
        <v>846</v>
      </c>
      <c r="C164" s="307">
        <f t="shared" si="80"/>
        <v>907</v>
      </c>
      <c r="D164" s="307">
        <f t="shared" si="80"/>
        <v>890</v>
      </c>
      <c r="E164" s="307">
        <f t="shared" si="80"/>
        <v>890</v>
      </c>
      <c r="F164" s="307">
        <f t="shared" si="80"/>
        <v>754</v>
      </c>
      <c r="G164" s="307">
        <f t="shared" si="80"/>
        <v>752</v>
      </c>
      <c r="H164" s="307">
        <f t="shared" si="80"/>
        <v>777</v>
      </c>
      <c r="I164" s="307">
        <f t="shared" si="80"/>
        <v>838</v>
      </c>
      <c r="J164" s="307">
        <f t="shared" si="80"/>
        <v>949</v>
      </c>
      <c r="K164" s="307">
        <f t="shared" si="80"/>
        <v>1022</v>
      </c>
      <c r="L164" s="307">
        <f t="shared" si="80"/>
        <v>1001</v>
      </c>
      <c r="M164" s="307" t="e">
        <f t="shared" si="80"/>
        <v>#REF!</v>
      </c>
      <c r="N164" s="307">
        <f t="shared" si="80"/>
        <v>976</v>
      </c>
      <c r="O164" s="307">
        <f t="shared" si="80"/>
        <v>971</v>
      </c>
      <c r="P164" s="307">
        <f t="shared" si="80"/>
        <v>951</v>
      </c>
      <c r="Q164" s="307">
        <f t="shared" si="80"/>
        <v>920</v>
      </c>
      <c r="R164" s="307">
        <f t="shared" si="80"/>
        <v>927</v>
      </c>
      <c r="S164" s="307">
        <f t="shared" si="80"/>
        <v>928</v>
      </c>
      <c r="T164" s="307">
        <f t="shared" si="80"/>
        <v>936</v>
      </c>
      <c r="U164" s="307">
        <f t="shared" si="80"/>
        <v>966</v>
      </c>
      <c r="V164" s="307">
        <f t="shared" si="80"/>
        <v>980</v>
      </c>
      <c r="W164" s="307">
        <f t="shared" si="80"/>
        <v>983</v>
      </c>
      <c r="X164" s="307">
        <f t="shared" si="80"/>
        <v>958</v>
      </c>
      <c r="Y164" s="308">
        <f t="shared" si="80"/>
        <v>992</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915</v>
      </c>
      <c r="D165" s="310">
        <f t="shared" si="81"/>
        <v>864</v>
      </c>
      <c r="E165" s="310">
        <f t="shared" si="81"/>
        <v>863</v>
      </c>
      <c r="F165" s="310">
        <f t="shared" si="81"/>
        <v>874</v>
      </c>
      <c r="G165" s="310">
        <f t="shared" si="81"/>
        <v>881</v>
      </c>
      <c r="H165" s="310">
        <f t="shared" si="81"/>
        <v>910</v>
      </c>
      <c r="I165" s="310">
        <f t="shared" si="81"/>
        <v>894</v>
      </c>
      <c r="J165" s="310">
        <f t="shared" si="81"/>
        <v>920</v>
      </c>
      <c r="K165" s="310">
        <f t="shared" si="81"/>
        <v>937</v>
      </c>
      <c r="L165" s="310">
        <f t="shared" si="81"/>
        <v>960</v>
      </c>
      <c r="M165" s="310">
        <f t="shared" si="81"/>
        <v>960</v>
      </c>
      <c r="N165" s="310">
        <f t="shared" si="81"/>
        <v>951</v>
      </c>
      <c r="O165" s="310">
        <f t="shared" si="81"/>
        <v>948</v>
      </c>
      <c r="P165" s="310">
        <f t="shared" si="81"/>
        <v>950</v>
      </c>
      <c r="Q165" s="310">
        <f t="shared" si="81"/>
        <v>946</v>
      </c>
      <c r="R165" s="310">
        <f t="shared" si="81"/>
        <v>947</v>
      </c>
      <c r="S165" s="310">
        <f t="shared" si="81"/>
        <v>947</v>
      </c>
      <c r="T165" s="310">
        <f t="shared" si="81"/>
        <v>1045</v>
      </c>
      <c r="U165" s="310">
        <f t="shared" si="81"/>
        <v>1054</v>
      </c>
      <c r="V165" s="310">
        <f t="shared" si="81"/>
        <v>968</v>
      </c>
      <c r="W165" s="310">
        <f>W161+W156+W151+W146+W141+W136+W131+W126+W121+W116+W111+W106+W102+W99+W96+W93+W90</f>
        <v>938</v>
      </c>
      <c r="X165" s="310">
        <f t="shared" si="81"/>
        <v>925</v>
      </c>
      <c r="Y165" s="311">
        <f t="shared" si="81"/>
        <v>923</v>
      </c>
      <c r="Z165" s="275"/>
      <c r="AA165" s="174" t="e">
        <f ca="1">Z163+Z158+Z153+Z148+Z143+Z138+Z133+Z128+Z123+Z118+Z113+Z108+Z103+Z100+Z97+Z94+Z91</f>
        <v>#REF!</v>
      </c>
    </row>
    <row r="166" spans="1:27" x14ac:dyDescent="0.25">
      <c r="A166" s="334" t="s">
        <v>185</v>
      </c>
      <c r="B166" s="335">
        <f t="shared" ref="B166:Y166" si="82">B165-B164</f>
        <v>133</v>
      </c>
      <c r="C166" s="335">
        <f t="shared" si="82"/>
        <v>8</v>
      </c>
      <c r="D166" s="335">
        <f t="shared" si="82"/>
        <v>-26</v>
      </c>
      <c r="E166" s="335">
        <f t="shared" si="82"/>
        <v>-27</v>
      </c>
      <c r="F166" s="335">
        <f t="shared" si="82"/>
        <v>120</v>
      </c>
      <c r="G166" s="335">
        <f t="shared" si="82"/>
        <v>129</v>
      </c>
      <c r="H166" s="335">
        <f t="shared" si="82"/>
        <v>133</v>
      </c>
      <c r="I166" s="335">
        <f t="shared" si="82"/>
        <v>56</v>
      </c>
      <c r="J166" s="335">
        <f t="shared" si="82"/>
        <v>-29</v>
      </c>
      <c r="K166" s="335">
        <f t="shared" si="82"/>
        <v>-85</v>
      </c>
      <c r="L166" s="335">
        <f t="shared" si="82"/>
        <v>-41</v>
      </c>
      <c r="M166" s="335" t="e">
        <f t="shared" si="82"/>
        <v>#REF!</v>
      </c>
      <c r="N166" s="335">
        <f t="shared" si="82"/>
        <v>-25</v>
      </c>
      <c r="O166" s="335">
        <f t="shared" si="82"/>
        <v>-23</v>
      </c>
      <c r="P166" s="335">
        <f t="shared" si="82"/>
        <v>-1</v>
      </c>
      <c r="Q166" s="335">
        <f t="shared" si="82"/>
        <v>26</v>
      </c>
      <c r="R166" s="335">
        <f t="shared" si="82"/>
        <v>20</v>
      </c>
      <c r="S166" s="335">
        <f t="shared" si="82"/>
        <v>19</v>
      </c>
      <c r="T166" s="335">
        <f t="shared" si="82"/>
        <v>109</v>
      </c>
      <c r="U166" s="335">
        <f t="shared" si="82"/>
        <v>88</v>
      </c>
      <c r="V166" s="335">
        <f t="shared" si="82"/>
        <v>-12</v>
      </c>
      <c r="W166" s="335">
        <f t="shared" si="82"/>
        <v>-45</v>
      </c>
      <c r="X166" s="335">
        <f t="shared" si="82"/>
        <v>-33</v>
      </c>
      <c r="Y166" s="336">
        <f t="shared" si="82"/>
        <v>-69</v>
      </c>
      <c r="Z166" s="340" t="e">
        <f>SUM(B166:Y166)</f>
        <v>#REF!</v>
      </c>
    </row>
    <row r="167" spans="1:27" s="329" customFormat="1" ht="32.25" customHeight="1" thickBot="1" x14ac:dyDescent="0.3">
      <c r="A167" s="337" t="s">
        <v>186</v>
      </c>
      <c r="B167" s="338">
        <f t="shared" ref="B167:Y167" ca="1" si="83">B58</f>
        <v>-49</v>
      </c>
      <c r="C167" s="338">
        <f t="shared" ca="1" si="83"/>
        <v>-3</v>
      </c>
      <c r="D167" s="338">
        <f t="shared" ca="1" si="83"/>
        <v>-1</v>
      </c>
      <c r="E167" s="338">
        <f ca="1">E58</f>
        <v>-2</v>
      </c>
      <c r="F167" s="338">
        <f t="shared" ca="1" si="83"/>
        <v>23</v>
      </c>
      <c r="G167" s="338">
        <f t="shared" ca="1" si="83"/>
        <v>4</v>
      </c>
      <c r="H167" s="338">
        <f t="shared" ca="1" si="83"/>
        <v>-1</v>
      </c>
      <c r="I167" s="338">
        <f t="shared" ca="1" si="83"/>
        <v>-2</v>
      </c>
      <c r="J167" s="338">
        <f t="shared" ca="1" si="83"/>
        <v>7</v>
      </c>
      <c r="K167" s="338">
        <f t="shared" ca="1" si="83"/>
        <v>-6</v>
      </c>
      <c r="L167" s="338">
        <f t="shared" ca="1" si="83"/>
        <v>2</v>
      </c>
      <c r="M167" s="338">
        <f t="shared" ca="1" si="83"/>
        <v>-6</v>
      </c>
      <c r="N167" s="338">
        <f t="shared" ca="1" si="83"/>
        <v>-2</v>
      </c>
      <c r="O167" s="338">
        <f t="shared" ca="1" si="83"/>
        <v>-7</v>
      </c>
      <c r="P167" s="338">
        <f t="shared" ca="1" si="83"/>
        <v>-2</v>
      </c>
      <c r="Q167" s="338">
        <f t="shared" ca="1" si="83"/>
        <v>-1</v>
      </c>
      <c r="R167" s="338">
        <f t="shared" ca="1" si="83"/>
        <v>-6</v>
      </c>
      <c r="S167" s="338">
        <f t="shared" ca="1" si="83"/>
        <v>3</v>
      </c>
      <c r="T167" s="338">
        <f t="shared" ca="1" si="83"/>
        <v>6</v>
      </c>
      <c r="U167" s="338">
        <f t="shared" ca="1" si="83"/>
        <v>6</v>
      </c>
      <c r="V167" s="338">
        <f t="shared" ca="1" si="83"/>
        <v>2</v>
      </c>
      <c r="W167" s="338">
        <f t="shared" ca="1" si="83"/>
        <v>-4</v>
      </c>
      <c r="X167" s="338">
        <f ca="1">X58</f>
        <v>-96</v>
      </c>
      <c r="Y167" s="339">
        <f t="shared" ca="1" si="83"/>
        <v>7</v>
      </c>
      <c r="Z167" s="327">
        <f ca="1">SUM(B167:Y167)</f>
        <v>-128</v>
      </c>
      <c r="AA167" s="328"/>
    </row>
    <row r="168" spans="1:27" ht="13.8" hidden="1" thickBot="1" x14ac:dyDescent="0.3">
      <c r="A168" s="330" t="s">
        <v>187</v>
      </c>
      <c r="B168" s="331">
        <f t="shared" ref="B168:Y168" ca="1" si="84">B167+B166</f>
        <v>84</v>
      </c>
      <c r="C168" s="331">
        <f t="shared" ca="1" si="84"/>
        <v>5</v>
      </c>
      <c r="D168" s="331">
        <f t="shared" ca="1" si="84"/>
        <v>-27</v>
      </c>
      <c r="E168" s="331">
        <f t="shared" ca="1" si="84"/>
        <v>-29</v>
      </c>
      <c r="F168" s="331">
        <f t="shared" ca="1" si="84"/>
        <v>143</v>
      </c>
      <c r="G168" s="331">
        <f t="shared" ca="1" si="84"/>
        <v>133</v>
      </c>
      <c r="H168" s="331">
        <f t="shared" ca="1" si="84"/>
        <v>132</v>
      </c>
      <c r="I168" s="331">
        <f t="shared" ca="1" si="84"/>
        <v>54</v>
      </c>
      <c r="J168" s="331">
        <f t="shared" ca="1" si="84"/>
        <v>-22</v>
      </c>
      <c r="K168" s="331">
        <f t="shared" ca="1" si="84"/>
        <v>-91</v>
      </c>
      <c r="L168" s="331">
        <f t="shared" ca="1" si="84"/>
        <v>-39</v>
      </c>
      <c r="M168" s="331" t="e">
        <f t="shared" ca="1" si="84"/>
        <v>#REF!</v>
      </c>
      <c r="N168" s="331">
        <f t="shared" ca="1" si="84"/>
        <v>-27</v>
      </c>
      <c r="O168" s="331">
        <f t="shared" ca="1" si="84"/>
        <v>-30</v>
      </c>
      <c r="P168" s="331">
        <f t="shared" ca="1" si="84"/>
        <v>-3</v>
      </c>
      <c r="Q168" s="331">
        <f t="shared" ca="1" si="84"/>
        <v>25</v>
      </c>
      <c r="R168" s="331">
        <f t="shared" ca="1" si="84"/>
        <v>14</v>
      </c>
      <c r="S168" s="331">
        <f t="shared" ca="1" si="84"/>
        <v>22</v>
      </c>
      <c r="T168" s="331">
        <f t="shared" ca="1" si="84"/>
        <v>115</v>
      </c>
      <c r="U168" s="331">
        <f t="shared" ca="1" si="84"/>
        <v>94</v>
      </c>
      <c r="V168" s="331">
        <f t="shared" ca="1" si="84"/>
        <v>-10</v>
      </c>
      <c r="W168" s="331">
        <f t="shared" ca="1" si="84"/>
        <v>-49</v>
      </c>
      <c r="X168" s="331">
        <f t="shared" ca="1" si="84"/>
        <v>-129</v>
      </c>
      <c r="Y168" s="331">
        <f t="shared" ca="1" si="84"/>
        <v>-62</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491</v>
      </c>
      <c r="C171" s="342">
        <f t="shared" si="85"/>
        <v>429</v>
      </c>
      <c r="D171" s="342">
        <f t="shared" si="85"/>
        <v>446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446</v>
      </c>
      <c r="F171" s="342">
        <f t="shared" si="85"/>
        <v>553</v>
      </c>
      <c r="G171" s="342">
        <f t="shared" si="85"/>
        <v>560</v>
      </c>
      <c r="H171" s="342">
        <f t="shared" si="85"/>
        <v>556</v>
      </c>
      <c r="I171" s="342">
        <f t="shared" si="85"/>
        <v>500</v>
      </c>
      <c r="J171" s="342">
        <f t="shared" si="85"/>
        <v>388</v>
      </c>
      <c r="K171" s="342">
        <f t="shared" si="85"/>
        <v>315</v>
      </c>
      <c r="L171" s="342">
        <f t="shared" si="85"/>
        <v>355</v>
      </c>
      <c r="M171" s="342">
        <f t="shared" si="85"/>
        <v>300</v>
      </c>
      <c r="N171" s="342">
        <f t="shared" si="85"/>
        <v>380</v>
      </c>
      <c r="O171" s="342">
        <f t="shared" si="85"/>
        <v>384</v>
      </c>
      <c r="P171" s="342">
        <f t="shared" si="85"/>
        <v>404</v>
      </c>
      <c r="Q171" s="342">
        <f t="shared" si="85"/>
        <v>436</v>
      </c>
      <c r="R171" s="342">
        <f t="shared" si="85"/>
        <v>429</v>
      </c>
      <c r="S171" s="342">
        <f t="shared" si="85"/>
        <v>428</v>
      </c>
      <c r="T171" s="342">
        <f t="shared" si="85"/>
        <v>420</v>
      </c>
      <c r="U171" s="342">
        <f t="shared" si="85"/>
        <v>326</v>
      </c>
      <c r="V171" s="342">
        <f t="shared" si="85"/>
        <v>312</v>
      </c>
      <c r="W171" s="342">
        <f t="shared" si="85"/>
        <v>308</v>
      </c>
      <c r="X171" s="342">
        <f t="shared" si="85"/>
        <v>397</v>
      </c>
      <c r="Y171" s="343">
        <f t="shared" si="85"/>
        <v>364</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257</v>
      </c>
      <c r="D172" s="345">
        <f t="shared" si="86"/>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45">
        <f t="shared" si="86"/>
        <v>317</v>
      </c>
      <c r="G172" s="345">
        <f t="shared" si="86"/>
        <v>319</v>
      </c>
      <c r="H172" s="345">
        <f t="shared" si="86"/>
        <v>272</v>
      </c>
      <c r="I172" s="345">
        <f t="shared" si="86"/>
        <v>278</v>
      </c>
      <c r="J172" s="345">
        <f t="shared" si="86"/>
        <v>252</v>
      </c>
      <c r="K172" s="345">
        <f t="shared" si="86"/>
        <v>235</v>
      </c>
      <c r="L172" s="345">
        <f t="shared" si="86"/>
        <v>212</v>
      </c>
      <c r="M172" s="345">
        <f t="shared" si="86"/>
        <v>212</v>
      </c>
      <c r="N172" s="345">
        <f t="shared" si="86"/>
        <v>221</v>
      </c>
      <c r="O172" s="345">
        <f t="shared" si="86"/>
        <v>224</v>
      </c>
      <c r="P172" s="345">
        <f t="shared" si="86"/>
        <v>222</v>
      </c>
      <c r="Q172" s="345">
        <f t="shared" si="86"/>
        <v>226</v>
      </c>
      <c r="R172" s="345">
        <f t="shared" si="86"/>
        <v>225</v>
      </c>
      <c r="S172" s="345">
        <f t="shared" si="86"/>
        <v>225</v>
      </c>
      <c r="T172" s="345">
        <f t="shared" si="86"/>
        <v>166</v>
      </c>
      <c r="U172" s="345">
        <f t="shared" si="86"/>
        <v>118</v>
      </c>
      <c r="V172" s="345">
        <f t="shared" si="86"/>
        <v>184</v>
      </c>
      <c r="W172" s="345">
        <f t="shared" si="86"/>
        <v>189</v>
      </c>
      <c r="X172" s="345">
        <f t="shared" si="86"/>
        <v>257</v>
      </c>
      <c r="Y172" s="346">
        <f t="shared" si="86"/>
        <v>259</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tabSelected="1" topLeftCell="C1" zoomScale="60" zoomScaleNormal="60" workbookViewId="0">
      <pane ySplit="2" topLeftCell="A70" activePane="bottomLeft" state="frozen"/>
      <selection pane="bottomLeft" activeCell="I71" sqref="I71"/>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10.88671875" style="680" customWidth="1"/>
    <col min="7" max="12" width="7.33203125" style="377" customWidth="1"/>
    <col min="13" max="28" width="7.33203125" style="680" customWidth="1"/>
    <col min="29" max="29" width="7.33203125" style="688"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5">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5">
      <c r="A3" s="617" t="s">
        <v>63</v>
      </c>
      <c r="B3" s="618" t="s">
        <v>62</v>
      </c>
      <c r="C3" s="526" t="s">
        <v>152</v>
      </c>
      <c r="D3" s="526"/>
      <c r="E3" s="526"/>
      <c r="F3" s="672">
        <v>150</v>
      </c>
      <c r="G3" s="672">
        <v>150</v>
      </c>
      <c r="H3" s="672">
        <v>150</v>
      </c>
      <c r="I3" s="672">
        <v>150</v>
      </c>
      <c r="J3" s="672">
        <v>150</v>
      </c>
      <c r="K3" s="672">
        <v>150</v>
      </c>
      <c r="L3" s="672">
        <v>125</v>
      </c>
      <c r="M3" s="672">
        <v>125</v>
      </c>
      <c r="N3" s="672">
        <v>125</v>
      </c>
      <c r="O3" s="672">
        <v>125</v>
      </c>
      <c r="P3" s="672">
        <v>140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3490</v>
      </c>
      <c r="AE3" s="570">
        <f t="shared" ref="AE3:AE13" si="0">AD3*D3</f>
        <v>0</v>
      </c>
      <c r="AF3" s="525" t="str">
        <f t="shared" ref="AF3:AF13"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17" t="s">
        <v>65</v>
      </c>
      <c r="B4" s="618" t="s">
        <v>62</v>
      </c>
      <c r="C4" s="526" t="s">
        <v>371</v>
      </c>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5">
      <c r="A5" s="617" t="s">
        <v>64</v>
      </c>
      <c r="B5" s="526" t="s">
        <v>61</v>
      </c>
      <c r="C5" s="526" t="s">
        <v>279</v>
      </c>
      <c r="D5" s="526"/>
      <c r="E5" s="526"/>
      <c r="F5" s="672">
        <v>19</v>
      </c>
      <c r="G5" s="672">
        <v>19</v>
      </c>
      <c r="H5" s="672">
        <v>19</v>
      </c>
      <c r="I5" s="672">
        <v>19</v>
      </c>
      <c r="J5" s="672">
        <v>1</v>
      </c>
      <c r="K5" s="672">
        <v>1</v>
      </c>
      <c r="L5" s="672">
        <v>1</v>
      </c>
      <c r="M5" s="672">
        <v>1</v>
      </c>
      <c r="N5" s="672">
        <v>19</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2" si="2">SUM(E5:AC5)</f>
        <v>384</v>
      </c>
      <c r="AE5" s="570">
        <f t="shared" si="0"/>
        <v>0</v>
      </c>
      <c r="AF5" s="525" t="str">
        <f t="shared" si="1"/>
        <v>sell</v>
      </c>
    </row>
    <row r="6" spans="1:75" s="360" customFormat="1" ht="12.75" customHeight="1" x14ac:dyDescent="0.25">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5">
      <c r="A7" s="619" t="s">
        <v>3</v>
      </c>
      <c r="B7" s="526"/>
      <c r="C7" s="526" t="s">
        <v>263</v>
      </c>
      <c r="D7" s="526"/>
      <c r="E7" s="587"/>
      <c r="F7" s="611">
        <v>-103</v>
      </c>
      <c r="G7" s="611">
        <v>-103</v>
      </c>
      <c r="H7" s="611">
        <v>-103</v>
      </c>
      <c r="I7" s="611">
        <v>-103</v>
      </c>
      <c r="J7" s="611">
        <v>-103</v>
      </c>
      <c r="K7" s="611">
        <v>-103</v>
      </c>
      <c r="L7" s="611">
        <v>-103</v>
      </c>
      <c r="M7" s="611">
        <v>-103</v>
      </c>
      <c r="N7" s="611">
        <v>-103</v>
      </c>
      <c r="O7" s="611">
        <v>-103</v>
      </c>
      <c r="P7" s="611">
        <v>-103</v>
      </c>
      <c r="Q7" s="611">
        <v>-103</v>
      </c>
      <c r="R7" s="611">
        <v>-103</v>
      </c>
      <c r="S7" s="611">
        <v>-103</v>
      </c>
      <c r="T7" s="611">
        <v>-103</v>
      </c>
      <c r="U7" s="611">
        <v>-103</v>
      </c>
      <c r="V7" s="611">
        <v>-103</v>
      </c>
      <c r="W7" s="611">
        <v>-103</v>
      </c>
      <c r="X7" s="611">
        <v>-103</v>
      </c>
      <c r="Y7" s="611">
        <v>-103</v>
      </c>
      <c r="Z7" s="611">
        <v>-103</v>
      </c>
      <c r="AA7" s="611">
        <v>-103</v>
      </c>
      <c r="AB7" s="611">
        <v>-103</v>
      </c>
      <c r="AC7" s="611">
        <v>-103</v>
      </c>
      <c r="AD7" s="580">
        <f t="shared" si="2"/>
        <v>-2472</v>
      </c>
      <c r="AE7" s="570">
        <f t="shared" si="0"/>
        <v>0</v>
      </c>
      <c r="AF7" s="525" t="str">
        <f t="shared" si="1"/>
        <v>buy</v>
      </c>
    </row>
    <row r="8" spans="1:75" s="360" customFormat="1" ht="12.75" customHeight="1" x14ac:dyDescent="0.25">
      <c r="A8" s="619"/>
      <c r="B8" s="526"/>
      <c r="C8" s="603"/>
      <c r="D8" s="526"/>
      <c r="E8" s="587"/>
      <c r="F8" s="611"/>
      <c r="G8" s="611"/>
      <c r="H8" s="611"/>
      <c r="I8" s="611"/>
      <c r="J8" s="611"/>
      <c r="K8" s="611"/>
      <c r="L8" s="611"/>
      <c r="M8" s="611"/>
      <c r="N8" s="611"/>
      <c r="O8" s="611"/>
      <c r="P8" s="611"/>
      <c r="Q8" s="611"/>
      <c r="R8" s="611"/>
      <c r="S8" s="611"/>
      <c r="T8" s="611"/>
      <c r="U8" s="611"/>
      <c r="V8" s="611"/>
      <c r="W8" s="611"/>
      <c r="X8" s="611"/>
      <c r="Y8" s="611"/>
      <c r="Z8" s="611"/>
      <c r="AA8" s="611"/>
      <c r="AB8" s="611"/>
      <c r="AC8" s="611"/>
      <c r="AD8" s="580">
        <f t="shared" si="2"/>
        <v>0</v>
      </c>
      <c r="AE8" s="570">
        <f t="shared" si="0"/>
        <v>0</v>
      </c>
      <c r="AF8" s="525" t="str">
        <f t="shared" si="1"/>
        <v>sell</v>
      </c>
    </row>
    <row r="9" spans="1:75" s="360" customFormat="1" ht="12.75" customHeight="1" x14ac:dyDescent="0.25">
      <c r="A9" s="619"/>
      <c r="B9" s="526"/>
      <c r="C9" s="603"/>
      <c r="D9" s="526"/>
      <c r="E9" s="526"/>
      <c r="F9" s="611"/>
      <c r="G9" s="611"/>
      <c r="H9" s="611"/>
      <c r="I9" s="611"/>
      <c r="J9" s="611"/>
      <c r="K9" s="611"/>
      <c r="L9" s="611"/>
      <c r="M9" s="611"/>
      <c r="N9" s="611"/>
      <c r="O9" s="611"/>
      <c r="P9" s="611"/>
      <c r="Q9" s="611"/>
      <c r="R9" s="611"/>
      <c r="S9" s="611"/>
      <c r="T9" s="611"/>
      <c r="U9" s="611"/>
      <c r="V9" s="611"/>
      <c r="W9" s="611"/>
      <c r="X9" s="611"/>
      <c r="Y9" s="611"/>
      <c r="Z9" s="611"/>
      <c r="AA9" s="611"/>
      <c r="AB9" s="611"/>
      <c r="AC9" s="611"/>
      <c r="AD9" s="673">
        <f t="shared" si="2"/>
        <v>0</v>
      </c>
      <c r="AE9" s="570">
        <f>AD9*D9</f>
        <v>0</v>
      </c>
      <c r="AF9" s="525" t="str">
        <f>IF(AD9&lt;0,"buy","sell")</f>
        <v>sell</v>
      </c>
    </row>
    <row r="10" spans="1:75" s="360" customFormat="1" ht="12.75" customHeight="1" x14ac:dyDescent="0.25">
      <c r="A10" s="674" t="s">
        <v>364</v>
      </c>
      <c r="B10" s="526"/>
      <c r="C10" s="603" t="s">
        <v>152</v>
      </c>
      <c r="D10" s="526"/>
      <c r="E10" s="526"/>
      <c r="F10" s="611">
        <v>100</v>
      </c>
      <c r="G10" s="611">
        <v>100</v>
      </c>
      <c r="H10" s="611">
        <v>100</v>
      </c>
      <c r="I10" s="611">
        <v>100</v>
      </c>
      <c r="J10" s="611">
        <v>100</v>
      </c>
      <c r="K10" s="611">
        <v>100</v>
      </c>
      <c r="L10" s="611"/>
      <c r="M10" s="611"/>
      <c r="N10" s="611"/>
      <c r="O10" s="611"/>
      <c r="P10" s="611"/>
      <c r="Q10" s="611"/>
      <c r="R10" s="611"/>
      <c r="S10" s="611"/>
      <c r="T10" s="611"/>
      <c r="U10" s="611"/>
      <c r="V10" s="611"/>
      <c r="W10" s="611"/>
      <c r="X10" s="611"/>
      <c r="Y10" s="611"/>
      <c r="Z10" s="611"/>
      <c r="AA10" s="611"/>
      <c r="AB10" s="611">
        <v>100</v>
      </c>
      <c r="AC10" s="611">
        <v>100</v>
      </c>
      <c r="AD10" s="673">
        <f t="shared" si="2"/>
        <v>800</v>
      </c>
      <c r="AE10" s="570">
        <f>AD10*D10</f>
        <v>0</v>
      </c>
      <c r="AF10" s="525" t="str">
        <f>IF(AD10&lt;0,"buy","sell")</f>
        <v>sell</v>
      </c>
    </row>
    <row r="11" spans="1:75" s="360" customFormat="1" ht="12.75" customHeight="1" x14ac:dyDescent="0.25">
      <c r="A11" s="674" t="s">
        <v>368</v>
      </c>
      <c r="B11" s="616"/>
      <c r="C11" s="603" t="s">
        <v>152</v>
      </c>
      <c r="D11" s="604"/>
      <c r="E11" s="526"/>
      <c r="F11" s="611">
        <v>3</v>
      </c>
      <c r="G11" s="611">
        <v>3</v>
      </c>
      <c r="H11" s="611">
        <v>3</v>
      </c>
      <c r="I11" s="611">
        <v>3</v>
      </c>
      <c r="J11" s="611">
        <v>3</v>
      </c>
      <c r="K11" s="611">
        <v>3</v>
      </c>
      <c r="L11" s="611"/>
      <c r="M11" s="611"/>
      <c r="N11" s="611"/>
      <c r="O11" s="611"/>
      <c r="P11" s="611"/>
      <c r="Q11" s="611"/>
      <c r="R11" s="611"/>
      <c r="S11" s="611"/>
      <c r="T11" s="611"/>
      <c r="U11" s="611"/>
      <c r="V11" s="611"/>
      <c r="W11" s="611"/>
      <c r="X11" s="611"/>
      <c r="Y11" s="611"/>
      <c r="Z11" s="611"/>
      <c r="AA11" s="611"/>
      <c r="AB11" s="611">
        <v>3</v>
      </c>
      <c r="AC11" s="611">
        <v>3</v>
      </c>
      <c r="AD11" s="673">
        <f t="shared" si="2"/>
        <v>24</v>
      </c>
      <c r="AE11" s="570">
        <f>AD11*D11</f>
        <v>0</v>
      </c>
      <c r="AF11" s="525" t="str">
        <f>IF(AD11&lt;0,"buy","sell")</f>
        <v>sell</v>
      </c>
    </row>
    <row r="12" spans="1:75" s="360" customFormat="1" ht="12.75" customHeight="1" x14ac:dyDescent="0.25">
      <c r="A12" s="619"/>
      <c r="B12" s="616"/>
      <c r="C12" s="526"/>
      <c r="D12" s="604"/>
      <c r="E12" s="526"/>
      <c r="F12" s="611"/>
      <c r="G12" s="611"/>
      <c r="H12" s="611"/>
      <c r="I12" s="611"/>
      <c r="J12" s="611"/>
      <c r="K12" s="611"/>
      <c r="L12" s="611"/>
      <c r="M12" s="611"/>
      <c r="N12" s="611"/>
      <c r="O12" s="611"/>
      <c r="P12" s="611"/>
      <c r="Q12" s="611"/>
      <c r="R12" s="611"/>
      <c r="S12" s="611"/>
      <c r="T12" s="611"/>
      <c r="U12" s="611"/>
      <c r="V12" s="611"/>
      <c r="W12" s="611"/>
      <c r="X12" s="611"/>
      <c r="Y12" s="611"/>
      <c r="Z12" s="611"/>
      <c r="AA12" s="611"/>
      <c r="AB12" s="611"/>
      <c r="AC12" s="611"/>
      <c r="AD12" s="661">
        <f t="shared" si="2"/>
        <v>0</v>
      </c>
      <c r="AE12" s="570">
        <f>AD12*D12</f>
        <v>0</v>
      </c>
      <c r="AF12" s="525" t="str">
        <f>IF(AD12&lt;0,"buy","sell")</f>
        <v>sell</v>
      </c>
    </row>
    <row r="13" spans="1:75" s="360" customFormat="1" ht="12.75" customHeight="1" x14ac:dyDescent="0.25">
      <c r="A13" s="619"/>
      <c r="B13" s="618"/>
      <c r="C13" s="526"/>
      <c r="D13" s="620"/>
      <c r="E13" s="526"/>
      <c r="F13" s="611"/>
      <c r="G13" s="611"/>
      <c r="H13" s="611"/>
      <c r="I13" s="611"/>
      <c r="J13" s="611"/>
      <c r="K13" s="611"/>
      <c r="L13" s="611"/>
      <c r="M13" s="611"/>
      <c r="N13" s="611"/>
      <c r="O13" s="611"/>
      <c r="P13" s="611"/>
      <c r="Q13" s="611"/>
      <c r="R13" s="611"/>
      <c r="S13" s="611"/>
      <c r="T13" s="611"/>
      <c r="U13" s="611"/>
      <c r="V13" s="611"/>
      <c r="W13" s="611"/>
      <c r="X13" s="611"/>
      <c r="Y13" s="611"/>
      <c r="Z13" s="611"/>
      <c r="AA13" s="611"/>
      <c r="AB13" s="611"/>
      <c r="AC13" s="611"/>
      <c r="AD13" s="661">
        <f>SUM(F13:AC13)</f>
        <v>0</v>
      </c>
      <c r="AE13" s="570">
        <f t="shared" si="0"/>
        <v>0</v>
      </c>
      <c r="AF13" s="525" t="str">
        <f t="shared" si="1"/>
        <v>sell</v>
      </c>
    </row>
    <row r="14" spans="1:75" s="360" customFormat="1" ht="12.75" customHeight="1" x14ac:dyDescent="0.25">
      <c r="A14" s="619"/>
      <c r="B14" s="618"/>
      <c r="C14" s="526"/>
      <c r="D14" s="620"/>
      <c r="E14" s="526"/>
      <c r="F14" s="611"/>
      <c r="G14" s="611"/>
      <c r="H14" s="611"/>
      <c r="I14" s="611"/>
      <c r="J14" s="611"/>
      <c r="K14" s="611"/>
      <c r="L14" s="611"/>
      <c r="M14" s="611"/>
      <c r="N14" s="611"/>
      <c r="O14" s="611"/>
      <c r="P14" s="611"/>
      <c r="Q14" s="611"/>
      <c r="R14" s="611"/>
      <c r="S14" s="611"/>
      <c r="T14" s="611"/>
      <c r="U14" s="611"/>
      <c r="V14" s="611"/>
      <c r="W14" s="611"/>
      <c r="X14" s="611"/>
      <c r="Y14" s="611"/>
      <c r="Z14" s="611"/>
      <c r="AA14" s="611"/>
      <c r="AB14" s="611"/>
      <c r="AC14" s="611"/>
      <c r="AD14" s="661">
        <f>SUM(F14:AC14)</f>
        <v>0</v>
      </c>
      <c r="AE14" s="570">
        <f>AD14*D14</f>
        <v>0</v>
      </c>
      <c r="AF14" s="525" t="str">
        <f>IF(AD14&lt;0,"buy","sell")</f>
        <v>sell</v>
      </c>
    </row>
    <row r="15" spans="1:75" s="360" customFormat="1" x14ac:dyDescent="0.25">
      <c r="A15" s="648" t="s">
        <v>206</v>
      </c>
      <c r="B15" s="647"/>
      <c r="C15" s="647"/>
      <c r="D15" s="539"/>
      <c r="E15" s="539"/>
      <c r="F15" s="703"/>
      <c r="G15" s="703"/>
      <c r="H15" s="703"/>
      <c r="I15" s="703"/>
      <c r="J15" s="703"/>
      <c r="K15" s="703"/>
      <c r="L15" s="703"/>
      <c r="M15" s="703"/>
      <c r="N15" s="703"/>
      <c r="O15" s="703"/>
      <c r="P15" s="703"/>
      <c r="Q15" s="703"/>
      <c r="R15" s="703"/>
      <c r="S15" s="703"/>
      <c r="T15" s="703"/>
      <c r="U15" s="703"/>
      <c r="V15" s="703"/>
      <c r="W15" s="703"/>
      <c r="X15" s="703"/>
      <c r="Y15" s="703"/>
      <c r="Z15" s="703"/>
      <c r="AA15" s="703"/>
      <c r="AB15" s="703"/>
      <c r="AC15" s="703"/>
      <c r="AD15" s="578"/>
      <c r="AE15" s="409"/>
      <c r="AF15" s="615"/>
    </row>
    <row r="16" spans="1:75" s="360" customFormat="1" ht="12.75" customHeight="1" x14ac:dyDescent="0.25">
      <c r="A16" s="621" t="s">
        <v>207</v>
      </c>
      <c r="B16" s="612"/>
      <c r="C16" s="601"/>
      <c r="D16" s="601"/>
      <c r="E16" s="612"/>
      <c r="F16" s="704"/>
      <c r="G16" s="704"/>
      <c r="H16" s="704"/>
      <c r="I16" s="704"/>
      <c r="J16" s="704"/>
      <c r="K16" s="704"/>
      <c r="L16" s="704"/>
      <c r="M16" s="704"/>
      <c r="N16" s="704"/>
      <c r="O16" s="704"/>
      <c r="P16" s="704"/>
      <c r="Q16" s="704"/>
      <c r="R16" s="704"/>
      <c r="S16" s="704"/>
      <c r="T16" s="704"/>
      <c r="U16" s="704"/>
      <c r="V16" s="704"/>
      <c r="W16" s="704"/>
      <c r="X16" s="704"/>
      <c r="Y16" s="704"/>
      <c r="Z16" s="704"/>
      <c r="AA16" s="704"/>
      <c r="AB16" s="704"/>
      <c r="AC16" s="704"/>
      <c r="AD16" s="370"/>
      <c r="AE16" s="481"/>
      <c r="AF16" s="481"/>
    </row>
    <row r="17" spans="1:32" s="360" customFormat="1" hidden="1" x14ac:dyDescent="0.25">
      <c r="A17" s="622" t="s">
        <v>278</v>
      </c>
      <c r="B17" s="475" t="s">
        <v>241</v>
      </c>
      <c r="C17" s="475" t="s">
        <v>152</v>
      </c>
      <c r="D17" s="476">
        <f t="shared" ref="D17:D40" si="3">F101</f>
        <v>-0.25</v>
      </c>
      <c r="E17" s="476"/>
      <c r="F17" s="705"/>
      <c r="G17" s="706"/>
      <c r="H17" s="663"/>
      <c r="I17" s="663"/>
      <c r="J17" s="663"/>
      <c r="K17" s="663"/>
      <c r="L17" s="663"/>
      <c r="M17" s="663"/>
      <c r="N17" s="663"/>
      <c r="O17" s="663"/>
      <c r="P17" s="663"/>
      <c r="Q17" s="663"/>
      <c r="R17" s="663"/>
      <c r="S17" s="663"/>
      <c r="T17" s="663"/>
      <c r="U17" s="663"/>
      <c r="V17" s="663"/>
      <c r="W17" s="663"/>
      <c r="X17" s="663"/>
      <c r="Y17" s="663"/>
      <c r="Z17" s="663"/>
      <c r="AA17" s="663"/>
      <c r="AB17" s="663"/>
      <c r="AC17" s="705"/>
      <c r="AD17" s="579">
        <f t="shared" ref="AD17:AD88" si="4">SUM(F17:AC17)</f>
        <v>0</v>
      </c>
      <c r="AE17" s="479">
        <f t="shared" ref="AE17:AE69" si="5">AD17*D17</f>
        <v>0</v>
      </c>
      <c r="AF17" s="462" t="str">
        <f>IF(AD17&lt;0,"buy","sell")</f>
        <v>sell</v>
      </c>
    </row>
    <row r="18" spans="1:32" s="360" customFormat="1" hidden="1" x14ac:dyDescent="0.25">
      <c r="A18" s="622" t="s">
        <v>278</v>
      </c>
      <c r="B18" s="475" t="s">
        <v>241</v>
      </c>
      <c r="C18" s="475" t="s">
        <v>152</v>
      </c>
      <c r="D18" s="476">
        <f t="shared" si="3"/>
        <v>-0.25</v>
      </c>
      <c r="E18" s="476"/>
      <c r="F18" s="705"/>
      <c r="G18" s="663"/>
      <c r="H18" s="663"/>
      <c r="I18" s="663"/>
      <c r="J18" s="663"/>
      <c r="K18" s="663"/>
      <c r="L18" s="663"/>
      <c r="M18" s="663"/>
      <c r="N18" s="663"/>
      <c r="O18" s="663"/>
      <c r="P18" s="663"/>
      <c r="Q18" s="663"/>
      <c r="R18" s="663"/>
      <c r="S18" s="663"/>
      <c r="T18" s="663"/>
      <c r="U18" s="663"/>
      <c r="V18" s="663"/>
      <c r="W18" s="663"/>
      <c r="X18" s="663"/>
      <c r="Y18" s="663"/>
      <c r="Z18" s="663"/>
      <c r="AA18" s="663"/>
      <c r="AB18" s="705"/>
      <c r="AC18" s="705"/>
      <c r="AD18" s="579">
        <f t="shared" si="4"/>
        <v>0</v>
      </c>
      <c r="AE18" s="479">
        <f t="shared" si="5"/>
        <v>0</v>
      </c>
      <c r="AF18" s="462" t="str">
        <f t="shared" ref="AF18:AF40" si="6">IF(AD18&lt;0,"buy","sell")</f>
        <v>sell</v>
      </c>
    </row>
    <row r="19" spans="1:32" s="360" customFormat="1" hidden="1" x14ac:dyDescent="0.25">
      <c r="A19" s="622" t="s">
        <v>278</v>
      </c>
      <c r="B19" s="475" t="s">
        <v>241</v>
      </c>
      <c r="C19" s="475" t="s">
        <v>152</v>
      </c>
      <c r="D19" s="476">
        <f t="shared" si="3"/>
        <v>-0.25</v>
      </c>
      <c r="E19" s="476"/>
      <c r="F19" s="705"/>
      <c r="G19" s="706"/>
      <c r="H19" s="663">
        <v>0</v>
      </c>
      <c r="I19" s="663"/>
      <c r="J19" s="663"/>
      <c r="K19" s="663"/>
      <c r="L19" s="663"/>
      <c r="M19" s="663"/>
      <c r="N19" s="663"/>
      <c r="O19" s="663"/>
      <c r="P19" s="663"/>
      <c r="Q19" s="663"/>
      <c r="R19" s="663"/>
      <c r="S19" s="663"/>
      <c r="T19" s="663"/>
      <c r="U19" s="663"/>
      <c r="V19" s="663"/>
      <c r="W19" s="663"/>
      <c r="X19" s="663"/>
      <c r="Y19" s="663"/>
      <c r="Z19" s="663"/>
      <c r="AA19" s="663"/>
      <c r="AB19" s="663"/>
      <c r="AC19" s="705"/>
      <c r="AD19" s="579">
        <f t="shared" si="4"/>
        <v>0</v>
      </c>
      <c r="AE19" s="479">
        <f t="shared" si="5"/>
        <v>0</v>
      </c>
      <c r="AF19" s="462" t="str">
        <f t="shared" si="6"/>
        <v>sell</v>
      </c>
    </row>
    <row r="20" spans="1:32" s="360" customFormat="1" hidden="1" x14ac:dyDescent="0.25">
      <c r="A20" s="622" t="s">
        <v>278</v>
      </c>
      <c r="B20" s="475" t="s">
        <v>241</v>
      </c>
      <c r="C20" s="475" t="s">
        <v>152</v>
      </c>
      <c r="D20" s="476">
        <f t="shared" si="3"/>
        <v>-0.25</v>
      </c>
      <c r="E20" s="476"/>
      <c r="F20" s="705"/>
      <c r="G20" s="706"/>
      <c r="H20" s="663"/>
      <c r="I20" s="663">
        <v>0</v>
      </c>
      <c r="J20" s="663"/>
      <c r="K20" s="663"/>
      <c r="L20" s="663"/>
      <c r="M20" s="663"/>
      <c r="N20" s="663"/>
      <c r="O20" s="663"/>
      <c r="P20" s="663"/>
      <c r="Q20" s="663"/>
      <c r="R20" s="663"/>
      <c r="S20" s="663"/>
      <c r="T20" s="663"/>
      <c r="U20" s="663"/>
      <c r="V20" s="663"/>
      <c r="W20" s="663"/>
      <c r="X20" s="663"/>
      <c r="Y20" s="663"/>
      <c r="Z20" s="663"/>
      <c r="AA20" s="663"/>
      <c r="AB20" s="663"/>
      <c r="AC20" s="705"/>
      <c r="AD20" s="579">
        <f t="shared" si="4"/>
        <v>0</v>
      </c>
      <c r="AE20" s="479">
        <f t="shared" si="5"/>
        <v>0</v>
      </c>
      <c r="AF20" s="462" t="str">
        <f t="shared" si="6"/>
        <v>sell</v>
      </c>
    </row>
    <row r="21" spans="1:32" s="360" customFormat="1" hidden="1" x14ac:dyDescent="0.25">
      <c r="A21" s="622" t="s">
        <v>278</v>
      </c>
      <c r="B21" s="475" t="s">
        <v>241</v>
      </c>
      <c r="C21" s="475" t="s">
        <v>152</v>
      </c>
      <c r="D21" s="476">
        <f t="shared" si="3"/>
        <v>-0.25</v>
      </c>
      <c r="E21" s="476"/>
      <c r="F21" s="705"/>
      <c r="G21" s="706"/>
      <c r="H21" s="663"/>
      <c r="I21" s="663"/>
      <c r="J21" s="663">
        <v>0</v>
      </c>
      <c r="K21" s="663"/>
      <c r="L21" s="663"/>
      <c r="M21" s="663"/>
      <c r="N21" s="663"/>
      <c r="O21" s="663"/>
      <c r="P21" s="663"/>
      <c r="Q21" s="663"/>
      <c r="R21" s="663"/>
      <c r="S21" s="663"/>
      <c r="T21" s="663"/>
      <c r="U21" s="663"/>
      <c r="V21" s="663"/>
      <c r="W21" s="663"/>
      <c r="X21" s="663"/>
      <c r="Y21" s="663"/>
      <c r="Z21" s="663"/>
      <c r="AA21" s="663"/>
      <c r="AB21" s="663"/>
      <c r="AC21" s="705"/>
      <c r="AD21" s="579">
        <f t="shared" si="4"/>
        <v>0</v>
      </c>
      <c r="AE21" s="479">
        <f t="shared" si="5"/>
        <v>0</v>
      </c>
      <c r="AF21" s="462" t="str">
        <f>IF(AD21&lt;0,"buy","sell")</f>
        <v>sell</v>
      </c>
    </row>
    <row r="22" spans="1:32" s="360" customFormat="1" hidden="1" x14ac:dyDescent="0.25">
      <c r="A22" s="622" t="s">
        <v>278</v>
      </c>
      <c r="B22" s="475" t="s">
        <v>241</v>
      </c>
      <c r="C22" s="475" t="s">
        <v>152</v>
      </c>
      <c r="D22" s="476">
        <f t="shared" si="3"/>
        <v>-0.25</v>
      </c>
      <c r="E22" s="476"/>
      <c r="F22" s="663"/>
      <c r="G22" s="706"/>
      <c r="H22" s="663"/>
      <c r="I22" s="663"/>
      <c r="J22" s="663"/>
      <c r="K22" s="663">
        <v>0</v>
      </c>
      <c r="L22" s="663"/>
      <c r="M22" s="663"/>
      <c r="N22" s="663"/>
      <c r="O22" s="663"/>
      <c r="P22" s="663"/>
      <c r="Q22" s="663"/>
      <c r="R22" s="663"/>
      <c r="S22" s="663"/>
      <c r="T22" s="663"/>
      <c r="U22" s="663"/>
      <c r="V22" s="663"/>
      <c r="W22" s="663"/>
      <c r="X22" s="663"/>
      <c r="Y22" s="663"/>
      <c r="Z22" s="663"/>
      <c r="AA22" s="663"/>
      <c r="AB22" s="663"/>
      <c r="AC22" s="663"/>
      <c r="AD22" s="579">
        <f t="shared" si="4"/>
        <v>0</v>
      </c>
      <c r="AE22" s="479">
        <f t="shared" si="5"/>
        <v>0</v>
      </c>
      <c r="AF22" s="462" t="str">
        <f t="shared" si="6"/>
        <v>sell</v>
      </c>
    </row>
    <row r="23" spans="1:32" s="360" customFormat="1" hidden="1" x14ac:dyDescent="0.25">
      <c r="A23" s="622" t="s">
        <v>278</v>
      </c>
      <c r="B23" s="475" t="s">
        <v>241</v>
      </c>
      <c r="C23" s="475" t="s">
        <v>152</v>
      </c>
      <c r="D23" s="476">
        <f t="shared" si="3"/>
        <v>-0.25</v>
      </c>
      <c r="E23" s="476"/>
      <c r="F23" s="663"/>
      <c r="G23" s="706"/>
      <c r="H23" s="663"/>
      <c r="I23" s="663"/>
      <c r="J23" s="663"/>
      <c r="K23" s="663"/>
      <c r="L23" s="663">
        <v>0</v>
      </c>
      <c r="M23" s="663"/>
      <c r="N23" s="663"/>
      <c r="O23" s="663"/>
      <c r="P23" s="663"/>
      <c r="Q23" s="663"/>
      <c r="R23" s="663"/>
      <c r="S23" s="663"/>
      <c r="T23" s="663"/>
      <c r="U23" s="663"/>
      <c r="V23" s="663"/>
      <c r="W23" s="663"/>
      <c r="X23" s="663"/>
      <c r="Y23" s="663"/>
      <c r="Z23" s="663"/>
      <c r="AA23" s="663"/>
      <c r="AB23" s="663"/>
      <c r="AC23" s="663"/>
      <c r="AD23" s="579">
        <f t="shared" si="4"/>
        <v>0</v>
      </c>
      <c r="AE23" s="479">
        <f t="shared" si="5"/>
        <v>0</v>
      </c>
      <c r="AF23" s="462" t="str">
        <f t="shared" si="6"/>
        <v>sell</v>
      </c>
    </row>
    <row r="24" spans="1:32" s="360" customFormat="1" hidden="1" x14ac:dyDescent="0.25">
      <c r="A24" s="622" t="s">
        <v>278</v>
      </c>
      <c r="B24" s="475" t="s">
        <v>241</v>
      </c>
      <c r="C24" s="475" t="s">
        <v>152</v>
      </c>
      <c r="D24" s="476">
        <f t="shared" si="3"/>
        <v>-0.25</v>
      </c>
      <c r="E24" s="476"/>
      <c r="F24" s="663"/>
      <c r="G24" s="706"/>
      <c r="H24" s="663"/>
      <c r="I24" s="663"/>
      <c r="J24" s="663"/>
      <c r="K24" s="663"/>
      <c r="L24" s="663"/>
      <c r="M24" s="663">
        <v>0</v>
      </c>
      <c r="N24" s="663"/>
      <c r="O24" s="663"/>
      <c r="P24" s="663"/>
      <c r="Q24" s="663"/>
      <c r="R24" s="663"/>
      <c r="S24" s="663"/>
      <c r="T24" s="663"/>
      <c r="U24" s="663"/>
      <c r="V24" s="663"/>
      <c r="W24" s="663"/>
      <c r="X24" s="663"/>
      <c r="Y24" s="663"/>
      <c r="Z24" s="663"/>
      <c r="AA24" s="663"/>
      <c r="AB24" s="663"/>
      <c r="AC24" s="663"/>
      <c r="AD24" s="579">
        <f t="shared" si="4"/>
        <v>0</v>
      </c>
      <c r="AE24" s="479">
        <f t="shared" si="5"/>
        <v>0</v>
      </c>
      <c r="AF24" s="462" t="str">
        <f t="shared" si="6"/>
        <v>sell</v>
      </c>
    </row>
    <row r="25" spans="1:32" s="360" customFormat="1" hidden="1" x14ac:dyDescent="0.25">
      <c r="A25" s="622" t="s">
        <v>278</v>
      </c>
      <c r="B25" s="475" t="s">
        <v>241</v>
      </c>
      <c r="C25" s="475" t="s">
        <v>152</v>
      </c>
      <c r="D25" s="476">
        <f t="shared" si="3"/>
        <v>-0.25</v>
      </c>
      <c r="E25" s="476"/>
      <c r="F25" s="663"/>
      <c r="G25" s="706"/>
      <c r="H25" s="663"/>
      <c r="I25" s="663"/>
      <c r="J25" s="663"/>
      <c r="K25" s="663"/>
      <c r="L25" s="663"/>
      <c r="M25" s="663"/>
      <c r="N25" s="663">
        <v>0</v>
      </c>
      <c r="O25" s="663"/>
      <c r="P25" s="663"/>
      <c r="Q25" s="663"/>
      <c r="R25" s="663"/>
      <c r="S25" s="663"/>
      <c r="T25" s="663"/>
      <c r="U25" s="663"/>
      <c r="V25" s="663"/>
      <c r="W25" s="663"/>
      <c r="X25" s="663"/>
      <c r="Y25" s="663"/>
      <c r="Z25" s="663"/>
      <c r="AA25" s="663"/>
      <c r="AB25" s="663"/>
      <c r="AC25" s="663"/>
      <c r="AD25" s="579">
        <f t="shared" si="4"/>
        <v>0</v>
      </c>
      <c r="AE25" s="479">
        <f t="shared" si="5"/>
        <v>0</v>
      </c>
      <c r="AF25" s="462" t="str">
        <f t="shared" si="6"/>
        <v>sell</v>
      </c>
    </row>
    <row r="26" spans="1:32" s="360" customFormat="1" hidden="1" x14ac:dyDescent="0.25">
      <c r="A26" s="622" t="s">
        <v>278</v>
      </c>
      <c r="B26" s="475" t="s">
        <v>241</v>
      </c>
      <c r="C26" s="475" t="s">
        <v>152</v>
      </c>
      <c r="D26" s="476">
        <f t="shared" si="3"/>
        <v>-0.25</v>
      </c>
      <c r="E26" s="476"/>
      <c r="F26" s="663"/>
      <c r="G26" s="706"/>
      <c r="H26" s="663"/>
      <c r="I26" s="663"/>
      <c r="J26" s="663"/>
      <c r="K26" s="663"/>
      <c r="L26" s="663"/>
      <c r="M26" s="663"/>
      <c r="N26" s="663"/>
      <c r="O26" s="663">
        <v>0</v>
      </c>
      <c r="P26" s="663"/>
      <c r="Q26" s="663"/>
      <c r="R26" s="663"/>
      <c r="S26" s="663"/>
      <c r="T26" s="663"/>
      <c r="U26" s="663"/>
      <c r="V26" s="663"/>
      <c r="W26" s="663"/>
      <c r="X26" s="663"/>
      <c r="Y26" s="663"/>
      <c r="Z26" s="663"/>
      <c r="AA26" s="663"/>
      <c r="AB26" s="663"/>
      <c r="AC26" s="663"/>
      <c r="AD26" s="579">
        <f t="shared" si="4"/>
        <v>0</v>
      </c>
      <c r="AE26" s="479">
        <f t="shared" si="5"/>
        <v>0</v>
      </c>
      <c r="AF26" s="462" t="str">
        <f t="shared" si="6"/>
        <v>sell</v>
      </c>
    </row>
    <row r="27" spans="1:32" s="360" customFormat="1" hidden="1" x14ac:dyDescent="0.25">
      <c r="A27" s="622" t="s">
        <v>278</v>
      </c>
      <c r="B27" s="475" t="s">
        <v>241</v>
      </c>
      <c r="C27" s="475" t="s">
        <v>152</v>
      </c>
      <c r="D27" s="476">
        <f t="shared" si="3"/>
        <v>-0.25</v>
      </c>
      <c r="E27" s="476"/>
      <c r="F27" s="663"/>
      <c r="G27" s="706"/>
      <c r="H27" s="663"/>
      <c r="I27" s="663"/>
      <c r="J27" s="663"/>
      <c r="K27" s="663"/>
      <c r="L27" s="663"/>
      <c r="M27" s="663"/>
      <c r="N27" s="663"/>
      <c r="O27" s="663"/>
      <c r="P27" s="663">
        <v>0</v>
      </c>
      <c r="Q27" s="663"/>
      <c r="R27" s="663"/>
      <c r="S27" s="663"/>
      <c r="T27" s="663"/>
      <c r="U27" s="663"/>
      <c r="V27" s="663"/>
      <c r="W27" s="663"/>
      <c r="X27" s="663"/>
      <c r="Y27" s="663"/>
      <c r="Z27" s="663"/>
      <c r="AA27" s="663"/>
      <c r="AB27" s="663"/>
      <c r="AC27" s="663"/>
      <c r="AD27" s="579">
        <f t="shared" si="4"/>
        <v>0</v>
      </c>
      <c r="AE27" s="479">
        <f t="shared" si="5"/>
        <v>0</v>
      </c>
      <c r="AF27" s="462" t="str">
        <f t="shared" si="6"/>
        <v>sell</v>
      </c>
    </row>
    <row r="28" spans="1:32" s="360" customFormat="1" hidden="1" x14ac:dyDescent="0.25">
      <c r="A28" s="622" t="s">
        <v>278</v>
      </c>
      <c r="B28" s="475" t="s">
        <v>241</v>
      </c>
      <c r="C28" s="475" t="s">
        <v>152</v>
      </c>
      <c r="D28" s="476">
        <f t="shared" si="3"/>
        <v>-0.25</v>
      </c>
      <c r="E28" s="476"/>
      <c r="F28" s="663"/>
      <c r="G28" s="706"/>
      <c r="H28" s="663"/>
      <c r="I28" s="663"/>
      <c r="J28" s="663"/>
      <c r="K28" s="663"/>
      <c r="L28" s="663"/>
      <c r="M28" s="663"/>
      <c r="N28" s="663"/>
      <c r="O28" s="663"/>
      <c r="P28" s="663"/>
      <c r="Q28" s="663">
        <v>0</v>
      </c>
      <c r="R28" s="663"/>
      <c r="S28" s="663"/>
      <c r="T28" s="663"/>
      <c r="U28" s="663"/>
      <c r="V28" s="663"/>
      <c r="W28" s="663"/>
      <c r="X28" s="663"/>
      <c r="Y28" s="663"/>
      <c r="Z28" s="663"/>
      <c r="AA28" s="663"/>
      <c r="AB28" s="663"/>
      <c r="AC28" s="663"/>
      <c r="AD28" s="579">
        <f t="shared" si="4"/>
        <v>0</v>
      </c>
      <c r="AE28" s="479">
        <f t="shared" si="5"/>
        <v>0</v>
      </c>
      <c r="AF28" s="462" t="str">
        <f t="shared" si="6"/>
        <v>sell</v>
      </c>
    </row>
    <row r="29" spans="1:32" s="360" customFormat="1" hidden="1" x14ac:dyDescent="0.25">
      <c r="A29" s="622" t="s">
        <v>278</v>
      </c>
      <c r="B29" s="475" t="s">
        <v>241</v>
      </c>
      <c r="C29" s="475" t="s">
        <v>152</v>
      </c>
      <c r="D29" s="476">
        <f t="shared" si="3"/>
        <v>-0.25</v>
      </c>
      <c r="E29" s="476"/>
      <c r="F29" s="663"/>
      <c r="G29" s="706"/>
      <c r="H29" s="663"/>
      <c r="I29" s="663"/>
      <c r="J29" s="663"/>
      <c r="K29" s="663"/>
      <c r="L29" s="663"/>
      <c r="M29" s="663"/>
      <c r="N29" s="663"/>
      <c r="O29" s="663"/>
      <c r="P29" s="663"/>
      <c r="Q29" s="663"/>
      <c r="R29" s="663">
        <v>0</v>
      </c>
      <c r="S29" s="663"/>
      <c r="T29" s="663"/>
      <c r="U29" s="663"/>
      <c r="V29" s="663"/>
      <c r="W29" s="663"/>
      <c r="X29" s="663"/>
      <c r="Y29" s="663"/>
      <c r="Z29" s="663"/>
      <c r="AA29" s="663"/>
      <c r="AB29" s="663"/>
      <c r="AC29" s="663"/>
      <c r="AD29" s="579">
        <f t="shared" si="4"/>
        <v>0</v>
      </c>
      <c r="AE29" s="479">
        <f t="shared" si="5"/>
        <v>0</v>
      </c>
      <c r="AF29" s="462" t="str">
        <f t="shared" si="6"/>
        <v>sell</v>
      </c>
    </row>
    <row r="30" spans="1:32" s="360" customFormat="1" hidden="1" x14ac:dyDescent="0.25">
      <c r="A30" s="622" t="s">
        <v>278</v>
      </c>
      <c r="B30" s="475" t="s">
        <v>241</v>
      </c>
      <c r="C30" s="475" t="s">
        <v>152</v>
      </c>
      <c r="D30" s="476">
        <f t="shared" si="3"/>
        <v>-0.25</v>
      </c>
      <c r="E30" s="476"/>
      <c r="F30" s="663"/>
      <c r="G30" s="706"/>
      <c r="H30" s="663"/>
      <c r="I30" s="663"/>
      <c r="J30" s="663"/>
      <c r="K30" s="663"/>
      <c r="L30" s="663"/>
      <c r="M30" s="663"/>
      <c r="N30" s="663"/>
      <c r="O30" s="663"/>
      <c r="P30" s="663"/>
      <c r="Q30" s="663"/>
      <c r="R30" s="663"/>
      <c r="S30" s="663">
        <v>0</v>
      </c>
      <c r="T30" s="663"/>
      <c r="U30" s="663"/>
      <c r="V30" s="663"/>
      <c r="W30" s="663"/>
      <c r="X30" s="663"/>
      <c r="Y30" s="663"/>
      <c r="Z30" s="663"/>
      <c r="AA30" s="663"/>
      <c r="AB30" s="663"/>
      <c r="AC30" s="663"/>
      <c r="AD30" s="579">
        <f t="shared" si="4"/>
        <v>0</v>
      </c>
      <c r="AE30" s="479">
        <f t="shared" si="5"/>
        <v>0</v>
      </c>
      <c r="AF30" s="462" t="str">
        <f t="shared" si="6"/>
        <v>sell</v>
      </c>
    </row>
    <row r="31" spans="1:32" s="360" customFormat="1" hidden="1" x14ac:dyDescent="0.25">
      <c r="A31" s="622" t="s">
        <v>278</v>
      </c>
      <c r="B31" s="475" t="s">
        <v>241</v>
      </c>
      <c r="C31" s="475" t="s">
        <v>152</v>
      </c>
      <c r="D31" s="476">
        <f t="shared" si="3"/>
        <v>-0.25</v>
      </c>
      <c r="E31" s="476"/>
      <c r="F31" s="663"/>
      <c r="G31" s="706"/>
      <c r="H31" s="663"/>
      <c r="I31" s="663"/>
      <c r="J31" s="663"/>
      <c r="K31" s="663"/>
      <c r="L31" s="663"/>
      <c r="M31" s="663"/>
      <c r="N31" s="663"/>
      <c r="O31" s="663"/>
      <c r="P31" s="663"/>
      <c r="Q31" s="663"/>
      <c r="R31" s="663"/>
      <c r="S31" s="663"/>
      <c r="T31" s="663">
        <v>0</v>
      </c>
      <c r="U31" s="663"/>
      <c r="V31" s="663"/>
      <c r="W31" s="663"/>
      <c r="X31" s="663"/>
      <c r="Y31" s="663"/>
      <c r="Z31" s="663"/>
      <c r="AA31" s="663"/>
      <c r="AB31" s="663"/>
      <c r="AC31" s="663"/>
      <c r="AD31" s="579">
        <f t="shared" si="4"/>
        <v>0</v>
      </c>
      <c r="AE31" s="479">
        <f t="shared" si="5"/>
        <v>0</v>
      </c>
      <c r="AF31" s="462" t="str">
        <f t="shared" si="6"/>
        <v>sell</v>
      </c>
    </row>
    <row r="32" spans="1:32" s="360" customFormat="1" hidden="1" x14ac:dyDescent="0.25">
      <c r="A32" s="622" t="s">
        <v>278</v>
      </c>
      <c r="B32" s="475" t="s">
        <v>241</v>
      </c>
      <c r="C32" s="475" t="s">
        <v>152</v>
      </c>
      <c r="D32" s="476">
        <f t="shared" si="3"/>
        <v>-0.25</v>
      </c>
      <c r="E32" s="476"/>
      <c r="F32" s="663"/>
      <c r="G32" s="706"/>
      <c r="H32" s="663"/>
      <c r="I32" s="663"/>
      <c r="J32" s="663"/>
      <c r="K32" s="663"/>
      <c r="L32" s="663"/>
      <c r="M32" s="663"/>
      <c r="N32" s="663"/>
      <c r="O32" s="663"/>
      <c r="P32" s="663"/>
      <c r="Q32" s="663"/>
      <c r="R32" s="663"/>
      <c r="S32" s="663"/>
      <c r="T32" s="663"/>
      <c r="U32" s="663">
        <v>0</v>
      </c>
      <c r="V32" s="663"/>
      <c r="W32" s="663"/>
      <c r="X32" s="663"/>
      <c r="Y32" s="663"/>
      <c r="Z32" s="663"/>
      <c r="AA32" s="663"/>
      <c r="AB32" s="663"/>
      <c r="AC32" s="663"/>
      <c r="AD32" s="579">
        <f t="shared" si="4"/>
        <v>0</v>
      </c>
      <c r="AE32" s="479">
        <f t="shared" si="5"/>
        <v>0</v>
      </c>
      <c r="AF32" s="462" t="str">
        <f t="shared" si="6"/>
        <v>sell</v>
      </c>
    </row>
    <row r="33" spans="1:32" s="360" customFormat="1" hidden="1" x14ac:dyDescent="0.25">
      <c r="A33" s="622" t="s">
        <v>278</v>
      </c>
      <c r="B33" s="475" t="s">
        <v>241</v>
      </c>
      <c r="C33" s="475" t="s">
        <v>152</v>
      </c>
      <c r="D33" s="476">
        <f t="shared" si="3"/>
        <v>-0.25</v>
      </c>
      <c r="E33" s="476"/>
      <c r="F33" s="663"/>
      <c r="G33" s="706"/>
      <c r="H33" s="663"/>
      <c r="I33" s="663"/>
      <c r="J33" s="663"/>
      <c r="K33" s="663"/>
      <c r="L33" s="663"/>
      <c r="M33" s="663"/>
      <c r="N33" s="663"/>
      <c r="O33" s="663"/>
      <c r="P33" s="663"/>
      <c r="Q33" s="663"/>
      <c r="R33" s="663"/>
      <c r="S33" s="663"/>
      <c r="T33" s="663"/>
      <c r="U33" s="663"/>
      <c r="V33" s="663">
        <v>0</v>
      </c>
      <c r="W33" s="663"/>
      <c r="X33" s="663"/>
      <c r="Y33" s="663"/>
      <c r="Z33" s="663"/>
      <c r="AA33" s="707"/>
      <c r="AB33" s="663"/>
      <c r="AC33" s="663"/>
      <c r="AD33" s="579">
        <f t="shared" si="4"/>
        <v>0</v>
      </c>
      <c r="AE33" s="479">
        <f t="shared" si="5"/>
        <v>0</v>
      </c>
      <c r="AF33" s="462" t="str">
        <f t="shared" si="6"/>
        <v>sell</v>
      </c>
    </row>
    <row r="34" spans="1:32" s="360" customFormat="1" hidden="1" x14ac:dyDescent="0.25">
      <c r="A34" s="622" t="s">
        <v>278</v>
      </c>
      <c r="B34" s="475" t="s">
        <v>241</v>
      </c>
      <c r="C34" s="475" t="s">
        <v>152</v>
      </c>
      <c r="D34" s="476">
        <f t="shared" si="3"/>
        <v>-0.25</v>
      </c>
      <c r="E34" s="476"/>
      <c r="F34" s="663"/>
      <c r="G34" s="706"/>
      <c r="H34" s="663"/>
      <c r="I34" s="663"/>
      <c r="J34" s="663"/>
      <c r="K34" s="663"/>
      <c r="L34" s="663"/>
      <c r="M34" s="663"/>
      <c r="N34" s="663"/>
      <c r="O34" s="663"/>
      <c r="P34" s="663"/>
      <c r="Q34" s="663"/>
      <c r="R34" s="663"/>
      <c r="S34" s="663"/>
      <c r="T34" s="663"/>
      <c r="U34" s="663"/>
      <c r="V34" s="663"/>
      <c r="W34" s="663">
        <v>0</v>
      </c>
      <c r="X34" s="663"/>
      <c r="Y34" s="663"/>
      <c r="Z34" s="663"/>
      <c r="AA34" s="663"/>
      <c r="AB34" s="663"/>
      <c r="AC34" s="663"/>
      <c r="AD34" s="579">
        <f t="shared" si="4"/>
        <v>0</v>
      </c>
      <c r="AE34" s="479">
        <f t="shared" si="5"/>
        <v>0</v>
      </c>
      <c r="AF34" s="462" t="str">
        <f t="shared" si="6"/>
        <v>sell</v>
      </c>
    </row>
    <row r="35" spans="1:32" s="360" customFormat="1" hidden="1" x14ac:dyDescent="0.25">
      <c r="A35" s="622" t="s">
        <v>278</v>
      </c>
      <c r="B35" s="475" t="s">
        <v>241</v>
      </c>
      <c r="C35" s="475" t="s">
        <v>152</v>
      </c>
      <c r="D35" s="476">
        <f t="shared" si="3"/>
        <v>-0.25</v>
      </c>
      <c r="E35" s="476"/>
      <c r="F35" s="663"/>
      <c r="G35" s="706"/>
      <c r="H35" s="663"/>
      <c r="I35" s="663"/>
      <c r="J35" s="663"/>
      <c r="K35" s="663"/>
      <c r="L35" s="663"/>
      <c r="M35" s="663"/>
      <c r="N35" s="663"/>
      <c r="O35" s="663"/>
      <c r="P35" s="663"/>
      <c r="Q35" s="663"/>
      <c r="R35" s="663"/>
      <c r="S35" s="663"/>
      <c r="T35" s="663"/>
      <c r="U35" s="663"/>
      <c r="V35" s="663"/>
      <c r="W35" s="663"/>
      <c r="X35" s="663">
        <v>0</v>
      </c>
      <c r="Y35" s="663"/>
      <c r="Z35" s="663"/>
      <c r="AA35" s="663"/>
      <c r="AB35" s="663"/>
      <c r="AC35" s="663"/>
      <c r="AD35" s="579">
        <f t="shared" si="4"/>
        <v>0</v>
      </c>
      <c r="AE35" s="479">
        <f t="shared" si="5"/>
        <v>0</v>
      </c>
      <c r="AF35" s="462" t="str">
        <f t="shared" si="6"/>
        <v>sell</v>
      </c>
    </row>
    <row r="36" spans="1:32" s="360" customFormat="1" hidden="1" x14ac:dyDescent="0.25">
      <c r="A36" s="622" t="s">
        <v>278</v>
      </c>
      <c r="B36" s="475" t="s">
        <v>241</v>
      </c>
      <c r="C36" s="475" t="s">
        <v>152</v>
      </c>
      <c r="D36" s="476">
        <f t="shared" si="3"/>
        <v>-0.25</v>
      </c>
      <c r="E36" s="476"/>
      <c r="F36" s="663"/>
      <c r="G36" s="706"/>
      <c r="H36" s="663"/>
      <c r="I36" s="663"/>
      <c r="J36" s="663"/>
      <c r="K36" s="663"/>
      <c r="L36" s="663"/>
      <c r="M36" s="663"/>
      <c r="N36" s="663"/>
      <c r="O36" s="663"/>
      <c r="P36" s="663"/>
      <c r="Q36" s="663"/>
      <c r="R36" s="663"/>
      <c r="S36" s="663"/>
      <c r="T36" s="663"/>
      <c r="U36" s="663"/>
      <c r="V36" s="663"/>
      <c r="W36" s="663"/>
      <c r="X36" s="663"/>
      <c r="Y36" s="663">
        <v>0</v>
      </c>
      <c r="Z36" s="663"/>
      <c r="AA36" s="663"/>
      <c r="AB36" s="663"/>
      <c r="AC36" s="663"/>
      <c r="AD36" s="579">
        <f t="shared" si="4"/>
        <v>0</v>
      </c>
      <c r="AE36" s="479">
        <f t="shared" si="5"/>
        <v>0</v>
      </c>
      <c r="AF36" s="462" t="str">
        <f t="shared" si="6"/>
        <v>sell</v>
      </c>
    </row>
    <row r="37" spans="1:32" s="360" customFormat="1" hidden="1" x14ac:dyDescent="0.25">
      <c r="A37" s="622" t="s">
        <v>278</v>
      </c>
      <c r="B37" s="475" t="s">
        <v>241</v>
      </c>
      <c r="C37" s="475" t="s">
        <v>152</v>
      </c>
      <c r="D37" s="476">
        <f t="shared" si="3"/>
        <v>-0.25</v>
      </c>
      <c r="E37" s="476"/>
      <c r="F37" s="663"/>
      <c r="G37" s="706"/>
      <c r="H37" s="663"/>
      <c r="I37" s="663"/>
      <c r="J37" s="663"/>
      <c r="K37" s="663"/>
      <c r="L37" s="663"/>
      <c r="M37" s="663"/>
      <c r="N37" s="663"/>
      <c r="O37" s="663"/>
      <c r="P37" s="663"/>
      <c r="Q37" s="663"/>
      <c r="R37" s="663"/>
      <c r="S37" s="663"/>
      <c r="T37" s="663"/>
      <c r="U37" s="663"/>
      <c r="V37" s="663"/>
      <c r="W37" s="663"/>
      <c r="X37" s="663"/>
      <c r="Y37" s="663"/>
      <c r="Z37" s="663">
        <v>0</v>
      </c>
      <c r="AA37" s="663"/>
      <c r="AB37" s="663"/>
      <c r="AC37" s="663"/>
      <c r="AD37" s="579">
        <f t="shared" si="4"/>
        <v>0</v>
      </c>
      <c r="AE37" s="479">
        <f t="shared" si="5"/>
        <v>0</v>
      </c>
      <c r="AF37" s="462" t="str">
        <f t="shared" si="6"/>
        <v>sell</v>
      </c>
    </row>
    <row r="38" spans="1:32" s="360" customFormat="1" hidden="1" x14ac:dyDescent="0.25">
      <c r="A38" s="622" t="s">
        <v>278</v>
      </c>
      <c r="B38" s="475" t="s">
        <v>241</v>
      </c>
      <c r="C38" s="475" t="s">
        <v>152</v>
      </c>
      <c r="D38" s="476">
        <f t="shared" si="3"/>
        <v>-0.25</v>
      </c>
      <c r="E38" s="476"/>
      <c r="F38" s="663"/>
      <c r="G38" s="706"/>
      <c r="H38" s="663"/>
      <c r="I38" s="663"/>
      <c r="J38" s="663"/>
      <c r="K38" s="663"/>
      <c r="L38" s="663"/>
      <c r="M38" s="663"/>
      <c r="N38" s="663"/>
      <c r="O38" s="663"/>
      <c r="P38" s="663"/>
      <c r="Q38" s="663"/>
      <c r="R38" s="663"/>
      <c r="S38" s="663"/>
      <c r="T38" s="663"/>
      <c r="U38" s="663"/>
      <c r="V38" s="663"/>
      <c r="W38" s="663"/>
      <c r="X38" s="663"/>
      <c r="Y38" s="663"/>
      <c r="Z38" s="663"/>
      <c r="AA38" s="663">
        <v>0</v>
      </c>
      <c r="AB38" s="663"/>
      <c r="AC38" s="663"/>
      <c r="AD38" s="579">
        <f t="shared" si="4"/>
        <v>0</v>
      </c>
      <c r="AE38" s="479">
        <f t="shared" si="5"/>
        <v>0</v>
      </c>
      <c r="AF38" s="462" t="str">
        <f t="shared" si="6"/>
        <v>sell</v>
      </c>
    </row>
    <row r="39" spans="1:32" s="360" customFormat="1" hidden="1" x14ac:dyDescent="0.25">
      <c r="A39" s="622" t="s">
        <v>278</v>
      </c>
      <c r="B39" s="475" t="s">
        <v>241</v>
      </c>
      <c r="C39" s="475" t="s">
        <v>152</v>
      </c>
      <c r="D39" s="476">
        <f t="shared" si="3"/>
        <v>-0.25</v>
      </c>
      <c r="E39" s="476"/>
      <c r="F39" s="663"/>
      <c r="G39" s="706"/>
      <c r="H39" s="663"/>
      <c r="I39" s="663"/>
      <c r="J39" s="663"/>
      <c r="K39" s="663"/>
      <c r="L39" s="663"/>
      <c r="M39" s="663"/>
      <c r="N39" s="663"/>
      <c r="O39" s="663"/>
      <c r="P39" s="663"/>
      <c r="Q39" s="663"/>
      <c r="R39" s="663"/>
      <c r="S39" s="663"/>
      <c r="T39" s="663"/>
      <c r="U39" s="663"/>
      <c r="V39" s="663"/>
      <c r="W39" s="663"/>
      <c r="X39" s="663"/>
      <c r="Y39" s="663"/>
      <c r="Z39" s="663"/>
      <c r="AA39" s="663"/>
      <c r="AB39" s="663">
        <v>0</v>
      </c>
      <c r="AC39" s="663"/>
      <c r="AD39" s="579">
        <f t="shared" si="4"/>
        <v>0</v>
      </c>
      <c r="AE39" s="479">
        <f t="shared" si="5"/>
        <v>0</v>
      </c>
      <c r="AF39" s="462" t="str">
        <f t="shared" si="6"/>
        <v>sell</v>
      </c>
    </row>
    <row r="40" spans="1:32" s="360" customFormat="1" hidden="1" x14ac:dyDescent="0.25">
      <c r="A40" s="622" t="s">
        <v>278</v>
      </c>
      <c r="B40" s="475" t="s">
        <v>241</v>
      </c>
      <c r="C40" s="475" t="s">
        <v>152</v>
      </c>
      <c r="D40" s="476">
        <f t="shared" si="3"/>
        <v>-0.25</v>
      </c>
      <c r="E40" s="476"/>
      <c r="F40" s="663">
        <v>0</v>
      </c>
      <c r="G40" s="706"/>
      <c r="H40" s="663"/>
      <c r="I40" s="663"/>
      <c r="J40" s="663"/>
      <c r="K40" s="663"/>
      <c r="L40" s="663"/>
      <c r="M40" s="663"/>
      <c r="N40" s="663"/>
      <c r="O40" s="663"/>
      <c r="P40" s="663"/>
      <c r="Q40" s="663"/>
      <c r="R40" s="663"/>
      <c r="S40" s="663"/>
      <c r="T40" s="663"/>
      <c r="U40" s="663"/>
      <c r="V40" s="663"/>
      <c r="W40" s="663"/>
      <c r="X40" s="663"/>
      <c r="Y40" s="663"/>
      <c r="Z40" s="663"/>
      <c r="AA40" s="663"/>
      <c r="AB40" s="663"/>
      <c r="AC40" s="663">
        <v>0</v>
      </c>
      <c r="AD40" s="579">
        <f t="shared" si="4"/>
        <v>0</v>
      </c>
      <c r="AE40" s="479">
        <f t="shared" si="5"/>
        <v>0</v>
      </c>
      <c r="AF40" s="462" t="str">
        <f t="shared" si="6"/>
        <v>sell</v>
      </c>
    </row>
    <row r="41" spans="1:32" s="360" customFormat="1" hidden="1" x14ac:dyDescent="0.25">
      <c r="A41" s="622"/>
      <c r="B41" s="475"/>
      <c r="C41" s="475"/>
      <c r="D41" s="476"/>
      <c r="E41" s="476"/>
      <c r="F41" s="663"/>
      <c r="G41" s="706"/>
      <c r="H41" s="663"/>
      <c r="I41" s="663"/>
      <c r="J41" s="663"/>
      <c r="K41" s="663"/>
      <c r="L41" s="663"/>
      <c r="M41" s="663"/>
      <c r="N41" s="663"/>
      <c r="O41" s="663"/>
      <c r="P41" s="663"/>
      <c r="Q41" s="663"/>
      <c r="R41" s="663"/>
      <c r="S41" s="663"/>
      <c r="T41" s="663"/>
      <c r="U41" s="663"/>
      <c r="V41" s="663"/>
      <c r="W41" s="663"/>
      <c r="X41" s="663"/>
      <c r="Y41" s="663"/>
      <c r="Z41" s="663"/>
      <c r="AA41" s="663"/>
      <c r="AB41" s="663"/>
      <c r="AC41" s="663"/>
      <c r="AD41" s="579">
        <f t="shared" si="4"/>
        <v>0</v>
      </c>
      <c r="AE41" s="479">
        <f t="shared" si="5"/>
        <v>0</v>
      </c>
      <c r="AF41" s="462"/>
    </row>
    <row r="42" spans="1:32" s="360" customFormat="1" hidden="1" x14ac:dyDescent="0.25">
      <c r="A42" s="622" t="s">
        <v>278</v>
      </c>
      <c r="B42" s="475" t="s">
        <v>241</v>
      </c>
      <c r="C42" s="475" t="s">
        <v>280</v>
      </c>
      <c r="D42" s="476">
        <f t="shared" ref="D42:D64" si="7">F131</f>
        <v>-0.25</v>
      </c>
      <c r="E42" s="476"/>
      <c r="F42" s="663"/>
      <c r="G42" s="663"/>
      <c r="H42" s="663"/>
      <c r="I42" s="663"/>
      <c r="J42" s="663"/>
      <c r="K42" s="663"/>
      <c r="L42" s="663"/>
      <c r="M42" s="663"/>
      <c r="N42" s="663"/>
      <c r="O42" s="663"/>
      <c r="P42" s="663"/>
      <c r="Q42" s="663"/>
      <c r="R42" s="663"/>
      <c r="S42" s="663"/>
      <c r="T42" s="663"/>
      <c r="U42" s="663"/>
      <c r="V42" s="663"/>
      <c r="W42" s="663"/>
      <c r="X42" s="663"/>
      <c r="Y42" s="663"/>
      <c r="Z42" s="663"/>
      <c r="AA42" s="663"/>
      <c r="AB42" s="663"/>
      <c r="AC42" s="663"/>
      <c r="AD42" s="579">
        <f t="shared" si="4"/>
        <v>0</v>
      </c>
      <c r="AE42" s="479">
        <f t="shared" si="5"/>
        <v>0</v>
      </c>
      <c r="AF42" s="462" t="str">
        <f>IF(AD42&lt;0,"buy","sell")</f>
        <v>sell</v>
      </c>
    </row>
    <row r="43" spans="1:32" s="360" customFormat="1" hidden="1" x14ac:dyDescent="0.25">
      <c r="A43" s="622" t="s">
        <v>278</v>
      </c>
      <c r="B43" s="475" t="s">
        <v>241</v>
      </c>
      <c r="C43" s="475" t="s">
        <v>280</v>
      </c>
      <c r="D43" s="476">
        <f t="shared" si="7"/>
        <v>-0.25</v>
      </c>
      <c r="E43" s="476"/>
      <c r="F43" s="663"/>
      <c r="G43" s="663"/>
      <c r="H43" s="663"/>
      <c r="I43" s="663"/>
      <c r="J43" s="663"/>
      <c r="K43" s="663"/>
      <c r="L43" s="663"/>
      <c r="M43" s="663"/>
      <c r="N43" s="663"/>
      <c r="O43" s="663"/>
      <c r="P43" s="663"/>
      <c r="Q43" s="663"/>
      <c r="R43" s="663"/>
      <c r="S43" s="663"/>
      <c r="T43" s="663"/>
      <c r="U43" s="663"/>
      <c r="V43" s="663"/>
      <c r="W43" s="663"/>
      <c r="X43" s="663"/>
      <c r="Y43" s="663"/>
      <c r="Z43" s="663"/>
      <c r="AA43" s="663"/>
      <c r="AB43" s="663"/>
      <c r="AC43" s="663"/>
      <c r="AD43" s="579">
        <f t="shared" si="4"/>
        <v>0</v>
      </c>
      <c r="AE43" s="479">
        <f t="shared" si="5"/>
        <v>0</v>
      </c>
      <c r="AF43" s="462" t="str">
        <f t="shared" ref="AF43:AF65" si="8">IF(AD43&lt;0,"buy","sell")</f>
        <v>sell</v>
      </c>
    </row>
    <row r="44" spans="1:32" s="360" customFormat="1" hidden="1" x14ac:dyDescent="0.25">
      <c r="A44" s="622" t="s">
        <v>278</v>
      </c>
      <c r="B44" s="475" t="s">
        <v>241</v>
      </c>
      <c r="C44" s="475" t="s">
        <v>280</v>
      </c>
      <c r="D44" s="476">
        <f t="shared" si="7"/>
        <v>-0.25</v>
      </c>
      <c r="E44" s="476"/>
      <c r="F44" s="663"/>
      <c r="G44" s="663"/>
      <c r="H44" s="663">
        <v>0</v>
      </c>
      <c r="I44" s="663"/>
      <c r="J44" s="663"/>
      <c r="K44" s="663"/>
      <c r="L44" s="663"/>
      <c r="M44" s="663"/>
      <c r="N44" s="663"/>
      <c r="O44" s="663"/>
      <c r="P44" s="663"/>
      <c r="Q44" s="663"/>
      <c r="R44" s="663"/>
      <c r="S44" s="663"/>
      <c r="T44" s="663"/>
      <c r="U44" s="663"/>
      <c r="V44" s="663"/>
      <c r="W44" s="663"/>
      <c r="X44" s="663"/>
      <c r="Y44" s="663"/>
      <c r="Z44" s="663"/>
      <c r="AA44" s="663"/>
      <c r="AB44" s="663"/>
      <c r="AC44" s="663"/>
      <c r="AD44" s="579">
        <f t="shared" si="4"/>
        <v>0</v>
      </c>
      <c r="AE44" s="479">
        <f t="shared" si="5"/>
        <v>0</v>
      </c>
      <c r="AF44" s="462" t="str">
        <f t="shared" si="8"/>
        <v>sell</v>
      </c>
    </row>
    <row r="45" spans="1:32" s="360" customFormat="1" hidden="1" x14ac:dyDescent="0.25">
      <c r="A45" s="622" t="s">
        <v>278</v>
      </c>
      <c r="B45" s="475" t="s">
        <v>241</v>
      </c>
      <c r="C45" s="475" t="s">
        <v>280</v>
      </c>
      <c r="D45" s="476">
        <f t="shared" si="7"/>
        <v>-0.25</v>
      </c>
      <c r="E45" s="476"/>
      <c r="F45" s="663"/>
      <c r="G45" s="663"/>
      <c r="H45" s="663"/>
      <c r="I45" s="663">
        <v>0</v>
      </c>
      <c r="J45" s="663"/>
      <c r="K45" s="663"/>
      <c r="L45" s="663"/>
      <c r="M45" s="663"/>
      <c r="N45" s="663"/>
      <c r="O45" s="663"/>
      <c r="P45" s="663"/>
      <c r="Q45" s="663"/>
      <c r="R45" s="663"/>
      <c r="S45" s="663"/>
      <c r="T45" s="663"/>
      <c r="U45" s="663"/>
      <c r="V45" s="663"/>
      <c r="W45" s="663"/>
      <c r="X45" s="663"/>
      <c r="Y45" s="663"/>
      <c r="Z45" s="663"/>
      <c r="AA45" s="663"/>
      <c r="AB45" s="663"/>
      <c r="AC45" s="663"/>
      <c r="AD45" s="579">
        <f t="shared" si="4"/>
        <v>0</v>
      </c>
      <c r="AE45" s="479">
        <f t="shared" si="5"/>
        <v>0</v>
      </c>
      <c r="AF45" s="462" t="str">
        <f t="shared" si="8"/>
        <v>sell</v>
      </c>
    </row>
    <row r="46" spans="1:32" s="360" customFormat="1" hidden="1" x14ac:dyDescent="0.25">
      <c r="A46" s="622" t="s">
        <v>278</v>
      </c>
      <c r="B46" s="475" t="s">
        <v>241</v>
      </c>
      <c r="C46" s="475" t="s">
        <v>280</v>
      </c>
      <c r="D46" s="476">
        <f t="shared" si="7"/>
        <v>-0.25</v>
      </c>
      <c r="E46" s="476"/>
      <c r="F46" s="663"/>
      <c r="G46" s="663"/>
      <c r="H46" s="663"/>
      <c r="I46" s="663"/>
      <c r="J46" s="663">
        <v>0</v>
      </c>
      <c r="K46" s="663"/>
      <c r="L46" s="663"/>
      <c r="M46" s="663"/>
      <c r="N46" s="663"/>
      <c r="O46" s="663"/>
      <c r="P46" s="663"/>
      <c r="Q46" s="663"/>
      <c r="R46" s="663"/>
      <c r="S46" s="663"/>
      <c r="T46" s="663"/>
      <c r="U46" s="663"/>
      <c r="V46" s="663"/>
      <c r="W46" s="663"/>
      <c r="X46" s="663"/>
      <c r="Y46" s="663"/>
      <c r="Z46" s="663"/>
      <c r="AA46" s="663"/>
      <c r="AB46" s="663"/>
      <c r="AC46" s="663"/>
      <c r="AD46" s="579">
        <f t="shared" si="4"/>
        <v>0</v>
      </c>
      <c r="AE46" s="479">
        <f t="shared" si="5"/>
        <v>0</v>
      </c>
      <c r="AF46" s="462" t="str">
        <f t="shared" si="8"/>
        <v>sell</v>
      </c>
    </row>
    <row r="47" spans="1:32" s="360" customFormat="1" hidden="1" x14ac:dyDescent="0.25">
      <c r="A47" s="622" t="s">
        <v>278</v>
      </c>
      <c r="B47" s="475" t="s">
        <v>241</v>
      </c>
      <c r="C47" s="475" t="s">
        <v>280</v>
      </c>
      <c r="D47" s="476">
        <f t="shared" si="7"/>
        <v>-0.25</v>
      </c>
      <c r="E47" s="476"/>
      <c r="F47" s="663"/>
      <c r="G47" s="663"/>
      <c r="H47" s="663"/>
      <c r="I47" s="663"/>
      <c r="J47" s="663"/>
      <c r="K47" s="663">
        <v>0</v>
      </c>
      <c r="L47" s="663"/>
      <c r="M47" s="663"/>
      <c r="N47" s="663"/>
      <c r="O47" s="663"/>
      <c r="P47" s="663"/>
      <c r="Q47" s="663"/>
      <c r="R47" s="663"/>
      <c r="S47" s="663"/>
      <c r="T47" s="663"/>
      <c r="U47" s="663"/>
      <c r="V47" s="663"/>
      <c r="W47" s="663"/>
      <c r="X47" s="663"/>
      <c r="Y47" s="663"/>
      <c r="Z47" s="663"/>
      <c r="AA47" s="663"/>
      <c r="AB47" s="663"/>
      <c r="AC47" s="663"/>
      <c r="AD47" s="579">
        <f t="shared" si="4"/>
        <v>0</v>
      </c>
      <c r="AE47" s="479">
        <f t="shared" si="5"/>
        <v>0</v>
      </c>
      <c r="AF47" s="462" t="str">
        <f t="shared" si="8"/>
        <v>sell</v>
      </c>
    </row>
    <row r="48" spans="1:32" s="360" customFormat="1" hidden="1" x14ac:dyDescent="0.25">
      <c r="A48" s="622" t="s">
        <v>278</v>
      </c>
      <c r="B48" s="475" t="s">
        <v>241</v>
      </c>
      <c r="C48" s="475" t="s">
        <v>280</v>
      </c>
      <c r="D48" s="476">
        <f t="shared" si="7"/>
        <v>-0.25</v>
      </c>
      <c r="E48" s="476"/>
      <c r="F48" s="663"/>
      <c r="G48" s="663"/>
      <c r="H48" s="663"/>
      <c r="I48" s="663"/>
      <c r="J48" s="663"/>
      <c r="K48" s="663"/>
      <c r="L48" s="663">
        <v>0</v>
      </c>
      <c r="M48" s="663"/>
      <c r="N48" s="663"/>
      <c r="O48" s="663"/>
      <c r="P48" s="663"/>
      <c r="Q48" s="663"/>
      <c r="R48" s="663"/>
      <c r="S48" s="663"/>
      <c r="T48" s="663"/>
      <c r="U48" s="663"/>
      <c r="V48" s="663"/>
      <c r="W48" s="663"/>
      <c r="X48" s="663"/>
      <c r="Y48" s="663"/>
      <c r="Z48" s="663"/>
      <c r="AA48" s="663"/>
      <c r="AB48" s="663"/>
      <c r="AC48" s="663"/>
      <c r="AD48" s="579">
        <f t="shared" si="4"/>
        <v>0</v>
      </c>
      <c r="AE48" s="479">
        <f t="shared" si="5"/>
        <v>0</v>
      </c>
      <c r="AF48" s="462" t="str">
        <f t="shared" si="8"/>
        <v>sell</v>
      </c>
    </row>
    <row r="49" spans="1:32" s="360" customFormat="1" hidden="1" x14ac:dyDescent="0.25">
      <c r="A49" s="622" t="s">
        <v>278</v>
      </c>
      <c r="B49" s="475" t="s">
        <v>241</v>
      </c>
      <c r="C49" s="475" t="s">
        <v>280</v>
      </c>
      <c r="D49" s="476">
        <f t="shared" si="7"/>
        <v>-0.25</v>
      </c>
      <c r="E49" s="476"/>
      <c r="F49" s="663"/>
      <c r="G49" s="663"/>
      <c r="H49" s="663"/>
      <c r="I49" s="663"/>
      <c r="J49" s="663"/>
      <c r="K49" s="663"/>
      <c r="L49" s="663"/>
      <c r="M49" s="663">
        <v>0</v>
      </c>
      <c r="N49" s="663"/>
      <c r="O49" s="663"/>
      <c r="P49" s="663"/>
      <c r="Q49" s="663"/>
      <c r="R49" s="663"/>
      <c r="S49" s="663"/>
      <c r="T49" s="663"/>
      <c r="U49" s="663"/>
      <c r="V49" s="663"/>
      <c r="W49" s="663"/>
      <c r="X49" s="663"/>
      <c r="Y49" s="663"/>
      <c r="Z49" s="663"/>
      <c r="AA49" s="663"/>
      <c r="AB49" s="663"/>
      <c r="AC49" s="663"/>
      <c r="AD49" s="579">
        <f t="shared" si="4"/>
        <v>0</v>
      </c>
      <c r="AE49" s="479">
        <f t="shared" si="5"/>
        <v>0</v>
      </c>
      <c r="AF49" s="462" t="str">
        <f t="shared" si="8"/>
        <v>sell</v>
      </c>
    </row>
    <row r="50" spans="1:32" s="360" customFormat="1" hidden="1" x14ac:dyDescent="0.25">
      <c r="A50" s="622" t="s">
        <v>278</v>
      </c>
      <c r="B50" s="475" t="s">
        <v>241</v>
      </c>
      <c r="C50" s="475" t="s">
        <v>280</v>
      </c>
      <c r="D50" s="476">
        <f t="shared" si="7"/>
        <v>-0.25</v>
      </c>
      <c r="E50" s="476"/>
      <c r="F50" s="663"/>
      <c r="G50" s="663"/>
      <c r="H50" s="663"/>
      <c r="I50" s="663"/>
      <c r="J50" s="663"/>
      <c r="K50" s="663"/>
      <c r="L50" s="663"/>
      <c r="M50" s="663"/>
      <c r="N50" s="663">
        <v>0</v>
      </c>
      <c r="O50" s="663"/>
      <c r="P50" s="663"/>
      <c r="Q50" s="663"/>
      <c r="R50" s="663"/>
      <c r="S50" s="663"/>
      <c r="T50" s="663"/>
      <c r="U50" s="663"/>
      <c r="V50" s="663"/>
      <c r="W50" s="663"/>
      <c r="X50" s="663"/>
      <c r="Y50" s="663"/>
      <c r="Z50" s="663"/>
      <c r="AA50" s="663"/>
      <c r="AB50" s="663"/>
      <c r="AC50" s="663"/>
      <c r="AD50" s="579">
        <f t="shared" si="4"/>
        <v>0</v>
      </c>
      <c r="AE50" s="479">
        <f t="shared" si="5"/>
        <v>0</v>
      </c>
      <c r="AF50" s="462" t="str">
        <f t="shared" si="8"/>
        <v>sell</v>
      </c>
    </row>
    <row r="51" spans="1:32" s="360" customFormat="1" hidden="1" x14ac:dyDescent="0.25">
      <c r="A51" s="622" t="s">
        <v>278</v>
      </c>
      <c r="B51" s="475" t="s">
        <v>241</v>
      </c>
      <c r="C51" s="475" t="s">
        <v>280</v>
      </c>
      <c r="D51" s="476">
        <f t="shared" si="7"/>
        <v>-0.25</v>
      </c>
      <c r="E51" s="476"/>
      <c r="F51" s="663"/>
      <c r="G51" s="663"/>
      <c r="H51" s="663"/>
      <c r="I51" s="663"/>
      <c r="J51" s="663"/>
      <c r="K51" s="663"/>
      <c r="L51" s="663"/>
      <c r="M51" s="663"/>
      <c r="N51" s="663"/>
      <c r="O51" s="663">
        <v>0</v>
      </c>
      <c r="P51" s="663"/>
      <c r="Q51" s="663"/>
      <c r="R51" s="663"/>
      <c r="S51" s="663"/>
      <c r="T51" s="663"/>
      <c r="U51" s="663"/>
      <c r="V51" s="663"/>
      <c r="W51" s="663"/>
      <c r="X51" s="663"/>
      <c r="Y51" s="663"/>
      <c r="Z51" s="663"/>
      <c r="AA51" s="663"/>
      <c r="AB51" s="663"/>
      <c r="AC51" s="663"/>
      <c r="AD51" s="579">
        <f t="shared" si="4"/>
        <v>0</v>
      </c>
      <c r="AE51" s="479">
        <f t="shared" si="5"/>
        <v>0</v>
      </c>
      <c r="AF51" s="462" t="str">
        <f t="shared" si="8"/>
        <v>sell</v>
      </c>
    </row>
    <row r="52" spans="1:32" s="360" customFormat="1" hidden="1" x14ac:dyDescent="0.25">
      <c r="A52" s="622" t="s">
        <v>278</v>
      </c>
      <c r="B52" s="475" t="s">
        <v>241</v>
      </c>
      <c r="C52" s="475" t="s">
        <v>280</v>
      </c>
      <c r="D52" s="476">
        <f t="shared" si="7"/>
        <v>-0.25</v>
      </c>
      <c r="E52" s="476"/>
      <c r="F52" s="663"/>
      <c r="G52" s="663"/>
      <c r="H52" s="663"/>
      <c r="I52" s="663"/>
      <c r="J52" s="663"/>
      <c r="K52" s="663"/>
      <c r="L52" s="663"/>
      <c r="M52" s="663"/>
      <c r="N52" s="663"/>
      <c r="O52" s="663"/>
      <c r="P52" s="663">
        <v>0</v>
      </c>
      <c r="Q52" s="663"/>
      <c r="R52" s="663"/>
      <c r="S52" s="663"/>
      <c r="T52" s="663"/>
      <c r="U52" s="663"/>
      <c r="V52" s="663"/>
      <c r="W52" s="663"/>
      <c r="X52" s="663"/>
      <c r="Y52" s="663"/>
      <c r="Z52" s="663"/>
      <c r="AA52" s="663"/>
      <c r="AB52" s="663"/>
      <c r="AC52" s="663"/>
      <c r="AD52" s="579">
        <f t="shared" si="4"/>
        <v>0</v>
      </c>
      <c r="AE52" s="479">
        <f t="shared" si="5"/>
        <v>0</v>
      </c>
      <c r="AF52" s="462" t="str">
        <f t="shared" si="8"/>
        <v>sell</v>
      </c>
    </row>
    <row r="53" spans="1:32" s="360" customFormat="1" hidden="1" x14ac:dyDescent="0.25">
      <c r="A53" s="622" t="s">
        <v>278</v>
      </c>
      <c r="B53" s="475" t="s">
        <v>241</v>
      </c>
      <c r="C53" s="475" t="s">
        <v>280</v>
      </c>
      <c r="D53" s="476">
        <f t="shared" si="7"/>
        <v>-0.25</v>
      </c>
      <c r="E53" s="476"/>
      <c r="F53" s="663"/>
      <c r="G53" s="663"/>
      <c r="H53" s="663"/>
      <c r="I53" s="663"/>
      <c r="J53" s="663"/>
      <c r="K53" s="663"/>
      <c r="L53" s="663"/>
      <c r="M53" s="663"/>
      <c r="N53" s="663"/>
      <c r="O53" s="663"/>
      <c r="P53" s="663"/>
      <c r="Q53" s="663">
        <v>0</v>
      </c>
      <c r="R53" s="663"/>
      <c r="S53" s="663"/>
      <c r="T53" s="663"/>
      <c r="U53" s="663"/>
      <c r="V53" s="663"/>
      <c r="W53" s="663"/>
      <c r="X53" s="663"/>
      <c r="Y53" s="663"/>
      <c r="Z53" s="663"/>
      <c r="AA53" s="663"/>
      <c r="AB53" s="663"/>
      <c r="AC53" s="663"/>
      <c r="AD53" s="579">
        <f t="shared" si="4"/>
        <v>0</v>
      </c>
      <c r="AE53" s="479">
        <f t="shared" si="5"/>
        <v>0</v>
      </c>
      <c r="AF53" s="462" t="str">
        <f t="shared" si="8"/>
        <v>sell</v>
      </c>
    </row>
    <row r="54" spans="1:32" s="360" customFormat="1" hidden="1" x14ac:dyDescent="0.25">
      <c r="A54" s="622" t="s">
        <v>278</v>
      </c>
      <c r="B54" s="475" t="s">
        <v>241</v>
      </c>
      <c r="C54" s="475" t="s">
        <v>280</v>
      </c>
      <c r="D54" s="476">
        <f t="shared" si="7"/>
        <v>-0.25</v>
      </c>
      <c r="E54" s="476"/>
      <c r="F54" s="663"/>
      <c r="G54" s="663"/>
      <c r="H54" s="663"/>
      <c r="I54" s="663"/>
      <c r="J54" s="663"/>
      <c r="K54" s="663"/>
      <c r="L54" s="663"/>
      <c r="M54" s="663"/>
      <c r="N54" s="663"/>
      <c r="O54" s="663"/>
      <c r="P54" s="663"/>
      <c r="Q54" s="663"/>
      <c r="R54" s="663">
        <v>0</v>
      </c>
      <c r="S54" s="663"/>
      <c r="T54" s="663"/>
      <c r="U54" s="663"/>
      <c r="V54" s="663"/>
      <c r="W54" s="663"/>
      <c r="X54" s="663"/>
      <c r="Y54" s="663"/>
      <c r="Z54" s="663"/>
      <c r="AA54" s="663"/>
      <c r="AB54" s="663"/>
      <c r="AC54" s="663"/>
      <c r="AD54" s="579">
        <f t="shared" si="4"/>
        <v>0</v>
      </c>
      <c r="AE54" s="479">
        <f t="shared" si="5"/>
        <v>0</v>
      </c>
      <c r="AF54" s="462" t="str">
        <f t="shared" si="8"/>
        <v>sell</v>
      </c>
    </row>
    <row r="55" spans="1:32" s="360" customFormat="1" hidden="1" x14ac:dyDescent="0.25">
      <c r="A55" s="622" t="s">
        <v>278</v>
      </c>
      <c r="B55" s="475" t="s">
        <v>241</v>
      </c>
      <c r="C55" s="475" t="s">
        <v>280</v>
      </c>
      <c r="D55" s="476">
        <f t="shared" si="7"/>
        <v>-0.25</v>
      </c>
      <c r="E55" s="476"/>
      <c r="F55" s="663"/>
      <c r="G55" s="663"/>
      <c r="H55" s="663"/>
      <c r="I55" s="663"/>
      <c r="J55" s="663"/>
      <c r="K55" s="663"/>
      <c r="L55" s="663"/>
      <c r="M55" s="663"/>
      <c r="N55" s="663"/>
      <c r="O55" s="663"/>
      <c r="P55" s="663"/>
      <c r="Q55" s="663"/>
      <c r="R55" s="663"/>
      <c r="S55" s="663">
        <v>0</v>
      </c>
      <c r="T55" s="663"/>
      <c r="U55" s="663"/>
      <c r="V55" s="663"/>
      <c r="W55" s="663"/>
      <c r="X55" s="663"/>
      <c r="Y55" s="663"/>
      <c r="Z55" s="663"/>
      <c r="AA55" s="663"/>
      <c r="AB55" s="663"/>
      <c r="AC55" s="663"/>
      <c r="AD55" s="579">
        <f t="shared" si="4"/>
        <v>0</v>
      </c>
      <c r="AE55" s="479">
        <f t="shared" si="5"/>
        <v>0</v>
      </c>
      <c r="AF55" s="462" t="str">
        <f t="shared" si="8"/>
        <v>sell</v>
      </c>
    </row>
    <row r="56" spans="1:32" s="360" customFormat="1" hidden="1" x14ac:dyDescent="0.25">
      <c r="A56" s="622" t="s">
        <v>278</v>
      </c>
      <c r="B56" s="475" t="s">
        <v>241</v>
      </c>
      <c r="C56" s="475" t="s">
        <v>280</v>
      </c>
      <c r="D56" s="476">
        <f t="shared" si="7"/>
        <v>-0.25</v>
      </c>
      <c r="E56" s="476"/>
      <c r="F56" s="663"/>
      <c r="G56" s="663"/>
      <c r="H56" s="663"/>
      <c r="I56" s="663"/>
      <c r="J56" s="663"/>
      <c r="K56" s="663"/>
      <c r="L56" s="663"/>
      <c r="M56" s="663"/>
      <c r="N56" s="663"/>
      <c r="O56" s="663"/>
      <c r="P56" s="663"/>
      <c r="Q56" s="663"/>
      <c r="R56" s="663"/>
      <c r="S56" s="663"/>
      <c r="T56" s="663">
        <v>0</v>
      </c>
      <c r="U56" s="663"/>
      <c r="V56" s="663"/>
      <c r="W56" s="663"/>
      <c r="X56" s="663"/>
      <c r="Y56" s="663"/>
      <c r="Z56" s="663"/>
      <c r="AA56" s="663"/>
      <c r="AB56" s="663"/>
      <c r="AC56" s="663"/>
      <c r="AD56" s="579">
        <f t="shared" si="4"/>
        <v>0</v>
      </c>
      <c r="AE56" s="479">
        <f t="shared" si="5"/>
        <v>0</v>
      </c>
      <c r="AF56" s="462" t="str">
        <f t="shared" si="8"/>
        <v>sell</v>
      </c>
    </row>
    <row r="57" spans="1:32" s="360" customFormat="1" hidden="1" x14ac:dyDescent="0.25">
      <c r="A57" s="622" t="s">
        <v>278</v>
      </c>
      <c r="B57" s="475" t="s">
        <v>241</v>
      </c>
      <c r="C57" s="475" t="s">
        <v>280</v>
      </c>
      <c r="D57" s="476">
        <f t="shared" si="7"/>
        <v>-0.25</v>
      </c>
      <c r="E57" s="476"/>
      <c r="F57" s="663"/>
      <c r="G57" s="663"/>
      <c r="H57" s="663"/>
      <c r="I57" s="663"/>
      <c r="J57" s="663"/>
      <c r="K57" s="663"/>
      <c r="L57" s="663"/>
      <c r="M57" s="663"/>
      <c r="N57" s="663"/>
      <c r="O57" s="663"/>
      <c r="P57" s="663"/>
      <c r="Q57" s="663"/>
      <c r="R57" s="663"/>
      <c r="S57" s="663"/>
      <c r="T57" s="663"/>
      <c r="U57" s="663">
        <v>0</v>
      </c>
      <c r="V57" s="663"/>
      <c r="W57" s="663"/>
      <c r="X57" s="663"/>
      <c r="Y57" s="663"/>
      <c r="Z57" s="663"/>
      <c r="AA57" s="663"/>
      <c r="AB57" s="663"/>
      <c r="AC57" s="663"/>
      <c r="AD57" s="579">
        <f t="shared" si="4"/>
        <v>0</v>
      </c>
      <c r="AE57" s="479">
        <f t="shared" si="5"/>
        <v>0</v>
      </c>
      <c r="AF57" s="462" t="str">
        <f t="shared" si="8"/>
        <v>sell</v>
      </c>
    </row>
    <row r="58" spans="1:32" s="360" customFormat="1" hidden="1" x14ac:dyDescent="0.25">
      <c r="A58" s="622" t="s">
        <v>278</v>
      </c>
      <c r="B58" s="475" t="s">
        <v>241</v>
      </c>
      <c r="C58" s="475" t="s">
        <v>280</v>
      </c>
      <c r="D58" s="476">
        <f t="shared" si="7"/>
        <v>-0.25</v>
      </c>
      <c r="E58" s="476"/>
      <c r="F58" s="663"/>
      <c r="G58" s="663"/>
      <c r="H58" s="663"/>
      <c r="I58" s="663"/>
      <c r="J58" s="663"/>
      <c r="K58" s="663"/>
      <c r="L58" s="663"/>
      <c r="M58" s="663"/>
      <c r="N58" s="663"/>
      <c r="O58" s="663"/>
      <c r="P58" s="663"/>
      <c r="Q58" s="663"/>
      <c r="R58" s="663"/>
      <c r="S58" s="663"/>
      <c r="T58" s="663"/>
      <c r="U58" s="663"/>
      <c r="V58" s="663">
        <v>0</v>
      </c>
      <c r="W58" s="663"/>
      <c r="X58" s="663"/>
      <c r="Y58" s="663"/>
      <c r="Z58" s="663"/>
      <c r="AA58" s="663"/>
      <c r="AB58" s="663"/>
      <c r="AC58" s="663"/>
      <c r="AD58" s="579">
        <f t="shared" si="4"/>
        <v>0</v>
      </c>
      <c r="AE58" s="479">
        <f t="shared" si="5"/>
        <v>0</v>
      </c>
      <c r="AF58" s="462" t="str">
        <f t="shared" si="8"/>
        <v>sell</v>
      </c>
    </row>
    <row r="59" spans="1:32" s="360" customFormat="1" hidden="1" x14ac:dyDescent="0.25">
      <c r="A59" s="622" t="s">
        <v>278</v>
      </c>
      <c r="B59" s="475" t="s">
        <v>241</v>
      </c>
      <c r="C59" s="475" t="s">
        <v>280</v>
      </c>
      <c r="D59" s="476">
        <f t="shared" si="7"/>
        <v>-0.25</v>
      </c>
      <c r="E59" s="476"/>
      <c r="F59" s="663"/>
      <c r="G59" s="663"/>
      <c r="H59" s="663"/>
      <c r="I59" s="663"/>
      <c r="J59" s="663"/>
      <c r="K59" s="663"/>
      <c r="L59" s="663"/>
      <c r="M59" s="663"/>
      <c r="N59" s="663"/>
      <c r="O59" s="663"/>
      <c r="P59" s="663"/>
      <c r="Q59" s="663"/>
      <c r="R59" s="663"/>
      <c r="S59" s="663"/>
      <c r="T59" s="663"/>
      <c r="U59" s="663"/>
      <c r="V59" s="663"/>
      <c r="W59" s="663">
        <v>0</v>
      </c>
      <c r="X59" s="663"/>
      <c r="Y59" s="663"/>
      <c r="Z59" s="663"/>
      <c r="AA59" s="663"/>
      <c r="AB59" s="663"/>
      <c r="AC59" s="663"/>
      <c r="AD59" s="579">
        <f t="shared" si="4"/>
        <v>0</v>
      </c>
      <c r="AE59" s="479">
        <f t="shared" si="5"/>
        <v>0</v>
      </c>
      <c r="AF59" s="462" t="str">
        <f t="shared" si="8"/>
        <v>sell</v>
      </c>
    </row>
    <row r="60" spans="1:32" s="360" customFormat="1" hidden="1" x14ac:dyDescent="0.25">
      <c r="A60" s="622" t="s">
        <v>278</v>
      </c>
      <c r="B60" s="475" t="s">
        <v>241</v>
      </c>
      <c r="C60" s="475" t="s">
        <v>280</v>
      </c>
      <c r="D60" s="476">
        <f t="shared" si="7"/>
        <v>-0.25</v>
      </c>
      <c r="E60" s="476"/>
      <c r="F60" s="663"/>
      <c r="G60" s="663"/>
      <c r="H60" s="663"/>
      <c r="I60" s="663"/>
      <c r="J60" s="663"/>
      <c r="K60" s="663"/>
      <c r="L60" s="663"/>
      <c r="M60" s="663"/>
      <c r="N60" s="663"/>
      <c r="O60" s="663"/>
      <c r="P60" s="663"/>
      <c r="Q60" s="663"/>
      <c r="R60" s="663"/>
      <c r="S60" s="663"/>
      <c r="T60" s="663"/>
      <c r="U60" s="663"/>
      <c r="V60" s="663"/>
      <c r="W60" s="663"/>
      <c r="X60" s="663">
        <v>0</v>
      </c>
      <c r="Y60" s="663"/>
      <c r="Z60" s="663"/>
      <c r="AA60" s="663"/>
      <c r="AB60" s="663"/>
      <c r="AC60" s="663"/>
      <c r="AD60" s="579">
        <f t="shared" si="4"/>
        <v>0</v>
      </c>
      <c r="AE60" s="479">
        <f t="shared" si="5"/>
        <v>0</v>
      </c>
      <c r="AF60" s="462" t="str">
        <f t="shared" si="8"/>
        <v>sell</v>
      </c>
    </row>
    <row r="61" spans="1:32" s="360" customFormat="1" hidden="1" x14ac:dyDescent="0.25">
      <c r="A61" s="622" t="s">
        <v>278</v>
      </c>
      <c r="B61" s="475" t="s">
        <v>241</v>
      </c>
      <c r="C61" s="475" t="s">
        <v>280</v>
      </c>
      <c r="D61" s="476">
        <f t="shared" si="7"/>
        <v>-0.25</v>
      </c>
      <c r="E61" s="476"/>
      <c r="F61" s="663"/>
      <c r="G61" s="663"/>
      <c r="H61" s="663"/>
      <c r="I61" s="663"/>
      <c r="J61" s="663"/>
      <c r="K61" s="663"/>
      <c r="L61" s="663"/>
      <c r="M61" s="663"/>
      <c r="N61" s="663"/>
      <c r="O61" s="663"/>
      <c r="P61" s="663"/>
      <c r="Q61" s="663"/>
      <c r="R61" s="663"/>
      <c r="S61" s="663"/>
      <c r="T61" s="663"/>
      <c r="U61" s="663"/>
      <c r="V61" s="663"/>
      <c r="W61" s="663"/>
      <c r="X61" s="663"/>
      <c r="Y61" s="663">
        <v>0</v>
      </c>
      <c r="Z61" s="663"/>
      <c r="AA61" s="663"/>
      <c r="AB61" s="663"/>
      <c r="AC61" s="663"/>
      <c r="AD61" s="579">
        <f t="shared" si="4"/>
        <v>0</v>
      </c>
      <c r="AE61" s="479">
        <f t="shared" si="5"/>
        <v>0</v>
      </c>
      <c r="AF61" s="462" t="str">
        <f t="shared" si="8"/>
        <v>sell</v>
      </c>
    </row>
    <row r="62" spans="1:32" s="360" customFormat="1" hidden="1" x14ac:dyDescent="0.25">
      <c r="A62" s="622" t="s">
        <v>278</v>
      </c>
      <c r="B62" s="475" t="s">
        <v>241</v>
      </c>
      <c r="C62" s="475" t="s">
        <v>280</v>
      </c>
      <c r="D62" s="476">
        <f t="shared" si="7"/>
        <v>-0.25</v>
      </c>
      <c r="E62" s="476"/>
      <c r="F62" s="663"/>
      <c r="G62" s="663"/>
      <c r="H62" s="663"/>
      <c r="I62" s="663"/>
      <c r="J62" s="663"/>
      <c r="K62" s="663"/>
      <c r="L62" s="663"/>
      <c r="M62" s="663"/>
      <c r="N62" s="663"/>
      <c r="O62" s="663"/>
      <c r="P62" s="663"/>
      <c r="Q62" s="663"/>
      <c r="R62" s="663"/>
      <c r="S62" s="663"/>
      <c r="T62" s="663"/>
      <c r="U62" s="663"/>
      <c r="V62" s="663"/>
      <c r="W62" s="663"/>
      <c r="X62" s="663"/>
      <c r="Y62" s="663"/>
      <c r="Z62" s="663">
        <v>0</v>
      </c>
      <c r="AA62" s="663"/>
      <c r="AB62" s="663"/>
      <c r="AC62" s="663"/>
      <c r="AD62" s="579">
        <f t="shared" si="4"/>
        <v>0</v>
      </c>
      <c r="AE62" s="479">
        <f t="shared" si="5"/>
        <v>0</v>
      </c>
      <c r="AF62" s="462" t="str">
        <f t="shared" si="8"/>
        <v>sell</v>
      </c>
    </row>
    <row r="63" spans="1:32" s="360" customFormat="1" hidden="1" x14ac:dyDescent="0.25">
      <c r="A63" s="622" t="s">
        <v>278</v>
      </c>
      <c r="B63" s="475" t="s">
        <v>241</v>
      </c>
      <c r="C63" s="475" t="s">
        <v>280</v>
      </c>
      <c r="D63" s="476">
        <f t="shared" si="7"/>
        <v>-0.25</v>
      </c>
      <c r="E63" s="476"/>
      <c r="F63" s="663"/>
      <c r="G63" s="663"/>
      <c r="H63" s="663"/>
      <c r="I63" s="663"/>
      <c r="J63" s="663"/>
      <c r="K63" s="663"/>
      <c r="L63" s="663"/>
      <c r="M63" s="663"/>
      <c r="N63" s="663"/>
      <c r="O63" s="663"/>
      <c r="P63" s="663"/>
      <c r="Q63" s="663"/>
      <c r="R63" s="663"/>
      <c r="S63" s="663"/>
      <c r="T63" s="663"/>
      <c r="U63" s="663"/>
      <c r="V63" s="663"/>
      <c r="W63" s="663"/>
      <c r="X63" s="663"/>
      <c r="Y63" s="663"/>
      <c r="Z63" s="663"/>
      <c r="AA63" s="663">
        <v>0</v>
      </c>
      <c r="AB63" s="663"/>
      <c r="AC63" s="663"/>
      <c r="AD63" s="579">
        <f t="shared" si="4"/>
        <v>0</v>
      </c>
      <c r="AE63" s="479">
        <f t="shared" si="5"/>
        <v>0</v>
      </c>
      <c r="AF63" s="462" t="str">
        <f t="shared" si="8"/>
        <v>sell</v>
      </c>
    </row>
    <row r="64" spans="1:32" s="360" customFormat="1" hidden="1" x14ac:dyDescent="0.25">
      <c r="A64" s="622" t="s">
        <v>278</v>
      </c>
      <c r="B64" s="475" t="s">
        <v>241</v>
      </c>
      <c r="C64" s="475" t="s">
        <v>280</v>
      </c>
      <c r="D64" s="476">
        <f t="shared" si="7"/>
        <v>-0.25</v>
      </c>
      <c r="E64" s="476"/>
      <c r="F64" s="663"/>
      <c r="G64" s="663"/>
      <c r="H64" s="663"/>
      <c r="I64" s="663"/>
      <c r="J64" s="663"/>
      <c r="K64" s="663"/>
      <c r="L64" s="663"/>
      <c r="M64" s="663"/>
      <c r="N64" s="663"/>
      <c r="O64" s="663"/>
      <c r="P64" s="663"/>
      <c r="Q64" s="663"/>
      <c r="R64" s="663"/>
      <c r="S64" s="663"/>
      <c r="T64" s="663"/>
      <c r="U64" s="663"/>
      <c r="V64" s="663"/>
      <c r="W64" s="663"/>
      <c r="X64" s="663"/>
      <c r="Y64" s="663"/>
      <c r="Z64" s="663"/>
      <c r="AA64" s="663"/>
      <c r="AB64" s="663">
        <v>0</v>
      </c>
      <c r="AC64" s="663"/>
      <c r="AD64" s="579">
        <f t="shared" si="4"/>
        <v>0</v>
      </c>
      <c r="AE64" s="479">
        <f t="shared" si="5"/>
        <v>0</v>
      </c>
      <c r="AF64" s="462" t="str">
        <f t="shared" si="8"/>
        <v>sell</v>
      </c>
    </row>
    <row r="65" spans="1:32" s="360" customFormat="1" hidden="1" x14ac:dyDescent="0.25">
      <c r="A65" s="622"/>
      <c r="B65" s="475"/>
      <c r="C65" s="475"/>
      <c r="D65" s="476"/>
      <c r="E65" s="476"/>
      <c r="F65" s="663"/>
      <c r="G65" s="706"/>
      <c r="H65" s="663"/>
      <c r="I65" s="663"/>
      <c r="J65" s="663"/>
      <c r="K65" s="663"/>
      <c r="L65" s="663"/>
      <c r="M65" s="663"/>
      <c r="N65" s="663"/>
      <c r="O65" s="663"/>
      <c r="P65" s="663"/>
      <c r="Q65" s="663"/>
      <c r="R65" s="663"/>
      <c r="S65" s="663"/>
      <c r="T65" s="663"/>
      <c r="U65" s="663"/>
      <c r="V65" s="663"/>
      <c r="W65" s="663"/>
      <c r="X65" s="663"/>
      <c r="Y65" s="663"/>
      <c r="Z65" s="663"/>
      <c r="AA65" s="663"/>
      <c r="AB65" s="663"/>
      <c r="AC65" s="663"/>
      <c r="AD65" s="580">
        <f t="shared" si="4"/>
        <v>0</v>
      </c>
      <c r="AE65" s="570">
        <f t="shared" si="5"/>
        <v>0</v>
      </c>
      <c r="AF65" s="525" t="str">
        <f t="shared" si="8"/>
        <v>sell</v>
      </c>
    </row>
    <row r="66" spans="1:32" s="360" customFormat="1" ht="12.75" customHeight="1" x14ac:dyDescent="0.25">
      <c r="A66" s="652"/>
      <c r="B66" s="653"/>
      <c r="C66" s="653"/>
      <c r="D66" s="654"/>
      <c r="E66" s="654" t="s">
        <v>15</v>
      </c>
      <c r="F66" s="705"/>
      <c r="G66" s="706"/>
      <c r="H66" s="663"/>
      <c r="I66" s="663"/>
      <c r="J66" s="663"/>
      <c r="K66" s="663"/>
      <c r="L66" s="663"/>
      <c r="M66" s="663"/>
      <c r="N66" s="663"/>
      <c r="O66" s="663"/>
      <c r="P66" s="663"/>
      <c r="Q66" s="663"/>
      <c r="R66" s="663"/>
      <c r="S66" s="663"/>
      <c r="T66" s="663"/>
      <c r="U66" s="663"/>
      <c r="V66" s="663"/>
      <c r="W66" s="663"/>
      <c r="X66" s="663"/>
      <c r="Y66" s="663"/>
      <c r="Z66" s="663"/>
      <c r="AA66" s="663"/>
      <c r="AB66" s="663"/>
      <c r="AC66" s="705"/>
      <c r="AD66" s="580">
        <f>SUM(F66:AC66)</f>
        <v>0</v>
      </c>
      <c r="AE66" s="570">
        <f t="shared" si="5"/>
        <v>0</v>
      </c>
      <c r="AF66" s="525" t="str">
        <f t="shared" ref="AF66:AF71" si="9">IF(AD66&lt;0,"buy","sell")</f>
        <v>sell</v>
      </c>
    </row>
    <row r="67" spans="1:32" s="360" customFormat="1" ht="12.75" customHeight="1" x14ac:dyDescent="0.25">
      <c r="A67" s="622" t="s">
        <v>66</v>
      </c>
      <c r="B67" s="655" t="s">
        <v>241</v>
      </c>
      <c r="C67" s="655" t="s">
        <v>152</v>
      </c>
      <c r="D67" s="475">
        <v>140</v>
      </c>
      <c r="E67" s="656"/>
      <c r="F67" s="705">
        <v>25</v>
      </c>
      <c r="G67" s="664">
        <v>25</v>
      </c>
      <c r="H67" s="664">
        <v>25</v>
      </c>
      <c r="I67" s="664">
        <v>25</v>
      </c>
      <c r="J67" s="664">
        <v>25</v>
      </c>
      <c r="K67" s="664">
        <v>25</v>
      </c>
      <c r="L67" s="664"/>
      <c r="M67" s="664"/>
      <c r="N67" s="664"/>
      <c r="O67" s="664"/>
      <c r="P67" s="664"/>
      <c r="Q67" s="664"/>
      <c r="R67" s="664"/>
      <c r="S67" s="664"/>
      <c r="T67" s="664"/>
      <c r="U67" s="664"/>
      <c r="V67" s="664"/>
      <c r="W67" s="664"/>
      <c r="X67" s="664"/>
      <c r="Y67" s="664"/>
      <c r="Z67" s="664"/>
      <c r="AA67" s="664"/>
      <c r="AB67" s="664">
        <v>25</v>
      </c>
      <c r="AC67" s="715">
        <v>25</v>
      </c>
      <c r="AD67" s="580">
        <f t="shared" ref="AD67:AD86" si="10">SUM(E67:AC67)</f>
        <v>200</v>
      </c>
      <c r="AE67" s="570">
        <f>AD67*D67</f>
        <v>28000</v>
      </c>
      <c r="AF67" s="525" t="str">
        <f>IF(AD67&lt;0,"buy","sell")</f>
        <v>sell</v>
      </c>
    </row>
    <row r="68" spans="1:32" s="360" customFormat="1" ht="12.75" customHeight="1" x14ac:dyDescent="0.25">
      <c r="A68" s="622" t="s">
        <v>369</v>
      </c>
      <c r="B68" s="655" t="s">
        <v>241</v>
      </c>
      <c r="C68" s="655" t="s">
        <v>280</v>
      </c>
      <c r="D68" s="475">
        <v>135</v>
      </c>
      <c r="E68" s="656"/>
      <c r="F68" s="705">
        <v>25</v>
      </c>
      <c r="G68" s="664">
        <v>25</v>
      </c>
      <c r="H68" s="664">
        <v>25</v>
      </c>
      <c r="I68" s="664">
        <v>25</v>
      </c>
      <c r="J68" s="664">
        <v>25</v>
      </c>
      <c r="K68" s="664">
        <v>25</v>
      </c>
      <c r="L68" s="664"/>
      <c r="M68" s="664"/>
      <c r="N68" s="664"/>
      <c r="O68" s="664"/>
      <c r="P68" s="664"/>
      <c r="Q68" s="664"/>
      <c r="R68" s="664"/>
      <c r="S68" s="664"/>
      <c r="T68" s="664"/>
      <c r="U68" s="664"/>
      <c r="V68" s="664"/>
      <c r="W68" s="664"/>
      <c r="X68" s="664"/>
      <c r="Y68" s="664"/>
      <c r="Z68" s="664"/>
      <c r="AA68" s="664"/>
      <c r="AB68" s="664">
        <v>25</v>
      </c>
      <c r="AC68" s="715">
        <v>25</v>
      </c>
      <c r="AD68" s="580">
        <f t="shared" si="10"/>
        <v>200</v>
      </c>
      <c r="AE68" s="570">
        <f>AD68*D68</f>
        <v>27000</v>
      </c>
      <c r="AF68" s="525" t="str">
        <f>IF(AD68&lt;0,"buy","sell")</f>
        <v>sell</v>
      </c>
    </row>
    <row r="69" spans="1:32" s="360" customFormat="1" x14ac:dyDescent="0.25">
      <c r="A69" s="622"/>
      <c r="B69" s="655"/>
      <c r="C69" s="655"/>
      <c r="D69" s="475"/>
      <c r="E69" s="656"/>
      <c r="F69" s="663"/>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580">
        <f t="shared" si="10"/>
        <v>0</v>
      </c>
      <c r="AE69" s="570">
        <f t="shared" si="5"/>
        <v>0</v>
      </c>
      <c r="AF69" s="525" t="str">
        <f t="shared" si="9"/>
        <v>sell</v>
      </c>
    </row>
    <row r="70" spans="1:32" s="360" customFormat="1" x14ac:dyDescent="0.25">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ref="AE70:AE91" si="11">AD70*D70</f>
        <v>0</v>
      </c>
      <c r="AF70" s="525" t="str">
        <f t="shared" si="9"/>
        <v>sell</v>
      </c>
    </row>
    <row r="71" spans="1:32" s="360" customFormat="1" ht="14.25" customHeight="1" x14ac:dyDescent="0.25">
      <c r="A71" s="623"/>
      <c r="B71" s="564"/>
      <c r="C71" s="564"/>
      <c r="D71" s="565"/>
      <c r="E71" s="548"/>
      <c r="F71" s="662"/>
      <c r="G71" s="625"/>
      <c r="H71" s="625"/>
      <c r="I71" s="625"/>
      <c r="J71" s="625"/>
      <c r="K71" s="625"/>
      <c r="L71" s="625"/>
      <c r="M71" s="625"/>
      <c r="N71" s="625"/>
      <c r="O71" s="625"/>
      <c r="P71" s="625"/>
      <c r="Q71" s="625"/>
      <c r="R71" s="625"/>
      <c r="S71" s="625"/>
      <c r="T71" s="625"/>
      <c r="U71" s="625"/>
      <c r="V71" s="625"/>
      <c r="W71" s="625"/>
      <c r="X71" s="625"/>
      <c r="Y71" s="625"/>
      <c r="Z71" s="625"/>
      <c r="AA71" s="625"/>
      <c r="AB71" s="625"/>
      <c r="AC71" s="625"/>
      <c r="AD71" s="660">
        <f t="shared" si="10"/>
        <v>0</v>
      </c>
      <c r="AE71" s="570">
        <f t="shared" si="11"/>
        <v>0</v>
      </c>
      <c r="AF71" s="525" t="str">
        <f t="shared" si="9"/>
        <v>sell</v>
      </c>
    </row>
    <row r="72" spans="1:32" s="360" customFormat="1" ht="14.25" customHeight="1" x14ac:dyDescent="0.25">
      <c r="A72" s="623" t="s">
        <v>68</v>
      </c>
      <c r="B72" s="564" t="s">
        <v>366</v>
      </c>
      <c r="C72" s="564" t="s">
        <v>152</v>
      </c>
      <c r="D72" s="565">
        <v>90</v>
      </c>
      <c r="E72" s="548"/>
      <c r="F72" s="662">
        <v>50</v>
      </c>
      <c r="G72" s="662"/>
      <c r="H72" s="662"/>
      <c r="I72" s="662"/>
      <c r="J72" s="625"/>
      <c r="K72" s="625"/>
      <c r="L72" s="625"/>
      <c r="M72" s="625"/>
      <c r="N72" s="625"/>
      <c r="O72" s="625"/>
      <c r="P72" s="625"/>
      <c r="Q72" s="625"/>
      <c r="R72" s="625"/>
      <c r="S72" s="625"/>
      <c r="T72" s="625"/>
      <c r="U72" s="625"/>
      <c r="V72" s="625"/>
      <c r="W72" s="625"/>
      <c r="X72" s="625"/>
      <c r="Y72" s="625"/>
      <c r="Z72" s="625"/>
      <c r="AA72" s="625"/>
      <c r="AB72" s="625"/>
      <c r="AC72" s="625"/>
      <c r="AD72" s="660">
        <f t="shared" si="10"/>
        <v>50</v>
      </c>
      <c r="AE72" s="570">
        <f t="shared" si="11"/>
        <v>4500</v>
      </c>
      <c r="AF72" s="525" t="str">
        <f t="shared" ref="AF72:AF91" si="12">IF(AD72&lt;0,"buy","sell")</f>
        <v>sell</v>
      </c>
    </row>
    <row r="73" spans="1:32" s="360" customFormat="1" ht="14.25" customHeight="1" x14ac:dyDescent="0.25">
      <c r="A73" s="623" t="s">
        <v>68</v>
      </c>
      <c r="B73" s="564" t="s">
        <v>366</v>
      </c>
      <c r="C73" s="564" t="s">
        <v>152</v>
      </c>
      <c r="D73" s="565">
        <v>90</v>
      </c>
      <c r="E73" s="548"/>
      <c r="F73" s="662"/>
      <c r="G73" s="625">
        <v>50</v>
      </c>
      <c r="H73" s="625">
        <v>50</v>
      </c>
      <c r="I73" s="625">
        <v>50</v>
      </c>
      <c r="J73" s="625"/>
      <c r="K73" s="625"/>
      <c r="L73" s="625"/>
      <c r="M73" s="625"/>
      <c r="N73" s="625"/>
      <c r="O73" s="625"/>
      <c r="P73" s="625"/>
      <c r="Q73" s="625"/>
      <c r="R73" s="625"/>
      <c r="S73" s="625"/>
      <c r="T73" s="625"/>
      <c r="U73" s="625"/>
      <c r="V73" s="625"/>
      <c r="W73" s="625"/>
      <c r="X73" s="625"/>
      <c r="Y73" s="625"/>
      <c r="Z73" s="625"/>
      <c r="AA73" s="625"/>
      <c r="AB73" s="625"/>
      <c r="AC73" s="625"/>
      <c r="AD73" s="660">
        <f t="shared" si="10"/>
        <v>150</v>
      </c>
      <c r="AE73" s="570">
        <f t="shared" si="11"/>
        <v>13500</v>
      </c>
      <c r="AF73" s="525" t="str">
        <f t="shared" si="12"/>
        <v>sell</v>
      </c>
    </row>
    <row r="74" spans="1:32" s="360" customFormat="1" ht="14.25" customHeight="1" x14ac:dyDescent="0.25">
      <c r="A74" s="623" t="s">
        <v>68</v>
      </c>
      <c r="B74" s="564" t="s">
        <v>366</v>
      </c>
      <c r="C74" s="564" t="s">
        <v>152</v>
      </c>
      <c r="D74" s="565">
        <v>65</v>
      </c>
      <c r="E74" s="548"/>
      <c r="F74" s="662"/>
      <c r="G74" s="625"/>
      <c r="H74" s="625"/>
      <c r="I74" s="625"/>
      <c r="J74" s="625"/>
      <c r="K74" s="625"/>
      <c r="L74" s="625"/>
      <c r="M74" s="625"/>
      <c r="N74" s="625"/>
      <c r="O74" s="625"/>
      <c r="P74" s="625"/>
      <c r="Q74" s="625"/>
      <c r="R74" s="625"/>
      <c r="S74" s="625"/>
      <c r="T74" s="625"/>
      <c r="U74" s="625"/>
      <c r="V74" s="625"/>
      <c r="W74" s="625"/>
      <c r="X74" s="625"/>
      <c r="Y74" s="625">
        <v>50</v>
      </c>
      <c r="Z74" s="625">
        <v>100</v>
      </c>
      <c r="AA74" s="625">
        <v>100</v>
      </c>
      <c r="AB74" s="625">
        <v>75</v>
      </c>
      <c r="AC74" s="625">
        <v>75</v>
      </c>
      <c r="AD74" s="660">
        <f>SUM(E74:AC74)</f>
        <v>400</v>
      </c>
      <c r="AE74" s="570">
        <f>AD74*D74</f>
        <v>26000</v>
      </c>
      <c r="AF74" s="525" t="str">
        <f>IF(AD74&lt;0,"buy","sell")</f>
        <v>sell</v>
      </c>
    </row>
    <row r="75" spans="1:32" s="360" customFormat="1" ht="14.25" customHeight="1" x14ac:dyDescent="0.25">
      <c r="A75" s="623" t="s">
        <v>67</v>
      </c>
      <c r="B75" s="564" t="s">
        <v>366</v>
      </c>
      <c r="C75" s="564" t="s">
        <v>280</v>
      </c>
      <c r="D75" s="565">
        <v>1</v>
      </c>
      <c r="E75" s="548"/>
      <c r="F75" s="662"/>
      <c r="G75" s="625"/>
      <c r="H75" s="625"/>
      <c r="I75" s="625"/>
      <c r="J75" s="625"/>
      <c r="K75" s="625">
        <v>50</v>
      </c>
      <c r="L75" s="625">
        <v>50</v>
      </c>
      <c r="M75" s="625"/>
      <c r="N75" s="625"/>
      <c r="O75" s="625"/>
      <c r="P75" s="625"/>
      <c r="Q75" s="625"/>
      <c r="R75" s="625"/>
      <c r="S75" s="625"/>
      <c r="T75" s="625"/>
      <c r="U75" s="625"/>
      <c r="V75" s="625"/>
      <c r="W75" s="625"/>
      <c r="X75" s="625"/>
      <c r="Y75" s="625"/>
      <c r="Z75" s="625"/>
      <c r="AA75" s="625"/>
      <c r="AB75" s="625"/>
      <c r="AC75" s="625"/>
      <c r="AD75" s="660">
        <f t="shared" si="10"/>
        <v>100</v>
      </c>
      <c r="AE75" s="570">
        <f t="shared" si="11"/>
        <v>100</v>
      </c>
      <c r="AF75" s="525" t="str">
        <f t="shared" si="12"/>
        <v>sell</v>
      </c>
    </row>
    <row r="76" spans="1:32" s="360" customFormat="1" ht="14.25" customHeight="1" x14ac:dyDescent="0.25">
      <c r="A76" s="623" t="s">
        <v>67</v>
      </c>
      <c r="B76" s="564" t="s">
        <v>366</v>
      </c>
      <c r="C76" s="564" t="s">
        <v>280</v>
      </c>
      <c r="D76" s="565">
        <v>75</v>
      </c>
      <c r="E76" s="548"/>
      <c r="F76" s="662"/>
      <c r="G76" s="625"/>
      <c r="H76" s="625"/>
      <c r="I76" s="625"/>
      <c r="J76" s="625"/>
      <c r="K76" s="625"/>
      <c r="L76" s="625"/>
      <c r="M76" s="625">
        <v>50</v>
      </c>
      <c r="N76" s="625">
        <v>50</v>
      </c>
      <c r="O76" s="625">
        <v>50</v>
      </c>
      <c r="P76" s="625">
        <v>50</v>
      </c>
      <c r="Q76" s="625">
        <v>25</v>
      </c>
      <c r="R76" s="625"/>
      <c r="S76" s="625"/>
      <c r="T76" s="625"/>
      <c r="U76" s="625"/>
      <c r="V76" s="625"/>
      <c r="W76" s="625"/>
      <c r="X76" s="625"/>
      <c r="Y76" s="625"/>
      <c r="Z76" s="625"/>
      <c r="AA76" s="625"/>
      <c r="AB76" s="625"/>
      <c r="AC76" s="625"/>
      <c r="AD76" s="660">
        <f t="shared" si="10"/>
        <v>225</v>
      </c>
      <c r="AE76" s="570">
        <f t="shared" si="11"/>
        <v>16875</v>
      </c>
      <c r="AF76" s="525" t="str">
        <f>IF(AD76&lt;0,"buy","sell")</f>
        <v>sell</v>
      </c>
    </row>
    <row r="77" spans="1:32" s="360" customFormat="1" ht="14.25" customHeight="1" x14ac:dyDescent="0.25">
      <c r="A77" s="623" t="s">
        <v>67</v>
      </c>
      <c r="B77" s="564" t="s">
        <v>366</v>
      </c>
      <c r="C77" s="564" t="s">
        <v>280</v>
      </c>
      <c r="D77" s="565">
        <v>90</v>
      </c>
      <c r="E77" s="548"/>
      <c r="F77" s="662"/>
      <c r="G77" s="625"/>
      <c r="H77" s="625"/>
      <c r="I77" s="625"/>
      <c r="J77" s="625"/>
      <c r="K77" s="625"/>
      <c r="L77" s="625"/>
      <c r="M77" s="625"/>
      <c r="N77" s="625"/>
      <c r="O77" s="625"/>
      <c r="P77" s="625"/>
      <c r="Q77" s="625"/>
      <c r="R77" s="625"/>
      <c r="S77" s="625"/>
      <c r="T77" s="625"/>
      <c r="U77" s="625"/>
      <c r="V77" s="625"/>
      <c r="W77" s="625">
        <v>50</v>
      </c>
      <c r="X77" s="625">
        <v>50</v>
      </c>
      <c r="Y77" s="625">
        <v>50</v>
      </c>
      <c r="Z77" s="625">
        <v>50</v>
      </c>
      <c r="AA77" s="625">
        <v>50</v>
      </c>
      <c r="AB77" s="625">
        <v>50</v>
      </c>
      <c r="AC77" s="625"/>
      <c r="AD77" s="660">
        <f t="shared" si="10"/>
        <v>300</v>
      </c>
      <c r="AE77" s="570">
        <f t="shared" si="11"/>
        <v>27000</v>
      </c>
      <c r="AF77" s="525" t="str">
        <f>IF(AD77&lt;0,"buy","sell")</f>
        <v>sell</v>
      </c>
    </row>
    <row r="78" spans="1:32" s="360" customFormat="1" ht="14.25" customHeight="1" x14ac:dyDescent="0.25">
      <c r="A78" s="623" t="s">
        <v>226</v>
      </c>
      <c r="B78" s="564" t="s">
        <v>366</v>
      </c>
      <c r="C78" s="564" t="s">
        <v>280</v>
      </c>
      <c r="D78" s="565">
        <v>5</v>
      </c>
      <c r="E78" s="548"/>
      <c r="F78" s="662"/>
      <c r="G78" s="625"/>
      <c r="H78" s="625"/>
      <c r="I78" s="625"/>
      <c r="J78" s="625"/>
      <c r="K78" s="625"/>
      <c r="L78" s="625">
        <v>50</v>
      </c>
      <c r="M78" s="625"/>
      <c r="N78" s="625"/>
      <c r="O78" s="625"/>
      <c r="P78" s="625"/>
      <c r="Q78" s="625"/>
      <c r="R78" s="625"/>
      <c r="S78" s="625"/>
      <c r="T78" s="625"/>
      <c r="U78" s="625"/>
      <c r="V78" s="625"/>
      <c r="W78" s="625"/>
      <c r="X78" s="625"/>
      <c r="Y78" s="625"/>
      <c r="Z78" s="625"/>
      <c r="AA78" s="625"/>
      <c r="AB78" s="625"/>
      <c r="AC78" s="625"/>
      <c r="AD78" s="660">
        <f t="shared" si="10"/>
        <v>50</v>
      </c>
      <c r="AE78" s="570">
        <f t="shared" si="11"/>
        <v>250</v>
      </c>
      <c r="AF78" s="525" t="str">
        <f t="shared" si="12"/>
        <v>sell</v>
      </c>
    </row>
    <row r="79" spans="1:32" s="360" customFormat="1" ht="14.25" customHeight="1" x14ac:dyDescent="0.25">
      <c r="A79" s="623" t="s">
        <v>226</v>
      </c>
      <c r="B79" s="564" t="s">
        <v>366</v>
      </c>
      <c r="C79" s="564" t="s">
        <v>280</v>
      </c>
      <c r="D79" s="565">
        <v>45</v>
      </c>
      <c r="E79" s="548"/>
      <c r="F79" s="662"/>
      <c r="G79" s="625"/>
      <c r="H79" s="625"/>
      <c r="I79" s="625"/>
      <c r="J79" s="625"/>
      <c r="K79" s="625"/>
      <c r="L79" s="625"/>
      <c r="M79" s="625">
        <v>50</v>
      </c>
      <c r="N79" s="625"/>
      <c r="O79" s="625"/>
      <c r="P79" s="625"/>
      <c r="Q79" s="625"/>
      <c r="R79" s="625"/>
      <c r="S79" s="625"/>
      <c r="T79" s="625"/>
      <c r="U79" s="625"/>
      <c r="V79" s="625"/>
      <c r="W79" s="625"/>
      <c r="X79" s="625"/>
      <c r="Y79" s="625"/>
      <c r="Z79" s="625"/>
      <c r="AA79" s="625"/>
      <c r="AB79" s="625"/>
      <c r="AC79" s="625"/>
      <c r="AD79" s="660">
        <f t="shared" si="10"/>
        <v>50</v>
      </c>
      <c r="AE79" s="570">
        <f t="shared" si="11"/>
        <v>2250</v>
      </c>
      <c r="AF79" s="525" t="str">
        <f t="shared" ref="AF79:AF84" si="13">IF(AD79&lt;0,"buy","sell")</f>
        <v>sell</v>
      </c>
    </row>
    <row r="80" spans="1:32" s="360" customFormat="1" ht="14.25" customHeight="1" x14ac:dyDescent="0.25">
      <c r="A80" s="623" t="s">
        <v>226</v>
      </c>
      <c r="B80" s="564" t="s">
        <v>366</v>
      </c>
      <c r="C80" s="564" t="s">
        <v>280</v>
      </c>
      <c r="D80" s="565">
        <v>75</v>
      </c>
      <c r="E80" s="548"/>
      <c r="F80" s="662"/>
      <c r="G80" s="625"/>
      <c r="H80" s="625"/>
      <c r="I80" s="625"/>
      <c r="J80" s="625"/>
      <c r="K80" s="625"/>
      <c r="L80" s="625"/>
      <c r="M80" s="625"/>
      <c r="N80" s="625">
        <v>100</v>
      </c>
      <c r="O80" s="625">
        <v>100</v>
      </c>
      <c r="P80" s="625">
        <v>50</v>
      </c>
      <c r="Q80" s="625">
        <v>25</v>
      </c>
      <c r="R80" s="625"/>
      <c r="S80" s="625"/>
      <c r="T80" s="625"/>
      <c r="U80" s="625"/>
      <c r="V80" s="625"/>
      <c r="W80" s="625"/>
      <c r="X80" s="625"/>
      <c r="Y80" s="625"/>
      <c r="Z80" s="625"/>
      <c r="AA80" s="625"/>
      <c r="AB80" s="625"/>
      <c r="AC80" s="625"/>
      <c r="AD80" s="660">
        <f t="shared" si="10"/>
        <v>275</v>
      </c>
      <c r="AE80" s="570">
        <f t="shared" si="11"/>
        <v>20625</v>
      </c>
      <c r="AF80" s="525" t="str">
        <f t="shared" si="13"/>
        <v>sell</v>
      </c>
    </row>
    <row r="81" spans="1:32" s="360" customFormat="1" ht="14.25" customHeight="1" x14ac:dyDescent="0.25">
      <c r="A81" s="623" t="s">
        <v>375</v>
      </c>
      <c r="B81" s="564" t="s">
        <v>370</v>
      </c>
      <c r="C81" s="564" t="s">
        <v>280</v>
      </c>
      <c r="D81" s="565">
        <v>80</v>
      </c>
      <c r="E81" s="548"/>
      <c r="F81" s="662"/>
      <c r="G81" s="625"/>
      <c r="H81" s="625"/>
      <c r="I81" s="625"/>
      <c r="J81" s="625"/>
      <c r="K81" s="625"/>
      <c r="L81" s="625"/>
      <c r="M81" s="625"/>
      <c r="N81" s="625"/>
      <c r="O81" s="625">
        <v>25</v>
      </c>
      <c r="P81" s="625">
        <v>25</v>
      </c>
      <c r="Q81" s="625">
        <v>50</v>
      </c>
      <c r="R81" s="625">
        <v>50</v>
      </c>
      <c r="S81" s="625">
        <v>43</v>
      </c>
      <c r="T81" s="625"/>
      <c r="U81" s="625"/>
      <c r="V81" s="625"/>
      <c r="W81" s="625"/>
      <c r="X81" s="625"/>
      <c r="Y81" s="625"/>
      <c r="Z81" s="625"/>
      <c r="AA81" s="625"/>
      <c r="AB81" s="625"/>
      <c r="AC81" s="625"/>
      <c r="AD81" s="660">
        <f t="shared" si="10"/>
        <v>193</v>
      </c>
      <c r="AE81" s="570">
        <f t="shared" si="11"/>
        <v>15440</v>
      </c>
      <c r="AF81" s="525" t="str">
        <f t="shared" si="13"/>
        <v>sell</v>
      </c>
    </row>
    <row r="82" spans="1:32" s="360" customFormat="1" ht="14.25" customHeight="1" x14ac:dyDescent="0.25">
      <c r="A82" s="623" t="s">
        <v>377</v>
      </c>
      <c r="B82" s="564" t="s">
        <v>370</v>
      </c>
      <c r="C82" s="564" t="s">
        <v>152</v>
      </c>
      <c r="D82" s="565">
        <v>80</v>
      </c>
      <c r="E82" s="548"/>
      <c r="F82" s="662"/>
      <c r="G82" s="625"/>
      <c r="H82" s="625"/>
      <c r="I82" s="625"/>
      <c r="J82" s="625"/>
      <c r="K82" s="625"/>
      <c r="L82" s="625"/>
      <c r="M82" s="625"/>
      <c r="N82" s="625"/>
      <c r="O82" s="625"/>
      <c r="P82" s="625"/>
      <c r="Q82" s="625"/>
      <c r="R82" s="625">
        <v>25</v>
      </c>
      <c r="S82" s="625">
        <v>25</v>
      </c>
      <c r="T82" s="625">
        <v>25</v>
      </c>
      <c r="U82" s="625">
        <v>25</v>
      </c>
      <c r="V82" s="625"/>
      <c r="W82" s="625"/>
      <c r="X82" s="625"/>
      <c r="Y82" s="625"/>
      <c r="Z82" s="625"/>
      <c r="AA82" s="625"/>
      <c r="AB82" s="625"/>
      <c r="AC82" s="625"/>
      <c r="AD82" s="660">
        <f t="shared" si="10"/>
        <v>100</v>
      </c>
      <c r="AE82" s="570">
        <f t="shared" si="11"/>
        <v>8000</v>
      </c>
      <c r="AF82" s="525" t="str">
        <f t="shared" si="13"/>
        <v>sell</v>
      </c>
    </row>
    <row r="83" spans="1:32" s="360" customFormat="1" ht="14.25" customHeight="1" x14ac:dyDescent="0.25">
      <c r="A83" s="623" t="s">
        <v>377</v>
      </c>
      <c r="B83" s="564" t="s">
        <v>370</v>
      </c>
      <c r="C83" s="564" t="s">
        <v>152</v>
      </c>
      <c r="D83" s="565">
        <v>100</v>
      </c>
      <c r="E83" s="548"/>
      <c r="F83" s="662"/>
      <c r="G83" s="625"/>
      <c r="H83" s="625"/>
      <c r="I83" s="625"/>
      <c r="J83" s="625"/>
      <c r="K83" s="625"/>
      <c r="L83" s="625"/>
      <c r="M83" s="625"/>
      <c r="N83" s="625"/>
      <c r="O83" s="625"/>
      <c r="P83" s="625"/>
      <c r="Q83" s="625"/>
      <c r="R83" s="625"/>
      <c r="S83" s="625"/>
      <c r="T83" s="625"/>
      <c r="U83" s="625"/>
      <c r="V83" s="625">
        <v>25</v>
      </c>
      <c r="W83" s="625"/>
      <c r="X83" s="625"/>
      <c r="Y83" s="625"/>
      <c r="Z83" s="625"/>
      <c r="AA83" s="625"/>
      <c r="AB83" s="625"/>
      <c r="AC83" s="625"/>
      <c r="AD83" s="660">
        <f t="shared" si="10"/>
        <v>25</v>
      </c>
      <c r="AE83" s="570">
        <f t="shared" si="11"/>
        <v>2500</v>
      </c>
      <c r="AF83" s="525" t="str">
        <f t="shared" si="13"/>
        <v>sell</v>
      </c>
    </row>
    <row r="84" spans="1:32" s="360" customFormat="1" ht="14.25" customHeight="1" x14ac:dyDescent="0.25">
      <c r="A84" s="623" t="s">
        <v>375</v>
      </c>
      <c r="B84" s="564" t="s">
        <v>366</v>
      </c>
      <c r="C84" s="564" t="s">
        <v>280</v>
      </c>
      <c r="D84" s="565">
        <v>90</v>
      </c>
      <c r="E84" s="548"/>
      <c r="F84" s="662"/>
      <c r="G84" s="625"/>
      <c r="H84" s="625"/>
      <c r="I84" s="625"/>
      <c r="J84" s="625"/>
      <c r="K84" s="625"/>
      <c r="L84" s="625"/>
      <c r="M84" s="625"/>
      <c r="N84" s="625"/>
      <c r="O84" s="625"/>
      <c r="P84" s="625"/>
      <c r="Q84" s="625"/>
      <c r="R84" s="625"/>
      <c r="S84" s="625"/>
      <c r="T84" s="625"/>
      <c r="U84" s="625"/>
      <c r="V84" s="625"/>
      <c r="W84" s="625"/>
      <c r="X84" s="625"/>
      <c r="Y84" s="625"/>
      <c r="Z84" s="625"/>
      <c r="AA84" s="625">
        <v>25</v>
      </c>
      <c r="AB84" s="625">
        <v>28</v>
      </c>
      <c r="AC84" s="625"/>
      <c r="AD84" s="660">
        <f>SUM(E84:AC84)</f>
        <v>53</v>
      </c>
      <c r="AE84" s="570">
        <f>AD84*D84</f>
        <v>4770</v>
      </c>
      <c r="AF84" s="525" t="str">
        <f t="shared" si="13"/>
        <v>sell</v>
      </c>
    </row>
    <row r="85" spans="1:32" s="360" customFormat="1" ht="14.25" customHeight="1" x14ac:dyDescent="0.25">
      <c r="A85" s="623" t="s">
        <v>375</v>
      </c>
      <c r="B85" s="564" t="s">
        <v>366</v>
      </c>
      <c r="C85" s="564" t="s">
        <v>280</v>
      </c>
      <c r="D85" s="565">
        <v>65</v>
      </c>
      <c r="E85" s="548"/>
      <c r="F85" s="662"/>
      <c r="G85" s="625"/>
      <c r="H85" s="625"/>
      <c r="I85" s="625"/>
      <c r="J85" s="625"/>
      <c r="K85" s="625"/>
      <c r="L85" s="625"/>
      <c r="M85" s="625"/>
      <c r="N85" s="625"/>
      <c r="O85" s="625"/>
      <c r="P85" s="625"/>
      <c r="Q85" s="625"/>
      <c r="R85" s="625"/>
      <c r="S85" s="625"/>
      <c r="T85" s="625"/>
      <c r="U85" s="625"/>
      <c r="V85" s="625"/>
      <c r="W85" s="625"/>
      <c r="X85" s="625"/>
      <c r="Y85" s="625"/>
      <c r="Z85" s="625"/>
      <c r="AA85" s="625"/>
      <c r="AB85" s="625"/>
      <c r="AC85" s="625">
        <v>26</v>
      </c>
      <c r="AD85" s="660">
        <f>SUM(E85:AC85)</f>
        <v>26</v>
      </c>
      <c r="AE85" s="570">
        <f>AD85*D85</f>
        <v>1690</v>
      </c>
      <c r="AF85" s="525" t="str">
        <f>IF(AD85&lt;0,"buy","sell")</f>
        <v>sell</v>
      </c>
    </row>
    <row r="86" spans="1:32" s="360" customFormat="1" x14ac:dyDescent="0.25">
      <c r="A86" s="623"/>
      <c r="B86" s="564"/>
      <c r="C86" s="564"/>
      <c r="D86" s="565"/>
      <c r="E86" s="548"/>
      <c r="F86" s="662"/>
      <c r="G86" s="625"/>
      <c r="H86" s="625"/>
      <c r="I86" s="625"/>
      <c r="J86" s="625"/>
      <c r="K86" s="625"/>
      <c r="L86" s="625"/>
      <c r="M86" s="625"/>
      <c r="N86" s="665"/>
      <c r="O86" s="625"/>
      <c r="P86" s="625"/>
      <c r="Q86" s="625"/>
      <c r="R86" s="625"/>
      <c r="S86" s="625"/>
      <c r="T86" s="625"/>
      <c r="U86" s="566"/>
      <c r="V86" s="625"/>
      <c r="W86" s="625"/>
      <c r="X86" s="625"/>
      <c r="Y86" s="566"/>
      <c r="Z86" s="566"/>
      <c r="AA86" s="566"/>
      <c r="AB86" s="625"/>
      <c r="AC86" s="625"/>
      <c r="AD86" s="660">
        <f t="shared" si="10"/>
        <v>0</v>
      </c>
      <c r="AE86" s="570">
        <f t="shared" si="11"/>
        <v>0</v>
      </c>
      <c r="AF86" s="525" t="str">
        <f t="shared" si="12"/>
        <v>sell</v>
      </c>
    </row>
    <row r="87" spans="1:32" s="360" customFormat="1" ht="12" customHeight="1" x14ac:dyDescent="0.25">
      <c r="A87" s="652"/>
      <c r="B87" s="653"/>
      <c r="C87" s="653"/>
      <c r="D87" s="654"/>
      <c r="E87" s="657"/>
      <c r="F87" s="658"/>
      <c r="G87" s="657"/>
      <c r="H87" s="658"/>
      <c r="I87" s="658"/>
      <c r="J87" s="658"/>
      <c r="K87" s="658"/>
      <c r="L87" s="658"/>
      <c r="M87" s="658"/>
      <c r="N87" s="658"/>
      <c r="O87" s="658"/>
      <c r="P87" s="658"/>
      <c r="Q87" s="658"/>
      <c r="R87" s="658"/>
      <c r="S87" s="658"/>
      <c r="T87" s="658"/>
      <c r="U87" s="658"/>
      <c r="V87" s="658"/>
      <c r="W87" s="658"/>
      <c r="X87" s="658"/>
      <c r="Y87" s="658"/>
      <c r="Z87" s="658"/>
      <c r="AA87" s="658"/>
      <c r="AB87" s="658"/>
      <c r="AC87" s="658"/>
      <c r="AD87" s="580">
        <f t="shared" si="4"/>
        <v>0</v>
      </c>
      <c r="AE87" s="570">
        <f t="shared" si="11"/>
        <v>0</v>
      </c>
      <c r="AF87" s="525" t="str">
        <f t="shared" si="12"/>
        <v>sell</v>
      </c>
    </row>
    <row r="88" spans="1:32" s="360" customFormat="1" ht="12.75" customHeight="1" x14ac:dyDescent="0.25">
      <c r="A88" s="652"/>
      <c r="B88" s="653"/>
      <c r="C88" s="653"/>
      <c r="D88" s="654"/>
      <c r="E88" s="657"/>
      <c r="F88" s="658"/>
      <c r="G88" s="659"/>
      <c r="H88" s="658"/>
      <c r="I88" s="658"/>
      <c r="J88" s="658"/>
      <c r="K88" s="658"/>
      <c r="L88" s="658"/>
      <c r="M88" s="658"/>
      <c r="N88" s="658"/>
      <c r="O88" s="658"/>
      <c r="P88" s="658"/>
      <c r="Q88" s="658"/>
      <c r="R88" s="658"/>
      <c r="S88" s="658"/>
      <c r="T88" s="658"/>
      <c r="U88" s="658"/>
      <c r="V88" s="658"/>
      <c r="W88" s="658"/>
      <c r="X88" s="658"/>
      <c r="Y88" s="658"/>
      <c r="Z88" s="658"/>
      <c r="AA88" s="658"/>
      <c r="AB88" s="658"/>
      <c r="AC88" s="658"/>
      <c r="AD88" s="660">
        <f t="shared" si="4"/>
        <v>0</v>
      </c>
      <c r="AE88" s="570">
        <f t="shared" si="11"/>
        <v>0</v>
      </c>
      <c r="AF88" s="525" t="str">
        <f t="shared" si="12"/>
        <v>sell</v>
      </c>
    </row>
    <row r="89" spans="1:32" s="360" customFormat="1" x14ac:dyDescent="0.25">
      <c r="A89" s="623"/>
      <c r="B89" s="564"/>
      <c r="C89" s="564"/>
      <c r="D89" s="565"/>
      <c r="E89" s="548"/>
      <c r="F89" s="609"/>
      <c r="G89" s="566"/>
      <c r="H89" s="566"/>
      <c r="I89" s="566"/>
      <c r="J89" s="566"/>
      <c r="K89" s="566"/>
      <c r="L89" s="566"/>
      <c r="M89" s="566"/>
      <c r="N89" s="566"/>
      <c r="O89" s="566"/>
      <c r="P89" s="566"/>
      <c r="Q89" s="566"/>
      <c r="R89" s="566"/>
      <c r="S89" s="566"/>
      <c r="T89" s="566"/>
      <c r="U89" s="566"/>
      <c r="V89" s="566"/>
      <c r="W89" s="566"/>
      <c r="X89" s="566"/>
      <c r="Y89" s="566"/>
      <c r="Z89" s="566"/>
      <c r="AA89" s="566"/>
      <c r="AB89" s="566"/>
      <c r="AC89" s="566"/>
      <c r="AD89" s="660">
        <f>SUM(F89:AC89)</f>
        <v>0</v>
      </c>
      <c r="AE89" s="570">
        <f t="shared" si="11"/>
        <v>0</v>
      </c>
      <c r="AF89" s="525" t="str">
        <f t="shared" si="12"/>
        <v>sell</v>
      </c>
    </row>
    <row r="90" spans="1:32" s="360" customFormat="1" x14ac:dyDescent="0.25">
      <c r="A90" s="623" t="s">
        <v>373</v>
      </c>
      <c r="B90" s="564" t="s">
        <v>370</v>
      </c>
      <c r="C90" s="564" t="s">
        <v>152</v>
      </c>
      <c r="D90" s="565">
        <v>6</v>
      </c>
      <c r="E90" s="675"/>
      <c r="F90" s="676"/>
      <c r="G90" s="566"/>
      <c r="H90" s="566"/>
      <c r="I90" s="566"/>
      <c r="J90" s="566">
        <v>-100</v>
      </c>
      <c r="K90" s="566">
        <v>-100</v>
      </c>
      <c r="L90" s="566"/>
      <c r="M90" s="566"/>
      <c r="N90" s="566"/>
      <c r="O90" s="566"/>
      <c r="P90" s="566"/>
      <c r="Q90" s="566"/>
      <c r="R90" s="566"/>
      <c r="S90" s="566"/>
      <c r="T90" s="566"/>
      <c r="U90" s="566"/>
      <c r="V90" s="566"/>
      <c r="W90" s="566"/>
      <c r="X90" s="566"/>
      <c r="Y90" s="566"/>
      <c r="Z90" s="566"/>
      <c r="AA90" s="566"/>
      <c r="AB90" s="566"/>
      <c r="AC90" s="566"/>
      <c r="AD90" s="660">
        <f>SUM(E90:AC90)</f>
        <v>-200</v>
      </c>
      <c r="AE90" s="570">
        <f t="shared" si="11"/>
        <v>-1200</v>
      </c>
      <c r="AF90" s="525" t="str">
        <f t="shared" si="12"/>
        <v>buy</v>
      </c>
    </row>
    <row r="91" spans="1:32" s="360" customFormat="1" x14ac:dyDescent="0.25">
      <c r="A91" s="623" t="s">
        <v>374</v>
      </c>
      <c r="B91" s="564" t="s">
        <v>370</v>
      </c>
      <c r="C91" s="564" t="s">
        <v>152</v>
      </c>
      <c r="D91" s="565">
        <v>6</v>
      </c>
      <c r="E91" s="675"/>
      <c r="F91" s="676"/>
      <c r="G91" s="566"/>
      <c r="H91" s="566"/>
      <c r="I91" s="566"/>
      <c r="J91" s="566">
        <v>-25</v>
      </c>
      <c r="K91" s="566">
        <v>-25</v>
      </c>
      <c r="L91" s="566"/>
      <c r="M91" s="566"/>
      <c r="N91" s="566"/>
      <c r="O91" s="566"/>
      <c r="P91" s="566"/>
      <c r="Q91" s="566"/>
      <c r="R91" s="566"/>
      <c r="S91" s="566"/>
      <c r="T91" s="566"/>
      <c r="U91" s="566"/>
      <c r="V91" s="566"/>
      <c r="W91" s="566"/>
      <c r="X91" s="566"/>
      <c r="Y91" s="566"/>
      <c r="Z91" s="566"/>
      <c r="AA91" s="566"/>
      <c r="AB91" s="566"/>
      <c r="AC91" s="566"/>
      <c r="AD91" s="660">
        <f>SUM(E91:AC91)</f>
        <v>-50</v>
      </c>
      <c r="AE91" s="570">
        <f t="shared" si="11"/>
        <v>-300</v>
      </c>
      <c r="AF91" s="525" t="str">
        <f t="shared" si="12"/>
        <v>buy</v>
      </c>
    </row>
    <row r="92" spans="1:32" s="360" customFormat="1" x14ac:dyDescent="0.25">
      <c r="A92" s="623"/>
      <c r="B92" s="564"/>
      <c r="C92" s="564"/>
      <c r="D92" s="565"/>
      <c r="E92" s="675"/>
      <c r="F92" s="676"/>
      <c r="G92" s="566"/>
      <c r="H92" s="566"/>
      <c r="I92" s="566"/>
      <c r="J92" s="566"/>
      <c r="K92" s="566"/>
      <c r="L92" s="566"/>
      <c r="M92" s="566"/>
      <c r="N92" s="566"/>
      <c r="O92" s="566"/>
      <c r="P92" s="566"/>
      <c r="Q92" s="566"/>
      <c r="R92" s="566"/>
      <c r="S92" s="566"/>
      <c r="T92" s="566"/>
      <c r="U92" s="566"/>
      <c r="V92" s="566"/>
      <c r="W92" s="566"/>
      <c r="X92" s="566"/>
      <c r="Y92" s="566"/>
      <c r="Z92" s="566"/>
      <c r="AA92" s="566"/>
      <c r="AB92" s="566"/>
      <c r="AC92" s="566"/>
      <c r="AD92" s="660"/>
      <c r="AE92" s="570"/>
      <c r="AF92" s="525"/>
    </row>
    <row r="93" spans="1:32" s="360" customFormat="1" x14ac:dyDescent="0.25">
      <c r="A93" s="646"/>
      <c r="B93" s="647"/>
      <c r="C93" s="716"/>
      <c r="D93" s="539"/>
      <c r="E93" s="539"/>
      <c r="F93" s="540"/>
      <c r="G93" s="540"/>
      <c r="H93" s="540"/>
      <c r="I93" s="540"/>
      <c r="J93" s="540"/>
      <c r="K93" s="540"/>
      <c r="L93" s="540"/>
      <c r="M93" s="540"/>
      <c r="N93" s="540"/>
      <c r="O93" s="540"/>
      <c r="P93" s="540"/>
      <c r="Q93" s="540"/>
      <c r="R93" s="540"/>
      <c r="S93" s="540"/>
      <c r="T93" s="540"/>
      <c r="U93" s="540"/>
      <c r="V93" s="540"/>
      <c r="W93" s="540"/>
      <c r="X93" s="540"/>
      <c r="Y93" s="540"/>
      <c r="Z93" s="540"/>
      <c r="AA93" s="540"/>
      <c r="AB93" s="540"/>
      <c r="AC93" s="542"/>
      <c r="AD93" s="660"/>
      <c r="AE93" s="570"/>
      <c r="AF93" s="525"/>
    </row>
    <row r="94" spans="1:32" s="360" customFormat="1" x14ac:dyDescent="0.25">
      <c r="A94" s="646" t="s">
        <v>67</v>
      </c>
      <c r="B94" s="647" t="s">
        <v>366</v>
      </c>
      <c r="C94" s="716" t="s">
        <v>280</v>
      </c>
      <c r="D94" s="539">
        <v>10</v>
      </c>
      <c r="E94" s="539"/>
      <c r="F94" s="541"/>
      <c r="G94" s="541"/>
      <c r="H94" s="540"/>
      <c r="I94" s="540"/>
      <c r="J94" s="540"/>
      <c r="K94" s="540"/>
      <c r="L94" s="540"/>
      <c r="M94" s="540"/>
      <c r="N94" s="540"/>
      <c r="O94" s="540"/>
      <c r="P94" s="540"/>
      <c r="Q94" s="540"/>
      <c r="R94" s="540"/>
      <c r="S94" s="540"/>
      <c r="T94" s="540"/>
      <c r="U94" s="541"/>
      <c r="V94" s="540"/>
      <c r="W94" s="540"/>
      <c r="X94" s="540"/>
      <c r="Y94" s="540"/>
      <c r="Z94" s="540"/>
      <c r="AA94" s="540"/>
      <c r="AB94" s="540">
        <v>-25</v>
      </c>
      <c r="AC94" s="542"/>
      <c r="AD94" s="660">
        <f>SUM(E94:AC94)</f>
        <v>-25</v>
      </c>
      <c r="AE94" s="570">
        <f>AD94*D94</f>
        <v>-250</v>
      </c>
      <c r="AF94" s="525" t="str">
        <f>IF(AD94&lt;0,"buy","sell")</f>
        <v>buy</v>
      </c>
    </row>
    <row r="95" spans="1:32" s="360" customFormat="1" x14ac:dyDescent="0.25">
      <c r="A95" s="538"/>
      <c r="B95" s="547"/>
      <c r="C95" s="547"/>
      <c r="D95" s="539"/>
      <c r="E95" s="624"/>
      <c r="F95" s="541"/>
      <c r="G95" s="541"/>
      <c r="H95" s="540"/>
      <c r="I95" s="540"/>
      <c r="J95" s="540"/>
      <c r="K95" s="540"/>
      <c r="L95" s="540"/>
      <c r="M95" s="540"/>
      <c r="N95" s="540"/>
      <c r="O95" s="540"/>
      <c r="P95" s="540"/>
      <c r="Q95" s="540"/>
      <c r="R95" s="540"/>
      <c r="S95" s="540"/>
      <c r="T95" s="540"/>
      <c r="U95" s="543"/>
      <c r="V95" s="540"/>
      <c r="W95" s="540"/>
      <c r="X95" s="540"/>
      <c r="Y95" s="540"/>
      <c r="Z95" s="540"/>
      <c r="AA95" s="540"/>
      <c r="AB95" s="540"/>
      <c r="AC95" s="542"/>
      <c r="AD95" s="660"/>
      <c r="AE95" s="570"/>
      <c r="AF95" s="525"/>
    </row>
    <row r="96" spans="1:32" s="360" customFormat="1" x14ac:dyDescent="0.25">
      <c r="A96" s="545" t="s">
        <v>207</v>
      </c>
      <c r="B96" s="482"/>
      <c r="C96" s="482"/>
      <c r="D96" s="482"/>
      <c r="E96" s="482"/>
      <c r="F96" s="708"/>
      <c r="G96" s="482"/>
      <c r="H96" s="482"/>
      <c r="I96" s="482"/>
      <c r="J96" s="482"/>
      <c r="K96" s="482"/>
      <c r="L96" s="482"/>
      <c r="M96" s="482"/>
      <c r="N96" s="482"/>
      <c r="O96" s="482"/>
      <c r="P96" s="482"/>
      <c r="Q96" s="482"/>
      <c r="R96" s="482"/>
      <c r="S96" s="482"/>
      <c r="T96" s="482"/>
      <c r="U96" s="482"/>
      <c r="V96" s="482"/>
      <c r="W96" s="482"/>
      <c r="X96" s="482"/>
      <c r="Y96" s="482"/>
      <c r="Z96" s="482"/>
      <c r="AA96" s="482"/>
      <c r="AB96" s="482"/>
      <c r="AC96" s="482"/>
      <c r="AD96" s="482"/>
      <c r="AE96" s="482"/>
      <c r="AF96" s="482"/>
    </row>
    <row r="97" spans="1:33" x14ac:dyDescent="0.25">
      <c r="A97" s="360"/>
      <c r="B97" s="371"/>
      <c r="C97" s="371"/>
      <c r="D97" s="372"/>
      <c r="E97" s="372"/>
      <c r="F97" s="13"/>
      <c r="G97" s="373"/>
      <c r="H97" s="373"/>
      <c r="I97" s="373"/>
      <c r="J97" s="373"/>
      <c r="K97" s="373"/>
      <c r="L97" s="373"/>
      <c r="M97" s="679"/>
      <c r="N97" s="679"/>
      <c r="O97" s="679"/>
      <c r="P97" s="679"/>
      <c r="Q97" s="679"/>
      <c r="R97" s="679"/>
      <c r="S97" s="679"/>
      <c r="T97" s="679"/>
      <c r="U97" s="679"/>
      <c r="V97" s="679"/>
      <c r="W97" s="679"/>
      <c r="X97" s="679"/>
      <c r="Y97" s="679"/>
      <c r="Z97" s="679"/>
      <c r="AA97" s="679"/>
      <c r="AB97" s="679"/>
      <c r="AC97" s="685"/>
      <c r="AD97" s="467"/>
      <c r="AE97" s="468"/>
      <c r="AF97" s="453"/>
      <c r="AG97" s="360"/>
    </row>
    <row r="98" spans="1:33" s="360" customFormat="1" ht="17.399999999999999" x14ac:dyDescent="0.3">
      <c r="A98" s="439" t="s">
        <v>242</v>
      </c>
      <c r="B98" s="440"/>
      <c r="C98" s="532"/>
      <c r="D98" s="441"/>
      <c r="E98" s="441"/>
      <c r="F98" s="13"/>
      <c r="G98" s="443"/>
      <c r="H98" s="377"/>
      <c r="I98" s="377"/>
      <c r="J98" s="377"/>
      <c r="K98" s="378"/>
      <c r="L98" s="377"/>
      <c r="M98" s="680"/>
      <c r="N98" s="680"/>
      <c r="O98" s="680"/>
      <c r="P98" s="680"/>
      <c r="Q98" s="680"/>
      <c r="R98" s="680"/>
      <c r="S98" s="680" t="s">
        <v>15</v>
      </c>
      <c r="T98" s="680"/>
      <c r="U98" s="680"/>
      <c r="V98" s="680"/>
      <c r="W98" s="680"/>
      <c r="X98" s="680"/>
      <c r="Y98" s="680"/>
      <c r="Z98" s="686"/>
      <c r="AA98" s="686"/>
      <c r="AB98" s="686"/>
      <c r="AC98" s="687"/>
      <c r="AD98" s="467"/>
      <c r="AE98" s="468"/>
      <c r="AF98" s="379"/>
    </row>
    <row r="99" spans="1:33" s="360" customFormat="1" ht="18" thickBot="1" x14ac:dyDescent="0.35">
      <c r="A99" s="444"/>
      <c r="B99" s="445"/>
      <c r="C99" s="445"/>
      <c r="D99" s="441"/>
      <c r="E99" s="441"/>
      <c r="F99" s="709" t="s">
        <v>272</v>
      </c>
      <c r="G99" s="443"/>
      <c r="H99" s="377"/>
      <c r="I99" s="377"/>
      <c r="J99" s="377"/>
      <c r="K99" s="380"/>
      <c r="L99" s="380"/>
      <c r="M99" s="680"/>
      <c r="N99" s="680"/>
      <c r="O99" s="680"/>
      <c r="P99" s="680"/>
      <c r="Q99" s="680"/>
      <c r="R99" s="680"/>
      <c r="S99" s="680"/>
      <c r="T99" s="680"/>
      <c r="U99" s="680"/>
      <c r="V99" s="680"/>
      <c r="W99" s="680"/>
      <c r="X99" s="680"/>
      <c r="Y99" s="680"/>
      <c r="Z99" s="686"/>
      <c r="AA99" s="686"/>
      <c r="AB99" s="686"/>
      <c r="AC99" s="687"/>
      <c r="AD99" s="467"/>
      <c r="AE99" s="468"/>
      <c r="AF99" s="379"/>
    </row>
    <row r="100" spans="1:33" s="360" customFormat="1" ht="18" thickBot="1" x14ac:dyDescent="0.35">
      <c r="A100" s="446" t="s">
        <v>7</v>
      </c>
      <c r="B100" s="447"/>
      <c r="C100" s="447" t="s">
        <v>266</v>
      </c>
      <c r="D100" s="448" t="s">
        <v>9</v>
      </c>
      <c r="E100" s="447"/>
      <c r="F100" s="710" t="s">
        <v>320</v>
      </c>
      <c r="G100" s="450"/>
      <c r="H100" s="377"/>
      <c r="I100" s="377"/>
      <c r="J100" s="377"/>
      <c r="K100" s="380"/>
      <c r="L100" s="378"/>
      <c r="M100" s="680"/>
      <c r="N100" s="680"/>
      <c r="O100" s="680"/>
      <c r="P100" s="680"/>
      <c r="Q100" s="680"/>
      <c r="R100" s="680"/>
      <c r="S100" s="680"/>
      <c r="T100" s="680"/>
      <c r="U100" s="680"/>
      <c r="V100" s="680"/>
      <c r="W100" s="680"/>
      <c r="X100" s="680"/>
      <c r="Y100" s="680"/>
      <c r="Z100" s="410"/>
      <c r="AA100" s="686"/>
      <c r="AB100" s="686"/>
      <c r="AC100" s="687"/>
      <c r="AD100" s="467"/>
      <c r="AE100" s="468"/>
      <c r="AF100" s="379"/>
    </row>
    <row r="101" spans="1:33" s="360" customFormat="1" ht="17.399999999999999" x14ac:dyDescent="0.3">
      <c r="A101" s="451" t="s">
        <v>244</v>
      </c>
      <c r="B101" s="452" t="s">
        <v>245</v>
      </c>
      <c r="C101" s="452"/>
      <c r="D101" s="568"/>
      <c r="E101" s="452"/>
      <c r="F101" s="711">
        <f>D102-0.25</f>
        <v>-0.25</v>
      </c>
      <c r="G101" s="443" t="s">
        <v>321</v>
      </c>
      <c r="H101" s="377"/>
      <c r="I101" s="377"/>
      <c r="J101" s="377"/>
      <c r="K101" s="380"/>
      <c r="L101" s="378"/>
      <c r="M101" s="680"/>
      <c r="N101" s="680"/>
      <c r="O101" s="680"/>
      <c r="P101" s="680"/>
      <c r="Q101" s="680"/>
      <c r="R101" s="680"/>
      <c r="S101" s="680"/>
      <c r="T101" s="680"/>
      <c r="U101" s="680"/>
      <c r="V101" s="680"/>
      <c r="W101" s="680"/>
      <c r="X101" s="680"/>
      <c r="Y101" s="680"/>
      <c r="Z101" s="686" t="s">
        <v>208</v>
      </c>
      <c r="AA101" s="686"/>
      <c r="AB101" s="686"/>
      <c r="AC101" s="688"/>
      <c r="AD101" s="463"/>
      <c r="AE101" s="464"/>
      <c r="AF101" s="379"/>
    </row>
    <row r="102" spans="1:33" s="360" customFormat="1" x14ac:dyDescent="0.25">
      <c r="A102" s="445">
        <v>24</v>
      </c>
      <c r="B102" s="445">
        <v>1</v>
      </c>
      <c r="C102" s="453">
        <v>1</v>
      </c>
      <c r="D102" s="571"/>
      <c r="E102" s="527"/>
      <c r="F102" s="711">
        <f t="shared" ref="F102:F125" si="14">D103-0.25</f>
        <v>-0.25</v>
      </c>
      <c r="G102" s="546">
        <f>D102+0.56</f>
        <v>0.56000000000000005</v>
      </c>
      <c r="H102" s="377"/>
      <c r="I102" s="377"/>
      <c r="J102" s="377"/>
      <c r="K102" s="380"/>
      <c r="L102" s="377"/>
      <c r="M102" s="680"/>
      <c r="N102" s="680"/>
      <c r="O102" s="680"/>
      <c r="P102" s="680"/>
      <c r="Q102" s="680"/>
      <c r="R102" s="680"/>
      <c r="S102" s="680"/>
      <c r="T102" s="680"/>
      <c r="U102" s="680"/>
      <c r="V102" s="680"/>
      <c r="W102" s="680"/>
      <c r="X102" s="680"/>
      <c r="Y102" s="680"/>
      <c r="Z102" s="686"/>
      <c r="AA102" s="680"/>
      <c r="AB102" s="680"/>
      <c r="AC102" s="688"/>
      <c r="AD102" s="410"/>
      <c r="AE102" s="410"/>
      <c r="AF102" s="528"/>
    </row>
    <row r="103" spans="1:33" s="360" customFormat="1" x14ac:dyDescent="0.25">
      <c r="A103" s="443">
        <v>1</v>
      </c>
      <c r="B103" s="443">
        <v>2</v>
      </c>
      <c r="C103" s="453">
        <v>1</v>
      </c>
      <c r="D103" s="571"/>
      <c r="E103" s="486"/>
      <c r="F103" s="711">
        <f t="shared" si="14"/>
        <v>-0.25</v>
      </c>
      <c r="G103" s="546">
        <f t="shared" ref="G103:G126" si="15">D103+0.56</f>
        <v>0.56000000000000005</v>
      </c>
      <c r="H103" s="377"/>
      <c r="I103" s="377"/>
      <c r="J103" s="377"/>
      <c r="K103" s="380"/>
      <c r="L103" s="377"/>
      <c r="M103" s="680"/>
      <c r="N103" s="680"/>
      <c r="O103" s="680"/>
      <c r="P103" s="680"/>
      <c r="Q103" s="680"/>
      <c r="R103" s="680"/>
      <c r="S103" s="680"/>
      <c r="T103" s="680"/>
      <c r="U103" s="680"/>
      <c r="V103" s="680"/>
      <c r="W103" s="680"/>
      <c r="X103" s="680"/>
      <c r="Y103" s="680"/>
      <c r="Z103" s="680" t="s">
        <v>267</v>
      </c>
      <c r="AA103" s="680"/>
      <c r="AB103" s="680"/>
      <c r="AC103" s="688"/>
      <c r="AD103" s="477">
        <f>SUM(AD16:AD87)</f>
        <v>2397</v>
      </c>
      <c r="AE103" s="477">
        <f>SUM(AE16:AE87)</f>
        <v>198500</v>
      </c>
      <c r="AF103" s="528"/>
    </row>
    <row r="104" spans="1:33" s="360" customFormat="1" x14ac:dyDescent="0.25">
      <c r="A104" s="445">
        <v>2</v>
      </c>
      <c r="B104" s="445">
        <v>3</v>
      </c>
      <c r="C104" s="453">
        <v>1</v>
      </c>
      <c r="D104" s="571"/>
      <c r="E104" s="486"/>
      <c r="F104" s="711">
        <f t="shared" si="14"/>
        <v>-0.25</v>
      </c>
      <c r="G104" s="546">
        <f t="shared" si="15"/>
        <v>0.56000000000000005</v>
      </c>
      <c r="H104" s="377"/>
      <c r="I104" s="377"/>
      <c r="J104" s="377"/>
      <c r="K104" s="380"/>
      <c r="L104" s="377"/>
      <c r="M104" s="680"/>
      <c r="N104" s="680"/>
      <c r="O104" s="680"/>
      <c r="P104" s="680"/>
      <c r="Q104" s="680"/>
      <c r="R104" s="680"/>
      <c r="S104" s="680"/>
      <c r="T104" s="680"/>
      <c r="U104" s="680"/>
      <c r="V104" s="680"/>
      <c r="W104" s="680"/>
      <c r="X104" s="680"/>
      <c r="Y104" s="680"/>
      <c r="Z104" s="680" t="s">
        <v>268</v>
      </c>
      <c r="AA104" s="680"/>
      <c r="AB104" s="680"/>
      <c r="AC104" s="689"/>
      <c r="AD104" s="471">
        <f>SUM(AD87:AD93)</f>
        <v>-250</v>
      </c>
      <c r="AE104" s="471">
        <f>SUM(AE87:AE93)</f>
        <v>-1500</v>
      </c>
      <c r="AF104" s="528"/>
    </row>
    <row r="105" spans="1:33" s="360" customFormat="1" x14ac:dyDescent="0.25">
      <c r="A105" s="443">
        <v>3</v>
      </c>
      <c r="B105" s="443">
        <v>4</v>
      </c>
      <c r="C105" s="453">
        <v>1</v>
      </c>
      <c r="D105" s="571"/>
      <c r="E105" s="486"/>
      <c r="F105" s="711">
        <f t="shared" si="14"/>
        <v>-0.25</v>
      </c>
      <c r="G105" s="546">
        <f t="shared" si="15"/>
        <v>0.56000000000000005</v>
      </c>
      <c r="H105" s="384"/>
      <c r="I105" s="384"/>
      <c r="J105" s="384"/>
      <c r="K105" s="385"/>
      <c r="L105" s="384"/>
      <c r="M105" s="680"/>
      <c r="N105" s="680"/>
      <c r="O105" s="680"/>
      <c r="P105" s="680"/>
      <c r="Q105" s="680"/>
      <c r="R105" s="680"/>
      <c r="S105" s="680"/>
      <c r="T105" s="680"/>
      <c r="U105" s="680"/>
      <c r="V105" s="680"/>
      <c r="W105" s="680"/>
      <c r="X105" s="680"/>
      <c r="Y105" s="680"/>
      <c r="Z105" s="690"/>
      <c r="AA105" s="690"/>
      <c r="AB105" s="690"/>
      <c r="AC105" s="691"/>
      <c r="AF105" s="391"/>
    </row>
    <row r="106" spans="1:33" s="410" customFormat="1" x14ac:dyDescent="0.25">
      <c r="A106" s="445">
        <v>4</v>
      </c>
      <c r="B106" s="445">
        <v>5</v>
      </c>
      <c r="C106" s="453">
        <v>1</v>
      </c>
      <c r="D106" s="571"/>
      <c r="E106" s="486"/>
      <c r="F106" s="711">
        <f t="shared" si="14"/>
        <v>-0.25</v>
      </c>
      <c r="G106" s="546">
        <f t="shared" si="15"/>
        <v>0.56000000000000005</v>
      </c>
      <c r="H106" s="384"/>
      <c r="I106" s="360"/>
      <c r="J106" s="360"/>
      <c r="K106" s="360"/>
      <c r="L106" s="360"/>
      <c r="O106" s="680"/>
      <c r="P106" s="680"/>
      <c r="Q106" s="680"/>
      <c r="R106" s="680"/>
      <c r="S106" s="680"/>
      <c r="T106" s="680"/>
      <c r="U106" s="680"/>
      <c r="V106" s="680"/>
      <c r="W106" s="680"/>
      <c r="X106" s="680"/>
      <c r="Y106" s="680"/>
      <c r="Z106" s="692" t="s">
        <v>281</v>
      </c>
      <c r="AA106" s="692"/>
      <c r="AB106" s="692"/>
      <c r="AC106" s="693"/>
      <c r="AD106" s="649"/>
      <c r="AE106" s="650"/>
      <c r="AG106" s="360"/>
    </row>
    <row r="107" spans="1:33" s="410" customFormat="1" x14ac:dyDescent="0.25">
      <c r="A107" s="443">
        <v>5</v>
      </c>
      <c r="B107" s="443">
        <v>6</v>
      </c>
      <c r="C107" s="453">
        <v>1</v>
      </c>
      <c r="D107" s="571"/>
      <c r="E107" s="486"/>
      <c r="F107" s="711">
        <f t="shared" si="14"/>
        <v>-0.25</v>
      </c>
      <c r="G107" s="546">
        <f t="shared" si="15"/>
        <v>0.56000000000000005</v>
      </c>
      <c r="H107" s="377"/>
      <c r="I107" s="360"/>
      <c r="J107" s="360"/>
      <c r="K107" s="360"/>
      <c r="L107" s="360"/>
      <c r="O107" s="680"/>
      <c r="P107" s="680"/>
      <c r="Q107" s="680"/>
      <c r="R107" s="680"/>
      <c r="S107" s="680"/>
      <c r="T107" s="680"/>
      <c r="U107" s="680"/>
      <c r="V107" s="680"/>
      <c r="W107" s="680"/>
      <c r="X107" s="680"/>
      <c r="Y107" s="680"/>
      <c r="Z107" s="692"/>
      <c r="AA107" s="692"/>
      <c r="AB107" s="692"/>
      <c r="AC107" s="693"/>
      <c r="AD107" s="649"/>
      <c r="AE107" s="650"/>
      <c r="AG107" s="377"/>
    </row>
    <row r="108" spans="1:33" s="410" customFormat="1" x14ac:dyDescent="0.25">
      <c r="A108" s="445">
        <v>6</v>
      </c>
      <c r="B108" s="445">
        <v>7</v>
      </c>
      <c r="C108" s="453">
        <v>1</v>
      </c>
      <c r="D108" s="571"/>
      <c r="E108" s="486"/>
      <c r="F108" s="711">
        <f t="shared" si="14"/>
        <v>-0.25</v>
      </c>
      <c r="G108" s="546">
        <f t="shared" si="15"/>
        <v>0.56000000000000005</v>
      </c>
      <c r="H108" s="389"/>
      <c r="I108" s="360"/>
      <c r="J108" s="360"/>
      <c r="K108" s="360"/>
      <c r="L108" s="360"/>
      <c r="O108" s="680"/>
      <c r="P108" s="680"/>
      <c r="Q108" s="680"/>
      <c r="R108" s="680"/>
      <c r="S108" s="680"/>
      <c r="T108" s="680"/>
      <c r="U108" s="680"/>
      <c r="V108" s="680"/>
      <c r="W108" s="680"/>
      <c r="X108" s="680"/>
      <c r="Y108" s="680"/>
      <c r="Z108" s="692" t="s">
        <v>268</v>
      </c>
      <c r="AA108" s="692"/>
      <c r="AB108" s="692"/>
      <c r="AC108" s="693"/>
      <c r="AD108" s="651">
        <f>SUM(AD93:AD95)</f>
        <v>-25</v>
      </c>
      <c r="AE108" s="651">
        <f>SUM(AE93:AE95)</f>
        <v>-250</v>
      </c>
      <c r="AG108" s="360"/>
    </row>
    <row r="109" spans="1:33" s="410" customFormat="1" x14ac:dyDescent="0.25">
      <c r="A109" s="443">
        <v>7</v>
      </c>
      <c r="B109" s="443">
        <v>8</v>
      </c>
      <c r="C109" s="453">
        <v>1</v>
      </c>
      <c r="D109" s="571"/>
      <c r="E109" s="486"/>
      <c r="F109" s="711">
        <f t="shared" si="14"/>
        <v>-0.25</v>
      </c>
      <c r="G109" s="546">
        <f t="shared" si="15"/>
        <v>0.56000000000000005</v>
      </c>
      <c r="H109" s="389"/>
      <c r="I109" s="360"/>
      <c r="J109" s="360"/>
      <c r="K109" s="360"/>
      <c r="L109" s="360"/>
      <c r="O109" s="680"/>
      <c r="P109" s="680"/>
      <c r="Q109" s="680"/>
      <c r="R109" s="680"/>
      <c r="S109" s="680"/>
      <c r="T109" s="680"/>
      <c r="U109" s="680"/>
      <c r="V109" s="680"/>
      <c r="W109" s="680"/>
      <c r="X109" s="680"/>
      <c r="Y109" s="680"/>
      <c r="AC109" s="474"/>
      <c r="AG109" s="360"/>
    </row>
    <row r="110" spans="1:33" s="410" customFormat="1" x14ac:dyDescent="0.25">
      <c r="A110" s="445">
        <v>8</v>
      </c>
      <c r="B110" s="445">
        <v>9</v>
      </c>
      <c r="C110" s="453">
        <v>1</v>
      </c>
      <c r="D110" s="571"/>
      <c r="E110" s="486"/>
      <c r="F110" s="711">
        <f t="shared" si="14"/>
        <v>-0.25</v>
      </c>
      <c r="G110" s="546">
        <f t="shared" si="15"/>
        <v>0.56000000000000005</v>
      </c>
      <c r="H110" s="377"/>
      <c r="I110" s="360"/>
      <c r="J110" s="360"/>
      <c r="K110" s="360"/>
      <c r="L110" s="360"/>
      <c r="O110" s="680"/>
      <c r="P110" s="680"/>
      <c r="Q110" s="680"/>
      <c r="R110" s="680"/>
      <c r="S110" s="680"/>
      <c r="T110" s="680"/>
      <c r="U110" s="680"/>
      <c r="V110" s="680"/>
      <c r="W110" s="680"/>
      <c r="X110" s="680"/>
      <c r="Y110" s="680"/>
      <c r="AC110" s="474"/>
      <c r="AG110" s="360"/>
    </row>
    <row r="111" spans="1:33" s="410" customFormat="1" x14ac:dyDescent="0.25">
      <c r="A111" s="443">
        <v>9</v>
      </c>
      <c r="B111" s="443">
        <v>10</v>
      </c>
      <c r="C111" s="453">
        <v>1</v>
      </c>
      <c r="D111" s="571"/>
      <c r="E111" s="486"/>
      <c r="F111" s="711">
        <f t="shared" si="14"/>
        <v>-0.25</v>
      </c>
      <c r="G111" s="546">
        <f t="shared" si="15"/>
        <v>0.56000000000000005</v>
      </c>
      <c r="H111" s="377"/>
      <c r="I111" s="360"/>
      <c r="J111" s="360"/>
      <c r="K111" s="360"/>
      <c r="L111" s="360"/>
      <c r="O111" s="680"/>
      <c r="P111" s="680"/>
      <c r="Q111" s="680"/>
      <c r="R111" s="680"/>
      <c r="S111" s="680"/>
      <c r="T111" s="680"/>
      <c r="U111" s="680"/>
      <c r="V111" s="680"/>
      <c r="W111" s="680"/>
      <c r="X111" s="680"/>
      <c r="Y111" s="680"/>
      <c r="AC111" s="474"/>
      <c r="AG111" s="360"/>
    </row>
    <row r="112" spans="1:33" s="410" customFormat="1" x14ac:dyDescent="0.25">
      <c r="A112" s="445">
        <v>10</v>
      </c>
      <c r="B112" s="445">
        <v>11</v>
      </c>
      <c r="C112" s="453">
        <v>1</v>
      </c>
      <c r="D112" s="571"/>
      <c r="E112" s="486"/>
      <c r="F112" s="711">
        <f t="shared" si="14"/>
        <v>-0.25</v>
      </c>
      <c r="G112" s="546">
        <f t="shared" si="15"/>
        <v>0.56000000000000005</v>
      </c>
      <c r="H112" s="390"/>
      <c r="I112" s="412"/>
      <c r="J112" s="412"/>
      <c r="K112" s="412"/>
      <c r="L112" s="412"/>
      <c r="O112" s="694"/>
      <c r="P112" s="694"/>
      <c r="Q112" s="694"/>
      <c r="R112" s="694"/>
      <c r="S112" s="694"/>
      <c r="T112" s="694"/>
      <c r="U112" s="694"/>
      <c r="V112" s="694"/>
      <c r="W112" s="694"/>
      <c r="X112" s="694"/>
      <c r="Y112" s="694"/>
      <c r="AC112" s="474"/>
      <c r="AG112" s="360"/>
    </row>
    <row r="113" spans="1:33" s="410" customFormat="1" x14ac:dyDescent="0.25">
      <c r="A113" s="443">
        <v>11</v>
      </c>
      <c r="B113" s="443">
        <v>12</v>
      </c>
      <c r="C113" s="453">
        <v>1</v>
      </c>
      <c r="D113" s="571"/>
      <c r="E113" s="486"/>
      <c r="F113" s="711">
        <f t="shared" si="14"/>
        <v>-0.25</v>
      </c>
      <c r="G113" s="546">
        <f t="shared" si="15"/>
        <v>0.56000000000000005</v>
      </c>
      <c r="H113" s="391"/>
      <c r="I113" s="360"/>
      <c r="J113" s="360"/>
      <c r="K113" s="360"/>
      <c r="L113" s="360"/>
      <c r="O113" s="690"/>
      <c r="P113" s="690"/>
      <c r="Q113" s="690"/>
      <c r="R113" s="690"/>
      <c r="S113" s="690"/>
      <c r="T113" s="690"/>
      <c r="U113" s="690"/>
      <c r="V113" s="690"/>
      <c r="W113" s="690"/>
      <c r="X113" s="690"/>
      <c r="Y113" s="690"/>
      <c r="AC113" s="474"/>
      <c r="AG113" s="360"/>
    </row>
    <row r="114" spans="1:33" s="410" customFormat="1" x14ac:dyDescent="0.25">
      <c r="A114" s="445">
        <v>12</v>
      </c>
      <c r="B114" s="445">
        <v>13</v>
      </c>
      <c r="C114" s="453">
        <v>1</v>
      </c>
      <c r="D114" s="571"/>
      <c r="E114" s="486"/>
      <c r="F114" s="711">
        <f t="shared" si="14"/>
        <v>-0.25</v>
      </c>
      <c r="G114" s="546">
        <f t="shared" si="15"/>
        <v>0.56000000000000005</v>
      </c>
      <c r="H114" s="391"/>
      <c r="I114" s="360"/>
      <c r="J114" s="360"/>
      <c r="K114" s="360"/>
      <c r="L114" s="360"/>
      <c r="O114" s="690"/>
      <c r="P114" s="690"/>
      <c r="Q114" s="690"/>
      <c r="R114" s="690"/>
      <c r="S114" s="690"/>
      <c r="T114" s="690"/>
      <c r="U114" s="690"/>
      <c r="V114" s="690"/>
      <c r="W114" s="690"/>
      <c r="X114" s="690"/>
      <c r="Y114" s="690"/>
      <c r="Z114" s="690"/>
      <c r="AA114" s="690"/>
      <c r="AB114" s="690"/>
      <c r="AC114" s="691"/>
      <c r="AG114" s="360"/>
    </row>
    <row r="115" spans="1:33" s="410" customFormat="1" x14ac:dyDescent="0.25">
      <c r="A115" s="443">
        <v>13</v>
      </c>
      <c r="B115" s="443">
        <v>14</v>
      </c>
      <c r="C115" s="453">
        <v>1</v>
      </c>
      <c r="D115" s="571"/>
      <c r="E115" s="486"/>
      <c r="F115" s="711">
        <f t="shared" si="14"/>
        <v>-0.25</v>
      </c>
      <c r="G115" s="546">
        <f t="shared" si="15"/>
        <v>0.56000000000000005</v>
      </c>
      <c r="H115" s="391"/>
      <c r="I115" s="360"/>
      <c r="J115" s="360"/>
      <c r="K115" s="360"/>
      <c r="L115" s="360"/>
      <c r="O115" s="690"/>
      <c r="P115" s="690"/>
      <c r="Q115" s="690"/>
      <c r="R115" s="690"/>
      <c r="S115" s="690"/>
      <c r="T115" s="690"/>
      <c r="U115" s="690"/>
      <c r="V115" s="690"/>
      <c r="W115" s="690"/>
      <c r="X115" s="690"/>
      <c r="Y115" s="690"/>
      <c r="Z115" s="690"/>
      <c r="AA115" s="690"/>
      <c r="AB115" s="690"/>
      <c r="AC115" s="691"/>
      <c r="AD115" s="467"/>
      <c r="AE115" s="468"/>
      <c r="AF115" s="469"/>
      <c r="AG115" s="360"/>
    </row>
    <row r="116" spans="1:33" s="410" customFormat="1" x14ac:dyDescent="0.25">
      <c r="A116" s="445">
        <v>14</v>
      </c>
      <c r="B116" s="445">
        <v>15</v>
      </c>
      <c r="C116" s="453">
        <v>1</v>
      </c>
      <c r="D116" s="571"/>
      <c r="E116" s="486"/>
      <c r="F116" s="711">
        <f t="shared" si="14"/>
        <v>-0.25</v>
      </c>
      <c r="G116" s="546">
        <f t="shared" si="15"/>
        <v>0.56000000000000005</v>
      </c>
      <c r="H116" s="391"/>
      <c r="I116" s="360"/>
      <c r="J116" s="360"/>
      <c r="K116" s="360"/>
      <c r="L116" s="360"/>
      <c r="O116" s="690"/>
      <c r="P116" s="690"/>
      <c r="Q116" s="690"/>
      <c r="R116" s="690"/>
      <c r="S116" s="690"/>
      <c r="T116" s="690"/>
      <c r="U116" s="690"/>
      <c r="V116" s="690"/>
      <c r="W116" s="690"/>
      <c r="X116" s="690"/>
      <c r="Y116" s="690"/>
      <c r="Z116" s="690"/>
      <c r="AA116" s="690"/>
      <c r="AB116" s="690"/>
      <c r="AC116" s="691"/>
      <c r="AD116" s="467"/>
      <c r="AE116" s="468"/>
      <c r="AF116" s="469"/>
    </row>
    <row r="117" spans="1:33" s="470" customFormat="1" ht="13.8" thickBot="1" x14ac:dyDescent="0.3">
      <c r="A117" s="443">
        <v>15</v>
      </c>
      <c r="B117" s="443">
        <v>16</v>
      </c>
      <c r="C117" s="453">
        <v>1</v>
      </c>
      <c r="D117" s="571"/>
      <c r="E117" s="486"/>
      <c r="F117" s="711">
        <f t="shared" si="14"/>
        <v>-0.25</v>
      </c>
      <c r="G117" s="546">
        <f t="shared" si="15"/>
        <v>0.56000000000000005</v>
      </c>
      <c r="H117" s="391"/>
      <c r="I117" s="360"/>
      <c r="J117" s="360"/>
      <c r="K117" s="360"/>
      <c r="L117" s="360"/>
      <c r="M117" s="410"/>
      <c r="N117" s="410"/>
      <c r="O117" s="690"/>
      <c r="P117" s="690"/>
      <c r="Q117" s="690"/>
      <c r="R117" s="690"/>
      <c r="S117" s="690"/>
      <c r="T117" s="690"/>
      <c r="U117" s="690"/>
      <c r="V117" s="690"/>
      <c r="W117" s="690"/>
      <c r="X117" s="690"/>
      <c r="Y117" s="690"/>
      <c r="Z117" s="690"/>
      <c r="AA117" s="690"/>
      <c r="AB117" s="690"/>
      <c r="AC117" s="691"/>
      <c r="AD117" s="467"/>
      <c r="AE117" s="468"/>
      <c r="AF117" s="469"/>
      <c r="AG117" s="410"/>
    </row>
    <row r="118" spans="1:33" s="410" customFormat="1" x14ac:dyDescent="0.25">
      <c r="A118" s="445">
        <v>16</v>
      </c>
      <c r="B118" s="445">
        <v>17</v>
      </c>
      <c r="C118" s="453">
        <v>1</v>
      </c>
      <c r="D118" s="571"/>
      <c r="E118" s="486"/>
      <c r="F118" s="711">
        <f t="shared" si="14"/>
        <v>-0.25</v>
      </c>
      <c r="G118" s="546">
        <f t="shared" si="15"/>
        <v>0.56000000000000005</v>
      </c>
      <c r="H118" s="391"/>
      <c r="I118" s="360"/>
      <c r="J118" s="360"/>
      <c r="K118" s="360"/>
      <c r="L118" s="360"/>
      <c r="O118" s="690"/>
      <c r="P118" s="690"/>
      <c r="Q118" s="690"/>
      <c r="R118" s="690"/>
      <c r="S118" s="690"/>
      <c r="T118" s="690"/>
      <c r="U118" s="690"/>
      <c r="V118" s="690"/>
      <c r="W118" s="690"/>
      <c r="X118" s="690"/>
      <c r="Y118" s="690"/>
      <c r="Z118" s="690"/>
      <c r="AA118" s="690"/>
      <c r="AB118" s="690"/>
      <c r="AC118" s="691"/>
      <c r="AD118" s="467"/>
      <c r="AE118" s="468"/>
      <c r="AF118" s="469"/>
    </row>
    <row r="119" spans="1:33" s="360" customFormat="1" x14ac:dyDescent="0.25">
      <c r="A119" s="443">
        <v>17</v>
      </c>
      <c r="B119" s="443">
        <v>18</v>
      </c>
      <c r="C119" s="453">
        <v>1</v>
      </c>
      <c r="D119" s="571"/>
      <c r="E119" s="486"/>
      <c r="F119" s="711">
        <f t="shared" si="14"/>
        <v>-0.25</v>
      </c>
      <c r="G119" s="546">
        <f t="shared" si="15"/>
        <v>0.56000000000000005</v>
      </c>
      <c r="H119" s="391"/>
      <c r="M119" s="410"/>
      <c r="N119" s="410"/>
      <c r="O119" s="690"/>
      <c r="P119" s="690"/>
      <c r="Q119" s="690"/>
      <c r="R119" s="690"/>
      <c r="S119" s="690"/>
      <c r="T119" s="690"/>
      <c r="U119" s="690"/>
      <c r="V119" s="690"/>
      <c r="W119" s="690"/>
      <c r="X119" s="690"/>
      <c r="Y119" s="690"/>
      <c r="Z119" s="690"/>
      <c r="AA119" s="690"/>
      <c r="AB119" s="690"/>
      <c r="AC119" s="691"/>
      <c r="AD119" s="467"/>
      <c r="AE119" s="529"/>
      <c r="AF119" s="410"/>
      <c r="AG119" s="410"/>
    </row>
    <row r="120" spans="1:33" s="360" customFormat="1" x14ac:dyDescent="0.25">
      <c r="A120" s="445">
        <v>18</v>
      </c>
      <c r="B120" s="445">
        <v>19</v>
      </c>
      <c r="C120" s="453">
        <v>1</v>
      </c>
      <c r="D120" s="571"/>
      <c r="E120" s="486"/>
      <c r="F120" s="711">
        <f t="shared" si="14"/>
        <v>-0.25</v>
      </c>
      <c r="G120" s="546">
        <f t="shared" si="15"/>
        <v>0.56000000000000005</v>
      </c>
      <c r="H120" s="394"/>
      <c r="M120" s="410"/>
      <c r="N120" s="410"/>
      <c r="O120" s="695"/>
      <c r="P120" s="695"/>
      <c r="Q120" s="695"/>
      <c r="R120" s="695"/>
      <c r="S120" s="695"/>
      <c r="T120" s="695"/>
      <c r="U120" s="695"/>
      <c r="V120" s="695"/>
      <c r="W120" s="695"/>
      <c r="X120" s="695"/>
      <c r="Y120" s="695"/>
      <c r="Z120" s="695"/>
      <c r="AA120" s="695"/>
      <c r="AB120" s="695"/>
      <c r="AC120" s="696"/>
      <c r="AD120" s="410"/>
      <c r="AE120" s="410"/>
      <c r="AF120" s="410"/>
      <c r="AG120" s="410"/>
    </row>
    <row r="121" spans="1:33" s="360" customFormat="1" x14ac:dyDescent="0.25">
      <c r="A121" s="443">
        <v>19</v>
      </c>
      <c r="B121" s="443">
        <v>20</v>
      </c>
      <c r="C121" s="453">
        <v>1</v>
      </c>
      <c r="D121" s="571"/>
      <c r="E121" s="486"/>
      <c r="F121" s="711">
        <f t="shared" si="14"/>
        <v>-0.25</v>
      </c>
      <c r="G121" s="546">
        <f t="shared" si="15"/>
        <v>0.56000000000000005</v>
      </c>
      <c r="H121" s="395"/>
      <c r="M121" s="410"/>
      <c r="N121" s="410"/>
      <c r="O121" s="697"/>
      <c r="P121" s="697"/>
      <c r="Q121" s="697"/>
      <c r="R121" s="697"/>
      <c r="S121" s="697"/>
      <c r="T121" s="697"/>
      <c r="U121" s="697"/>
      <c r="V121" s="697"/>
      <c r="W121" s="697"/>
      <c r="X121" s="697"/>
      <c r="Y121" s="697"/>
      <c r="Z121" s="697"/>
      <c r="AA121" s="697"/>
      <c r="AB121" s="697"/>
      <c r="AC121" s="698"/>
      <c r="AD121" s="530"/>
      <c r="AE121" s="471"/>
      <c r="AF121" s="410"/>
      <c r="AG121" s="410"/>
    </row>
    <row r="122" spans="1:33" s="410" customFormat="1" x14ac:dyDescent="0.25">
      <c r="A122" s="445">
        <v>20</v>
      </c>
      <c r="B122" s="445">
        <v>21</v>
      </c>
      <c r="C122" s="453">
        <v>1</v>
      </c>
      <c r="D122" s="571"/>
      <c r="E122" s="486"/>
      <c r="F122" s="711">
        <f t="shared" si="14"/>
        <v>-0.25</v>
      </c>
      <c r="G122" s="546">
        <f t="shared" si="15"/>
        <v>0.56000000000000005</v>
      </c>
      <c r="H122" s="395"/>
      <c r="I122" s="360"/>
      <c r="J122" s="360"/>
      <c r="K122" s="360"/>
      <c r="L122" s="360"/>
      <c r="O122" s="697"/>
      <c r="P122" s="697"/>
      <c r="Q122" s="697"/>
      <c r="R122" s="697"/>
      <c r="S122" s="697"/>
      <c r="T122" s="697"/>
      <c r="U122" s="697"/>
      <c r="V122" s="697"/>
      <c r="W122" s="697"/>
      <c r="X122" s="697"/>
      <c r="Y122" s="697"/>
      <c r="Z122" s="697"/>
      <c r="AA122" s="697"/>
      <c r="AB122" s="697"/>
      <c r="AC122" s="698"/>
      <c r="AD122" s="471"/>
      <c r="AE122" s="471"/>
    </row>
    <row r="123" spans="1:33" s="410" customFormat="1" x14ac:dyDescent="0.25">
      <c r="A123" s="443">
        <v>21</v>
      </c>
      <c r="B123" s="443">
        <v>22</v>
      </c>
      <c r="C123" s="453">
        <v>1</v>
      </c>
      <c r="D123" s="571"/>
      <c r="E123" s="486"/>
      <c r="F123" s="711">
        <f t="shared" si="14"/>
        <v>-0.25</v>
      </c>
      <c r="G123" s="546">
        <f t="shared" si="15"/>
        <v>0.56000000000000005</v>
      </c>
      <c r="H123" s="395"/>
      <c r="I123" s="360"/>
      <c r="J123" s="436"/>
      <c r="K123" s="360"/>
      <c r="L123" s="360"/>
      <c r="O123" s="697"/>
      <c r="P123" s="697"/>
      <c r="Q123" s="697"/>
      <c r="R123" s="697"/>
      <c r="S123" s="697"/>
      <c r="T123" s="697"/>
      <c r="U123" s="697"/>
      <c r="V123" s="697"/>
      <c r="W123" s="697"/>
      <c r="X123" s="697"/>
      <c r="Y123" s="697"/>
      <c r="Z123" s="697"/>
      <c r="AA123" s="697"/>
      <c r="AB123" s="697"/>
      <c r="AC123" s="698"/>
      <c r="AD123" s="360"/>
      <c r="AE123" s="360"/>
    </row>
    <row r="124" spans="1:33" s="410" customFormat="1" x14ac:dyDescent="0.25">
      <c r="A124" s="445">
        <v>22</v>
      </c>
      <c r="B124" s="445">
        <v>23</v>
      </c>
      <c r="C124" s="453">
        <v>1</v>
      </c>
      <c r="D124" s="571"/>
      <c r="E124" s="486"/>
      <c r="F124" s="711">
        <f t="shared" si="14"/>
        <v>-0.25</v>
      </c>
      <c r="G124" s="546">
        <f t="shared" si="15"/>
        <v>0.56000000000000005</v>
      </c>
      <c r="H124" s="395"/>
      <c r="I124" s="360"/>
      <c r="J124" s="360"/>
      <c r="K124" s="360"/>
      <c r="L124" s="360"/>
      <c r="O124" s="697"/>
      <c r="P124" s="697"/>
      <c r="Q124" s="697"/>
      <c r="R124" s="697"/>
      <c r="S124" s="697"/>
      <c r="T124" s="697"/>
      <c r="U124" s="697"/>
      <c r="V124" s="697"/>
      <c r="W124" s="697"/>
      <c r="X124" s="697"/>
      <c r="Y124" s="697"/>
      <c r="Z124" s="697"/>
      <c r="AA124" s="697"/>
      <c r="AB124" s="697"/>
      <c r="AC124" s="698"/>
      <c r="AD124" s="467"/>
      <c r="AE124" s="529"/>
      <c r="AF124" s="531"/>
    </row>
    <row r="125" spans="1:33" s="410" customFormat="1" x14ac:dyDescent="0.25">
      <c r="A125" s="445">
        <v>23</v>
      </c>
      <c r="B125" s="443">
        <v>24</v>
      </c>
      <c r="C125" s="453">
        <v>1</v>
      </c>
      <c r="D125" s="571"/>
      <c r="E125" s="527"/>
      <c r="F125" s="711">
        <f t="shared" si="14"/>
        <v>-0.25</v>
      </c>
      <c r="G125" s="546">
        <f t="shared" si="15"/>
        <v>0.56000000000000005</v>
      </c>
      <c r="H125" s="398"/>
      <c r="I125" s="360"/>
      <c r="J125" s="360"/>
      <c r="K125" s="360"/>
      <c r="L125" s="360"/>
      <c r="O125" s="699"/>
      <c r="P125" s="699"/>
      <c r="Q125" s="699"/>
      <c r="R125" s="699"/>
      <c r="S125" s="699"/>
      <c r="T125" s="699"/>
      <c r="U125" s="699"/>
      <c r="V125" s="699"/>
      <c r="W125" s="699"/>
      <c r="X125" s="699"/>
      <c r="Y125" s="699"/>
      <c r="Z125" s="697"/>
      <c r="AA125" s="697"/>
      <c r="AB125" s="697"/>
      <c r="AC125" s="698"/>
      <c r="AD125" s="467"/>
      <c r="AE125" s="529"/>
      <c r="AF125" s="531"/>
    </row>
    <row r="126" spans="1:33" s="410" customFormat="1" x14ac:dyDescent="0.25">
      <c r="A126" s="567">
        <v>24</v>
      </c>
      <c r="B126" s="445">
        <v>1</v>
      </c>
      <c r="C126" s="453">
        <v>1</v>
      </c>
      <c r="D126" s="573"/>
      <c r="E126" s="483"/>
      <c r="G126" s="546">
        <f t="shared" si="15"/>
        <v>0.56000000000000005</v>
      </c>
      <c r="H126" s="398"/>
      <c r="I126" s="360"/>
      <c r="J126" s="360"/>
      <c r="K126" s="360"/>
      <c r="L126" s="360"/>
      <c r="O126" s="699"/>
      <c r="P126" s="699"/>
      <c r="Q126" s="699"/>
      <c r="R126" s="699"/>
      <c r="S126" s="699"/>
      <c r="T126" s="699"/>
      <c r="U126" s="699"/>
      <c r="V126" s="699"/>
      <c r="W126" s="699"/>
      <c r="X126" s="699"/>
      <c r="Y126" s="699"/>
      <c r="Z126" s="697"/>
      <c r="AA126" s="697"/>
      <c r="AB126" s="697"/>
      <c r="AC126" s="698"/>
      <c r="AD126" s="471"/>
      <c r="AE126" s="471"/>
      <c r="AF126" s="531"/>
    </row>
    <row r="127" spans="1:33" s="410" customFormat="1" ht="13.8" thickBot="1" x14ac:dyDescent="0.3">
      <c r="A127" s="360"/>
      <c r="B127" s="360"/>
      <c r="C127" s="360"/>
      <c r="D127" s="571"/>
      <c r="E127" s="360"/>
      <c r="F127" s="13"/>
      <c r="G127" s="443"/>
      <c r="H127" s="398"/>
      <c r="I127" s="360"/>
      <c r="J127" s="360"/>
      <c r="K127" s="360"/>
      <c r="L127" s="360"/>
      <c r="O127" s="699"/>
      <c r="P127" s="699"/>
      <c r="Q127" s="699"/>
      <c r="R127" s="699"/>
      <c r="S127" s="699"/>
      <c r="T127" s="699"/>
      <c r="U127" s="699"/>
      <c r="V127" s="699"/>
      <c r="W127" s="699"/>
      <c r="X127" s="699"/>
      <c r="Y127" s="699"/>
      <c r="Z127" s="697"/>
      <c r="AA127" s="697"/>
      <c r="AB127" s="697"/>
      <c r="AC127" s="698"/>
      <c r="AF127" s="465"/>
      <c r="AG127" s="470"/>
    </row>
    <row r="128" spans="1:33" s="410" customFormat="1" ht="17.399999999999999" x14ac:dyDescent="0.3">
      <c r="A128" s="442"/>
      <c r="B128" s="455" t="s">
        <v>243</v>
      </c>
      <c r="C128" s="456"/>
      <c r="D128" s="574"/>
      <c r="E128" s="456"/>
      <c r="F128" s="712"/>
      <c r="G128" s="443"/>
      <c r="H128" s="443"/>
      <c r="I128" s="360"/>
      <c r="J128" s="360"/>
      <c r="K128" s="360"/>
      <c r="L128" s="360"/>
      <c r="O128" s="13"/>
      <c r="P128" s="13"/>
      <c r="Q128" s="13"/>
      <c r="R128" s="13"/>
      <c r="S128" s="13"/>
      <c r="T128" s="13"/>
      <c r="U128" s="13"/>
      <c r="V128" s="13"/>
      <c r="W128" s="13"/>
      <c r="X128" s="13"/>
      <c r="Y128" s="699"/>
      <c r="Z128" s="697"/>
      <c r="AA128" s="697"/>
      <c r="AB128" s="697"/>
      <c r="AC128" s="698"/>
      <c r="AF128" s="465"/>
    </row>
    <row r="129" spans="1:33" s="410" customFormat="1" ht="18" thickBot="1" x14ac:dyDescent="0.35">
      <c r="A129" s="443"/>
      <c r="B129" s="443"/>
      <c r="C129" s="443"/>
      <c r="D129" s="575"/>
      <c r="E129" s="443"/>
      <c r="F129" s="713" t="s">
        <v>272</v>
      </c>
      <c r="G129" s="443"/>
      <c r="H129" s="443"/>
      <c r="I129" s="360"/>
      <c r="J129" s="360"/>
      <c r="K129" s="360"/>
      <c r="L129" s="360"/>
      <c r="O129" s="13"/>
      <c r="P129" s="13"/>
      <c r="Q129" s="13"/>
      <c r="R129" s="13"/>
      <c r="S129" s="13"/>
      <c r="T129" s="13"/>
      <c r="U129" s="13"/>
      <c r="V129" s="13"/>
      <c r="W129" s="13"/>
      <c r="X129" s="13"/>
      <c r="Y129" s="699"/>
      <c r="Z129" s="697"/>
      <c r="AA129" s="697"/>
      <c r="AB129" s="697"/>
      <c r="AC129" s="698"/>
      <c r="AF129" s="360"/>
      <c r="AG129" s="360"/>
    </row>
    <row r="130" spans="1:33" s="410" customFormat="1" ht="18" thickBot="1" x14ac:dyDescent="0.35">
      <c r="A130" s="446" t="s">
        <v>7</v>
      </c>
      <c r="B130" s="447"/>
      <c r="C130" s="447" t="s">
        <v>266</v>
      </c>
      <c r="D130" s="572"/>
      <c r="E130" s="447"/>
      <c r="F130" s="714" t="s">
        <v>320</v>
      </c>
      <c r="G130" s="448"/>
      <c r="H130" s="443" t="s">
        <v>273</v>
      </c>
      <c r="I130" s="360"/>
      <c r="J130" s="360"/>
      <c r="K130" s="360"/>
      <c r="L130" s="360"/>
      <c r="O130" s="13"/>
      <c r="P130" s="13"/>
      <c r="Q130" s="13"/>
      <c r="R130" s="13"/>
      <c r="S130" s="13"/>
      <c r="T130" s="13"/>
      <c r="U130" s="13"/>
      <c r="V130" s="13"/>
      <c r="W130" s="13"/>
      <c r="X130" s="13"/>
      <c r="Y130" s="699"/>
      <c r="Z130" s="699"/>
      <c r="AA130" s="699"/>
      <c r="AB130" s="699"/>
      <c r="AC130" s="700"/>
      <c r="AF130" s="360"/>
      <c r="AG130" s="360"/>
    </row>
    <row r="131" spans="1:33" s="410" customFormat="1" ht="17.399999999999999" x14ac:dyDescent="0.3">
      <c r="A131" s="451" t="s">
        <v>244</v>
      </c>
      <c r="B131" s="452" t="s">
        <v>245</v>
      </c>
      <c r="C131" s="452"/>
      <c r="D131" s="576"/>
      <c r="E131" s="449"/>
      <c r="F131" s="711">
        <f t="shared" ref="F131:F155" si="16">D132-0.25</f>
        <v>-0.25</v>
      </c>
      <c r="G131" s="443" t="s">
        <v>321</v>
      </c>
      <c r="H131" s="457">
        <v>4.3999999999999997E-2</v>
      </c>
      <c r="I131" s="458" t="s">
        <v>275</v>
      </c>
      <c r="J131" s="360"/>
      <c r="K131" s="360"/>
      <c r="L131" s="360"/>
      <c r="M131" s="681" t="s">
        <v>276</v>
      </c>
      <c r="N131" s="701"/>
      <c r="O131" s="13"/>
      <c r="P131" s="13"/>
      <c r="Q131" s="13"/>
      <c r="R131" s="13"/>
      <c r="S131" s="13"/>
      <c r="T131" s="13"/>
      <c r="U131" s="13"/>
      <c r="V131" s="13"/>
      <c r="W131" s="13"/>
      <c r="X131" s="13"/>
      <c r="Y131" s="699"/>
      <c r="Z131" s="699"/>
      <c r="AA131" s="699"/>
      <c r="AB131" s="699"/>
      <c r="AC131" s="700"/>
      <c r="AF131" s="360"/>
      <c r="AG131" s="360"/>
    </row>
    <row r="132" spans="1:33" s="410" customFormat="1" x14ac:dyDescent="0.25">
      <c r="A132" s="445">
        <v>24</v>
      </c>
      <c r="B132" s="443">
        <v>1</v>
      </c>
      <c r="C132" s="453">
        <v>1</v>
      </c>
      <c r="D132" s="571"/>
      <c r="E132" s="527"/>
      <c r="F132" s="711">
        <f t="shared" si="16"/>
        <v>-0.25</v>
      </c>
      <c r="G132" s="546">
        <f>D132+0.56</f>
        <v>0.56000000000000005</v>
      </c>
      <c r="I132" s="459" t="s">
        <v>274</v>
      </c>
      <c r="J132" s="460"/>
      <c r="K132" s="360"/>
      <c r="L132" s="360"/>
      <c r="O132" s="13"/>
      <c r="P132" s="13"/>
      <c r="Q132" s="13"/>
      <c r="R132" s="13"/>
      <c r="S132" s="13"/>
      <c r="T132" s="13"/>
      <c r="U132" s="13"/>
      <c r="V132" s="13"/>
      <c r="W132" s="13"/>
      <c r="X132" s="13"/>
      <c r="Y132" s="699"/>
      <c r="Z132" s="699"/>
      <c r="AA132" s="702"/>
      <c r="AB132" s="699"/>
      <c r="AC132" s="700"/>
      <c r="AD132" s="360"/>
      <c r="AE132" s="360"/>
      <c r="AF132" s="360"/>
    </row>
    <row r="133" spans="1:33" s="410" customFormat="1" x14ac:dyDescent="0.25">
      <c r="A133" s="443">
        <v>1</v>
      </c>
      <c r="B133" s="443">
        <v>2</v>
      </c>
      <c r="C133" s="453">
        <v>1</v>
      </c>
      <c r="D133" s="577"/>
      <c r="E133" s="486"/>
      <c r="F133" s="711">
        <f t="shared" si="16"/>
        <v>-0.25</v>
      </c>
      <c r="G133" s="546">
        <f t="shared" ref="G133:G155" si="17">D133+0.56</f>
        <v>0.56000000000000005</v>
      </c>
      <c r="I133" s="459"/>
      <c r="J133" s="460"/>
      <c r="K133" s="360"/>
      <c r="L133" s="360"/>
      <c r="O133" s="13"/>
      <c r="P133" s="13"/>
      <c r="Q133" s="13"/>
      <c r="R133" s="13"/>
      <c r="S133" s="13"/>
      <c r="T133" s="13"/>
      <c r="U133" s="13"/>
      <c r="V133" s="13"/>
      <c r="W133" s="13"/>
      <c r="X133" s="13"/>
      <c r="Y133" s="699"/>
      <c r="Z133" s="699"/>
      <c r="AA133" s="702"/>
      <c r="AB133" s="699"/>
      <c r="AC133" s="700"/>
      <c r="AD133" s="411"/>
      <c r="AE133" s="360"/>
      <c r="AF133" s="360"/>
    </row>
    <row r="134" spans="1:33" s="410" customFormat="1" x14ac:dyDescent="0.25">
      <c r="A134" s="445">
        <v>2</v>
      </c>
      <c r="B134" s="443">
        <v>3</v>
      </c>
      <c r="C134" s="453">
        <v>1</v>
      </c>
      <c r="D134" s="573"/>
      <c r="E134" s="486"/>
      <c r="F134" s="711">
        <f t="shared" si="16"/>
        <v>-0.25</v>
      </c>
      <c r="G134" s="546">
        <f t="shared" si="17"/>
        <v>0.56000000000000005</v>
      </c>
      <c r="I134" s="459"/>
      <c r="J134" s="460"/>
      <c r="K134" s="383"/>
      <c r="L134" s="383"/>
      <c r="M134" s="682"/>
      <c r="N134" s="682"/>
      <c r="O134" s="13"/>
      <c r="P134" s="13"/>
      <c r="Q134" s="13"/>
      <c r="R134" s="13"/>
      <c r="S134" s="13"/>
      <c r="T134" s="13"/>
      <c r="U134" s="13"/>
      <c r="V134" s="13"/>
      <c r="W134" s="13"/>
      <c r="X134" s="13"/>
      <c r="Y134" s="699"/>
      <c r="Z134" s="699"/>
      <c r="AA134" s="702"/>
      <c r="AB134" s="699"/>
      <c r="AC134" s="700"/>
      <c r="AF134" s="360"/>
    </row>
    <row r="135" spans="1:33" s="410" customFormat="1" x14ac:dyDescent="0.25">
      <c r="A135" s="443">
        <v>3</v>
      </c>
      <c r="B135" s="443">
        <v>4</v>
      </c>
      <c r="C135" s="453">
        <v>1</v>
      </c>
      <c r="D135" s="573"/>
      <c r="E135" s="486"/>
      <c r="F135" s="711">
        <f t="shared" si="16"/>
        <v>-0.25</v>
      </c>
      <c r="G135" s="546">
        <f t="shared" si="17"/>
        <v>0.56000000000000005</v>
      </c>
      <c r="I135" s="461"/>
      <c r="J135" s="460"/>
      <c r="K135" s="443"/>
      <c r="L135" s="443"/>
      <c r="M135" s="13"/>
      <c r="N135" s="13"/>
      <c r="O135" s="13"/>
      <c r="P135" s="13"/>
      <c r="Q135" s="13"/>
      <c r="R135" s="13"/>
      <c r="S135" s="13"/>
      <c r="T135" s="13"/>
      <c r="U135" s="13"/>
      <c r="V135" s="13"/>
      <c r="W135" s="13"/>
      <c r="X135" s="13"/>
      <c r="Y135" s="699"/>
      <c r="Z135" s="699"/>
      <c r="AA135" s="702"/>
      <c r="AB135" s="699"/>
      <c r="AC135" s="700"/>
      <c r="AD135" s="437"/>
      <c r="AE135" s="438"/>
      <c r="AF135" s="360"/>
    </row>
    <row r="136" spans="1:33" s="410" customFormat="1" x14ac:dyDescent="0.25">
      <c r="A136" s="445">
        <v>4</v>
      </c>
      <c r="B136" s="443">
        <v>5</v>
      </c>
      <c r="C136" s="453">
        <v>1</v>
      </c>
      <c r="D136" s="573"/>
      <c r="E136" s="486"/>
      <c r="F136" s="711">
        <f t="shared" si="16"/>
        <v>-0.25</v>
      </c>
      <c r="G136" s="546">
        <f t="shared" si="17"/>
        <v>0.56000000000000005</v>
      </c>
      <c r="I136" s="461"/>
      <c r="J136" s="460"/>
      <c r="K136" s="443"/>
      <c r="L136" s="443"/>
      <c r="M136" s="13"/>
      <c r="N136" s="13"/>
      <c r="O136" s="13"/>
      <c r="P136" s="13"/>
      <c r="Q136" s="13"/>
      <c r="R136" s="13"/>
      <c r="S136" s="13"/>
      <c r="T136" s="13"/>
      <c r="U136" s="13"/>
      <c r="V136" s="13"/>
      <c r="W136" s="13"/>
      <c r="X136" s="13"/>
      <c r="Y136" s="699"/>
      <c r="Z136" s="699"/>
      <c r="AA136" s="702"/>
      <c r="AB136" s="699"/>
      <c r="AC136" s="700"/>
      <c r="AD136" s="411"/>
      <c r="AE136" s="360"/>
      <c r="AF136" s="360"/>
    </row>
    <row r="137" spans="1:33" s="410" customFormat="1" x14ac:dyDescent="0.25">
      <c r="A137" s="443">
        <v>5</v>
      </c>
      <c r="B137" s="443">
        <v>6</v>
      </c>
      <c r="C137" s="453">
        <v>1</v>
      </c>
      <c r="D137" s="573"/>
      <c r="E137" s="486"/>
      <c r="F137" s="711">
        <f t="shared" si="16"/>
        <v>-0.25</v>
      </c>
      <c r="G137" s="546">
        <f t="shared" si="17"/>
        <v>0.56000000000000005</v>
      </c>
      <c r="I137" s="461"/>
      <c r="J137" s="460"/>
      <c r="K137" s="443"/>
      <c r="L137" s="443"/>
      <c r="M137" s="13"/>
      <c r="N137" s="13"/>
      <c r="O137" s="13"/>
      <c r="P137" s="13"/>
      <c r="Q137" s="13"/>
      <c r="R137" s="13"/>
      <c r="S137" s="13"/>
      <c r="T137" s="13"/>
      <c r="U137" s="13"/>
      <c r="V137" s="13"/>
      <c r="W137" s="13"/>
      <c r="X137" s="13"/>
      <c r="Y137" s="699"/>
      <c r="Z137" s="699"/>
      <c r="AA137" s="702"/>
      <c r="AB137" s="699"/>
      <c r="AC137" s="700"/>
      <c r="AD137" s="411"/>
      <c r="AE137" s="360"/>
      <c r="AF137" s="360"/>
    </row>
    <row r="138" spans="1:33" s="410" customFormat="1" x14ac:dyDescent="0.25">
      <c r="A138" s="445">
        <v>6</v>
      </c>
      <c r="B138" s="443">
        <v>7</v>
      </c>
      <c r="C138" s="453">
        <v>1</v>
      </c>
      <c r="D138" s="573"/>
      <c r="E138" s="486"/>
      <c r="F138" s="711">
        <f t="shared" si="16"/>
        <v>-0.25</v>
      </c>
      <c r="G138" s="546">
        <f t="shared" si="17"/>
        <v>0.56000000000000005</v>
      </c>
      <c r="I138" s="461"/>
      <c r="J138" s="460"/>
      <c r="K138" s="443"/>
      <c r="L138" s="443"/>
      <c r="M138" s="13"/>
      <c r="N138" s="13"/>
      <c r="O138" s="13"/>
      <c r="P138" s="13"/>
      <c r="Q138" s="13"/>
      <c r="R138" s="13"/>
      <c r="S138" s="13"/>
      <c r="T138" s="13"/>
      <c r="U138" s="13"/>
      <c r="V138" s="13"/>
      <c r="W138" s="13"/>
      <c r="X138" s="13"/>
      <c r="Y138" s="699"/>
      <c r="Z138" s="680"/>
      <c r="AA138" s="702"/>
      <c r="AB138" s="680"/>
      <c r="AC138" s="688"/>
      <c r="AD138" s="411"/>
      <c r="AE138" s="360"/>
      <c r="AF138" s="360"/>
    </row>
    <row r="139" spans="1:33" s="410" customFormat="1" x14ac:dyDescent="0.25">
      <c r="A139" s="443">
        <v>7</v>
      </c>
      <c r="B139" s="443">
        <v>8</v>
      </c>
      <c r="C139" s="453">
        <v>1</v>
      </c>
      <c r="D139" s="573"/>
      <c r="E139" s="486"/>
      <c r="F139" s="711">
        <f t="shared" si="16"/>
        <v>-0.25</v>
      </c>
      <c r="G139" s="546">
        <f t="shared" si="17"/>
        <v>0.56000000000000005</v>
      </c>
      <c r="I139" s="461"/>
      <c r="J139" s="460"/>
      <c r="K139" s="443"/>
      <c r="L139" s="443"/>
      <c r="M139" s="13"/>
      <c r="N139" s="13"/>
      <c r="O139" s="13"/>
      <c r="P139" s="13"/>
      <c r="Q139" s="13"/>
      <c r="R139" s="13"/>
      <c r="S139" s="13"/>
      <c r="T139" s="13"/>
      <c r="U139" s="13"/>
      <c r="V139" s="13"/>
      <c r="W139" s="13"/>
      <c r="X139" s="13"/>
      <c r="Y139" s="699"/>
      <c r="Z139" s="680"/>
      <c r="AA139" s="702"/>
      <c r="AB139" s="680"/>
      <c r="AC139" s="688"/>
      <c r="AD139" s="411"/>
      <c r="AE139" s="360"/>
      <c r="AF139" s="360"/>
    </row>
    <row r="140" spans="1:33" s="410" customFormat="1" x14ac:dyDescent="0.25">
      <c r="A140" s="445">
        <v>8</v>
      </c>
      <c r="B140" s="443">
        <v>9</v>
      </c>
      <c r="C140" s="453">
        <v>1</v>
      </c>
      <c r="D140" s="573"/>
      <c r="E140" s="486"/>
      <c r="F140" s="711">
        <f t="shared" si="16"/>
        <v>-0.25</v>
      </c>
      <c r="G140" s="546">
        <f t="shared" si="17"/>
        <v>0.56000000000000005</v>
      </c>
      <c r="I140" s="461"/>
      <c r="J140" s="460"/>
      <c r="K140" s="443"/>
      <c r="L140" s="443"/>
      <c r="M140" s="13"/>
      <c r="N140" s="13"/>
      <c r="O140" s="13"/>
      <c r="P140" s="13"/>
      <c r="Q140" s="13"/>
      <c r="R140" s="13"/>
      <c r="S140" s="13"/>
      <c r="T140" s="13"/>
      <c r="U140" s="13"/>
      <c r="V140" s="13"/>
      <c r="W140" s="13"/>
      <c r="X140" s="13"/>
      <c r="Y140" s="699"/>
      <c r="Z140" s="680"/>
      <c r="AA140" s="702"/>
      <c r="AB140" s="680"/>
      <c r="AC140" s="688"/>
      <c r="AD140" s="403"/>
      <c r="AE140" s="404"/>
      <c r="AF140" s="411"/>
    </row>
    <row r="141" spans="1:33" s="410" customFormat="1" x14ac:dyDescent="0.25">
      <c r="A141" s="443">
        <v>9</v>
      </c>
      <c r="B141" s="443">
        <v>10</v>
      </c>
      <c r="C141" s="453">
        <v>1</v>
      </c>
      <c r="D141" s="573"/>
      <c r="E141" s="486"/>
      <c r="F141" s="711">
        <f t="shared" si="16"/>
        <v>-0.25</v>
      </c>
      <c r="G141" s="546">
        <f t="shared" si="17"/>
        <v>0.56000000000000005</v>
      </c>
      <c r="I141" s="461"/>
      <c r="J141" s="460"/>
      <c r="K141" s="443"/>
      <c r="L141" s="443"/>
      <c r="M141" s="13"/>
      <c r="N141" s="13"/>
      <c r="O141" s="13"/>
      <c r="P141" s="13"/>
      <c r="Q141" s="13"/>
      <c r="R141" s="13"/>
      <c r="S141" s="13"/>
      <c r="T141" s="13"/>
      <c r="U141" s="13"/>
      <c r="V141" s="13"/>
      <c r="W141" s="13"/>
      <c r="X141" s="13"/>
      <c r="Y141" s="699"/>
      <c r="Z141" s="680"/>
      <c r="AA141" s="702"/>
      <c r="AB141" s="680"/>
      <c r="AC141" s="688"/>
      <c r="AD141" s="405"/>
      <c r="AE141" s="405"/>
      <c r="AF141" s="411"/>
    </row>
    <row r="142" spans="1:33" s="410" customFormat="1" x14ac:dyDescent="0.25">
      <c r="A142" s="445">
        <v>10</v>
      </c>
      <c r="B142" s="443">
        <v>11</v>
      </c>
      <c r="C142" s="453">
        <v>1</v>
      </c>
      <c r="D142" s="573"/>
      <c r="E142" s="486"/>
      <c r="F142" s="711">
        <f t="shared" si="16"/>
        <v>-0.25</v>
      </c>
      <c r="G142" s="546">
        <f t="shared" si="17"/>
        <v>0.56000000000000005</v>
      </c>
      <c r="I142" s="461"/>
      <c r="J142" s="460"/>
      <c r="K142" s="443"/>
      <c r="L142" s="443"/>
      <c r="M142" s="13"/>
      <c r="N142" s="13"/>
      <c r="O142" s="13"/>
      <c r="P142" s="13"/>
      <c r="Q142" s="13"/>
      <c r="R142" s="13"/>
      <c r="S142" s="13"/>
      <c r="T142" s="13"/>
      <c r="U142" s="13"/>
      <c r="V142" s="13"/>
      <c r="W142" s="13"/>
      <c r="X142" s="13"/>
      <c r="Y142" s="699"/>
      <c r="Z142" s="680"/>
      <c r="AA142" s="702"/>
      <c r="AB142" s="680"/>
      <c r="AC142" s="688"/>
      <c r="AD142" s="403"/>
      <c r="AE142" s="404"/>
      <c r="AF142" s="411"/>
    </row>
    <row r="143" spans="1:33" s="410" customFormat="1" x14ac:dyDescent="0.25">
      <c r="A143" s="443">
        <v>11</v>
      </c>
      <c r="B143" s="443">
        <v>12</v>
      </c>
      <c r="C143" s="453">
        <v>1</v>
      </c>
      <c r="D143" s="573"/>
      <c r="E143" s="486"/>
      <c r="F143" s="711">
        <f t="shared" si="16"/>
        <v>-0.25</v>
      </c>
      <c r="G143" s="546">
        <f t="shared" si="17"/>
        <v>0.56000000000000005</v>
      </c>
      <c r="I143" s="461"/>
      <c r="J143" s="460"/>
      <c r="K143" s="443"/>
      <c r="L143" s="443"/>
      <c r="M143" s="13"/>
      <c r="N143" s="13"/>
      <c r="O143" s="13"/>
      <c r="P143" s="13"/>
      <c r="Q143" s="13"/>
      <c r="R143" s="13"/>
      <c r="S143" s="13"/>
      <c r="T143" s="13"/>
      <c r="U143" s="13"/>
      <c r="V143" s="13"/>
      <c r="W143" s="13"/>
      <c r="X143" s="13"/>
      <c r="Y143" s="699"/>
      <c r="Z143" s="680"/>
      <c r="AA143" s="702"/>
      <c r="AB143" s="680"/>
      <c r="AC143" s="688"/>
      <c r="AD143" s="408"/>
      <c r="AE143" s="406"/>
      <c r="AF143" s="411"/>
    </row>
    <row r="144" spans="1:33" s="410" customFormat="1" x14ac:dyDescent="0.25">
      <c r="A144" s="445">
        <v>12</v>
      </c>
      <c r="B144" s="443">
        <v>13</v>
      </c>
      <c r="C144" s="453">
        <v>1</v>
      </c>
      <c r="D144" s="573"/>
      <c r="E144" s="486"/>
      <c r="F144" s="711">
        <f t="shared" si="16"/>
        <v>-0.25</v>
      </c>
      <c r="G144" s="546">
        <f t="shared" si="17"/>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08"/>
      <c r="AE144" s="406"/>
      <c r="AF144" s="411"/>
    </row>
    <row r="145" spans="1:32" s="410" customFormat="1" x14ac:dyDescent="0.25">
      <c r="A145" s="443">
        <v>13</v>
      </c>
      <c r="B145" s="443">
        <v>14</v>
      </c>
      <c r="C145" s="453">
        <v>1</v>
      </c>
      <c r="D145" s="573"/>
      <c r="E145" s="486"/>
      <c r="F145" s="711">
        <f t="shared" si="16"/>
        <v>-0.25</v>
      </c>
      <c r="G145" s="546">
        <f t="shared" si="17"/>
        <v>0.56000000000000005</v>
      </c>
      <c r="I145" s="461"/>
      <c r="J145" s="460"/>
      <c r="K145" s="443"/>
      <c r="L145" s="443"/>
      <c r="M145" s="13"/>
      <c r="N145" s="13"/>
      <c r="O145" s="13"/>
      <c r="P145" s="13"/>
      <c r="Q145" s="13"/>
      <c r="R145" s="13"/>
      <c r="S145" s="13"/>
      <c r="T145" s="13"/>
      <c r="U145" s="13"/>
      <c r="V145" s="13"/>
      <c r="W145" s="13"/>
      <c r="X145" s="13"/>
      <c r="Y145" s="699"/>
      <c r="Z145" s="680"/>
      <c r="AA145" s="702"/>
      <c r="AB145" s="680"/>
      <c r="AC145" s="688"/>
      <c r="AD145" s="408"/>
      <c r="AE145" s="419"/>
      <c r="AF145" s="411"/>
    </row>
    <row r="146" spans="1:32" s="410" customFormat="1" x14ac:dyDescent="0.25">
      <c r="A146" s="445">
        <v>14</v>
      </c>
      <c r="B146" s="443">
        <v>15</v>
      </c>
      <c r="C146" s="453">
        <v>1</v>
      </c>
      <c r="D146" s="573"/>
      <c r="E146" s="486"/>
      <c r="F146" s="711">
        <f t="shared" si="16"/>
        <v>-0.25</v>
      </c>
      <c r="G146" s="546">
        <f t="shared" si="17"/>
        <v>0.56000000000000005</v>
      </c>
      <c r="H146" s="410" t="s">
        <v>170</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8"/>
      <c r="AE146" s="420"/>
      <c r="AF146" s="360"/>
    </row>
    <row r="147" spans="1:32" s="410" customFormat="1" x14ac:dyDescent="0.25">
      <c r="A147" s="443">
        <v>15</v>
      </c>
      <c r="B147" s="443">
        <v>16</v>
      </c>
      <c r="C147" s="453">
        <v>1</v>
      </c>
      <c r="D147" s="573"/>
      <c r="E147" s="486"/>
      <c r="F147" s="711">
        <f t="shared" si="16"/>
        <v>-0.25</v>
      </c>
      <c r="G147" s="546">
        <f t="shared" si="17"/>
        <v>0.56000000000000005</v>
      </c>
      <c r="I147" s="461"/>
      <c r="J147" s="460"/>
      <c r="K147" s="443"/>
      <c r="L147" s="443"/>
      <c r="M147" s="13"/>
      <c r="N147" s="13"/>
      <c r="O147" s="13"/>
      <c r="P147" s="13"/>
      <c r="Q147" s="13"/>
      <c r="R147" s="13"/>
      <c r="S147" s="13"/>
      <c r="T147" s="13"/>
      <c r="U147" s="13"/>
      <c r="V147" s="13"/>
      <c r="W147" s="13"/>
      <c r="X147" s="13"/>
      <c r="Y147" s="699"/>
      <c r="Z147" s="680"/>
      <c r="AA147" s="702"/>
      <c r="AB147" s="680"/>
      <c r="AC147" s="688"/>
      <c r="AD147" s="403"/>
      <c r="AE147" s="404"/>
      <c r="AF147" s="360"/>
    </row>
    <row r="148" spans="1:32" s="410" customFormat="1" x14ac:dyDescent="0.25">
      <c r="A148" s="445">
        <v>16</v>
      </c>
      <c r="B148" s="443">
        <v>17</v>
      </c>
      <c r="C148" s="453">
        <v>1</v>
      </c>
      <c r="D148" s="573"/>
      <c r="E148" s="486"/>
      <c r="F148" s="711">
        <f t="shared" si="16"/>
        <v>-0.25</v>
      </c>
      <c r="G148" s="546">
        <f t="shared" si="17"/>
        <v>0.56000000000000005</v>
      </c>
      <c r="I148" s="461"/>
      <c r="J148" s="460"/>
      <c r="K148" s="443"/>
      <c r="L148" s="443"/>
      <c r="M148" s="13"/>
      <c r="N148" s="13"/>
      <c r="O148" s="13"/>
      <c r="R148" s="13"/>
      <c r="S148" s="13"/>
      <c r="T148" s="13"/>
      <c r="U148" s="13"/>
      <c r="V148" s="13"/>
      <c r="W148" s="13"/>
      <c r="X148" s="13"/>
      <c r="Y148" s="699"/>
      <c r="Z148" s="680"/>
      <c r="AA148" s="702"/>
      <c r="AB148" s="680"/>
      <c r="AC148" s="688"/>
      <c r="AD148" s="403"/>
      <c r="AE148" s="404"/>
      <c r="AF148" s="405"/>
    </row>
    <row r="149" spans="1:32" s="410" customFormat="1" x14ac:dyDescent="0.25">
      <c r="A149" s="443">
        <v>17</v>
      </c>
      <c r="B149" s="443">
        <v>18</v>
      </c>
      <c r="C149" s="453">
        <v>1</v>
      </c>
      <c r="D149" s="573"/>
      <c r="E149" s="486"/>
      <c r="F149" s="711">
        <f t="shared" si="16"/>
        <v>-0.25</v>
      </c>
      <c r="G149" s="546">
        <f t="shared" si="17"/>
        <v>0.56000000000000005</v>
      </c>
      <c r="I149" s="461"/>
      <c r="J149" s="460"/>
      <c r="K149" s="443"/>
      <c r="L149" s="443"/>
      <c r="M149" s="13"/>
      <c r="N149" s="13"/>
      <c r="O149" s="13"/>
      <c r="R149" s="13"/>
      <c r="S149" s="13"/>
      <c r="T149" s="13"/>
      <c r="U149" s="13"/>
      <c r="V149" s="13"/>
      <c r="W149" s="13"/>
      <c r="X149" s="13"/>
      <c r="Y149" s="699"/>
      <c r="Z149" s="680"/>
      <c r="AA149" s="702"/>
      <c r="AB149" s="680"/>
      <c r="AC149" s="688"/>
      <c r="AD149" s="388"/>
      <c r="AE149" s="388"/>
      <c r="AF149" s="403"/>
    </row>
    <row r="150" spans="1:32" s="410" customFormat="1" x14ac:dyDescent="0.25">
      <c r="A150" s="445">
        <v>18</v>
      </c>
      <c r="B150" s="443">
        <v>19</v>
      </c>
      <c r="C150" s="453">
        <v>1</v>
      </c>
      <c r="D150" s="573"/>
      <c r="E150" s="486"/>
      <c r="F150" s="711">
        <f t="shared" si="16"/>
        <v>-0.25</v>
      </c>
      <c r="G150" s="546">
        <f t="shared" si="17"/>
        <v>0.56000000000000005</v>
      </c>
      <c r="I150" s="461"/>
      <c r="J150" s="460"/>
      <c r="K150" s="443"/>
      <c r="L150" s="443"/>
      <c r="M150" s="13"/>
      <c r="N150" s="13"/>
      <c r="O150" s="13"/>
      <c r="R150" s="13"/>
      <c r="S150" s="13"/>
      <c r="T150" s="13"/>
      <c r="U150" s="13"/>
      <c r="V150" s="13"/>
      <c r="W150" s="13"/>
      <c r="X150" s="13"/>
      <c r="Y150" s="699"/>
      <c r="Z150" s="680"/>
      <c r="AA150" s="702"/>
      <c r="AB150" s="680"/>
      <c r="AC150" s="688"/>
      <c r="AD150" s="377"/>
      <c r="AE150" s="377"/>
      <c r="AF150" s="403"/>
    </row>
    <row r="151" spans="1:32" s="410" customFormat="1" x14ac:dyDescent="0.25">
      <c r="A151" s="443">
        <v>19</v>
      </c>
      <c r="B151" s="443">
        <v>20</v>
      </c>
      <c r="C151" s="453">
        <v>1</v>
      </c>
      <c r="D151" s="573"/>
      <c r="E151" s="486"/>
      <c r="F151" s="711">
        <f t="shared" si="16"/>
        <v>-0.25</v>
      </c>
      <c r="G151" s="546">
        <f t="shared" si="17"/>
        <v>0.56000000000000005</v>
      </c>
      <c r="I151" s="461"/>
      <c r="J151" s="460"/>
      <c r="K151" s="443"/>
      <c r="L151" s="443"/>
      <c r="M151" s="13"/>
      <c r="N151" s="13"/>
      <c r="O151" s="13"/>
      <c r="R151" s="13"/>
      <c r="S151" s="13"/>
      <c r="T151" s="13"/>
      <c r="U151" s="13"/>
      <c r="V151" s="13"/>
      <c r="W151" s="13"/>
      <c r="X151" s="13"/>
      <c r="Y151" s="699"/>
      <c r="Z151" s="680"/>
      <c r="AA151" s="702"/>
      <c r="AB151" s="680"/>
      <c r="AC151" s="688"/>
      <c r="AD151" s="389"/>
      <c r="AE151" s="389"/>
      <c r="AF151" s="401"/>
    </row>
    <row r="152" spans="1:32" s="410" customFormat="1" x14ac:dyDescent="0.25">
      <c r="A152" s="445">
        <v>20</v>
      </c>
      <c r="B152" s="443">
        <v>21</v>
      </c>
      <c r="C152" s="453">
        <v>1</v>
      </c>
      <c r="D152" s="573"/>
      <c r="E152" s="486"/>
      <c r="F152" s="711">
        <f t="shared" si="16"/>
        <v>-0.25</v>
      </c>
      <c r="G152" s="546">
        <f t="shared" si="17"/>
        <v>0.56000000000000005</v>
      </c>
      <c r="I152" s="461"/>
      <c r="J152" s="460"/>
      <c r="K152" s="443"/>
      <c r="L152" s="443"/>
      <c r="M152" s="13"/>
      <c r="N152" s="13"/>
      <c r="O152" s="13"/>
      <c r="R152" s="13"/>
      <c r="S152" s="13"/>
      <c r="T152" s="13"/>
      <c r="U152" s="13"/>
      <c r="V152" s="13"/>
      <c r="W152" s="13"/>
      <c r="X152" s="13"/>
      <c r="Y152" s="699"/>
      <c r="Z152" s="680"/>
      <c r="AA152" s="702"/>
      <c r="AB152" s="680"/>
      <c r="AC152" s="688"/>
      <c r="AD152" s="389"/>
      <c r="AE152" s="389"/>
      <c r="AF152" s="374"/>
    </row>
    <row r="153" spans="1:32" s="410" customFormat="1" x14ac:dyDescent="0.25">
      <c r="A153" s="443">
        <v>21</v>
      </c>
      <c r="B153" s="443">
        <v>22</v>
      </c>
      <c r="C153" s="453">
        <v>1</v>
      </c>
      <c r="D153" s="573"/>
      <c r="E153" s="486"/>
      <c r="F153" s="711">
        <f t="shared" si="16"/>
        <v>-0.25</v>
      </c>
      <c r="G153" s="546">
        <f t="shared" si="17"/>
        <v>0.56000000000000005</v>
      </c>
      <c r="I153" s="461"/>
      <c r="J153" s="460"/>
      <c r="K153" s="443"/>
      <c r="L153" s="443"/>
      <c r="M153" s="13"/>
      <c r="N153" s="13"/>
      <c r="O153" s="13"/>
      <c r="R153" s="13"/>
      <c r="S153" s="13"/>
      <c r="T153" s="13"/>
      <c r="U153" s="13"/>
      <c r="V153" s="13"/>
      <c r="W153" s="13"/>
      <c r="X153" s="13"/>
      <c r="Y153" s="699"/>
      <c r="Z153" s="680"/>
      <c r="AA153" s="702"/>
      <c r="AB153" s="680"/>
      <c r="AC153" s="688"/>
      <c r="AD153" s="377"/>
      <c r="AE153" s="377"/>
      <c r="AF153" s="374"/>
    </row>
    <row r="154" spans="1:32" s="410" customFormat="1" x14ac:dyDescent="0.25">
      <c r="A154" s="445">
        <v>22</v>
      </c>
      <c r="B154" s="443">
        <v>23</v>
      </c>
      <c r="C154" s="453">
        <v>1</v>
      </c>
      <c r="D154" s="573"/>
      <c r="E154" s="486"/>
      <c r="F154" s="711">
        <f t="shared" si="16"/>
        <v>-0.25</v>
      </c>
      <c r="G154" s="546">
        <f t="shared" si="17"/>
        <v>0.56000000000000005</v>
      </c>
      <c r="I154" s="461"/>
      <c r="J154" s="460"/>
      <c r="K154" s="443"/>
      <c r="L154" s="443"/>
      <c r="M154" s="13"/>
      <c r="N154" s="13"/>
      <c r="O154" s="13"/>
      <c r="R154" s="13"/>
      <c r="S154" s="13"/>
      <c r="T154" s="13"/>
      <c r="U154" s="13"/>
      <c r="V154" s="13"/>
      <c r="W154" s="13"/>
      <c r="X154" s="13"/>
      <c r="Y154" s="699"/>
      <c r="Z154" s="680"/>
      <c r="AA154" s="702"/>
      <c r="AB154" s="680"/>
      <c r="AC154" s="688"/>
      <c r="AD154" s="377"/>
      <c r="AE154" s="377"/>
      <c r="AF154" s="374"/>
    </row>
    <row r="155" spans="1:32" s="410" customFormat="1" x14ac:dyDescent="0.25">
      <c r="A155" s="445">
        <v>23</v>
      </c>
      <c r="B155" s="443">
        <v>24</v>
      </c>
      <c r="C155" s="453">
        <v>1</v>
      </c>
      <c r="D155" s="573"/>
      <c r="E155" s="527"/>
      <c r="F155" s="711">
        <f t="shared" si="16"/>
        <v>-0.25</v>
      </c>
      <c r="G155" s="546">
        <f t="shared" si="17"/>
        <v>0.56000000000000005</v>
      </c>
      <c r="I155" s="461"/>
      <c r="J155" s="460"/>
      <c r="K155" s="443"/>
      <c r="L155" s="443"/>
      <c r="M155" s="13"/>
      <c r="N155" s="13"/>
      <c r="O155" s="13"/>
      <c r="R155" s="13"/>
      <c r="S155" s="13"/>
      <c r="T155" s="13"/>
      <c r="U155" s="13"/>
      <c r="V155" s="13"/>
      <c r="W155" s="13"/>
      <c r="X155" s="13"/>
      <c r="Y155" s="699"/>
      <c r="Z155" s="680"/>
      <c r="AA155" s="702"/>
      <c r="AB155" s="680"/>
      <c r="AC155" s="688"/>
      <c r="AD155" s="390"/>
      <c r="AE155" s="390"/>
      <c r="AF155" s="381"/>
    </row>
    <row r="156" spans="1:32" s="410" customFormat="1" x14ac:dyDescent="0.25">
      <c r="A156" s="377">
        <v>24</v>
      </c>
      <c r="B156" s="443">
        <v>1</v>
      </c>
      <c r="C156" s="453">
        <v>1</v>
      </c>
      <c r="D156" s="573"/>
      <c r="E156" s="483"/>
      <c r="F156" s="680"/>
      <c r="G156" s="546">
        <f>D156+0.56</f>
        <v>0.56000000000000005</v>
      </c>
      <c r="H156" s="454"/>
      <c r="I156" s="461"/>
      <c r="J156" s="460"/>
      <c r="K156" s="443"/>
      <c r="L156" s="443"/>
      <c r="M156" s="13"/>
      <c r="N156" s="13"/>
      <c r="O156" s="13"/>
      <c r="R156" s="13"/>
      <c r="S156" s="13"/>
      <c r="T156" s="13"/>
      <c r="U156" s="13"/>
      <c r="V156" s="13"/>
      <c r="W156" s="13"/>
      <c r="X156" s="13"/>
      <c r="Y156" s="680"/>
      <c r="Z156" s="680"/>
      <c r="AA156" s="680"/>
      <c r="AB156" s="680"/>
      <c r="AC156" s="688"/>
      <c r="AD156" s="391"/>
      <c r="AE156" s="391"/>
      <c r="AF156" s="381"/>
    </row>
    <row r="157" spans="1:32" s="410" customFormat="1" x14ac:dyDescent="0.25">
      <c r="A157" s="377"/>
      <c r="B157" s="377"/>
      <c r="C157" s="377"/>
      <c r="D157" s="569"/>
      <c r="E157" s="485"/>
      <c r="F157" s="680"/>
      <c r="G157" s="377"/>
      <c r="H157" s="400"/>
      <c r="I157" s="377"/>
      <c r="J157" s="377"/>
      <c r="K157" s="377"/>
      <c r="L157" s="377"/>
      <c r="M157" s="680"/>
      <c r="N157" s="680"/>
      <c r="O157" s="680"/>
      <c r="R157" s="680"/>
      <c r="S157" s="680"/>
      <c r="T157" s="680"/>
      <c r="U157" s="680"/>
      <c r="V157" s="680"/>
      <c r="W157" s="680"/>
      <c r="X157" s="680"/>
      <c r="Y157" s="680"/>
      <c r="Z157" s="680"/>
      <c r="AA157" s="680"/>
      <c r="AB157" s="680"/>
      <c r="AC157" s="688"/>
      <c r="AD157" s="391"/>
      <c r="AE157" s="391"/>
      <c r="AF157" s="381"/>
    </row>
    <row r="158" spans="1:32" s="410" customFormat="1" x14ac:dyDescent="0.25">
      <c r="A158" s="377"/>
      <c r="B158" s="377"/>
      <c r="C158" s="377"/>
      <c r="D158" s="377"/>
      <c r="E158" s="377"/>
      <c r="F158" s="680"/>
      <c r="G158" s="377"/>
      <c r="H158" s="377"/>
      <c r="I158" s="377"/>
      <c r="J158" s="377"/>
      <c r="K158" s="377"/>
      <c r="L158" s="377"/>
      <c r="M158" s="680"/>
      <c r="N158" s="680"/>
      <c r="O158" s="680"/>
      <c r="R158" s="680"/>
      <c r="S158" s="680"/>
      <c r="T158" s="680"/>
      <c r="U158" s="680"/>
      <c r="V158" s="680"/>
      <c r="W158" s="680"/>
      <c r="X158" s="680"/>
      <c r="Y158" s="680"/>
      <c r="Z158" s="680"/>
      <c r="AA158" s="680"/>
      <c r="AB158" s="680"/>
      <c r="AC158" s="688"/>
      <c r="AD158" s="391"/>
      <c r="AE158" s="391"/>
      <c r="AF158" s="386"/>
    </row>
    <row r="159" spans="1:32" s="410" customFormat="1" x14ac:dyDescent="0.25">
      <c r="A159" s="377"/>
      <c r="B159" s="377"/>
      <c r="C159" s="377"/>
      <c r="D159" s="377"/>
      <c r="E159" s="377"/>
      <c r="F159" s="680"/>
      <c r="G159" s="377"/>
      <c r="H159" s="377"/>
      <c r="I159" s="377"/>
      <c r="J159" s="377"/>
      <c r="K159" s="377"/>
      <c r="L159" s="377"/>
      <c r="M159" s="680"/>
      <c r="N159" s="680"/>
      <c r="O159" s="680"/>
      <c r="R159" s="680"/>
      <c r="S159" s="680"/>
      <c r="T159" s="680"/>
      <c r="U159" s="680"/>
      <c r="V159" s="680"/>
      <c r="W159" s="680"/>
      <c r="X159" s="680"/>
      <c r="Y159" s="680"/>
      <c r="Z159" s="680"/>
      <c r="AA159" s="680"/>
      <c r="AB159" s="680"/>
      <c r="AC159" s="688"/>
      <c r="AD159" s="391"/>
      <c r="AE159" s="391"/>
      <c r="AF159" s="388"/>
    </row>
    <row r="160" spans="1:32" s="410" customFormat="1" x14ac:dyDescent="0.25">
      <c r="A160" s="377"/>
      <c r="B160" s="377"/>
      <c r="C160" s="377"/>
      <c r="D160" s="377"/>
      <c r="E160" s="377"/>
      <c r="F160" s="680"/>
      <c r="G160" s="377"/>
      <c r="H160" s="377"/>
      <c r="I160" s="377"/>
      <c r="J160" s="377"/>
      <c r="K160" s="377"/>
      <c r="L160" s="377"/>
      <c r="M160" s="680"/>
      <c r="N160" s="680"/>
      <c r="O160" s="680"/>
      <c r="R160" s="680"/>
      <c r="S160" s="680"/>
      <c r="T160" s="680"/>
      <c r="U160" s="680"/>
      <c r="V160" s="680"/>
      <c r="W160" s="680"/>
      <c r="X160" s="680"/>
      <c r="Y160" s="680"/>
      <c r="Z160" s="680"/>
      <c r="AA160" s="680"/>
      <c r="AB160" s="680"/>
      <c r="AC160" s="688"/>
      <c r="AD160" s="391"/>
      <c r="AE160" s="391"/>
      <c r="AF160" s="377"/>
    </row>
    <row r="161" spans="1:32" s="410" customFormat="1" x14ac:dyDescent="0.25">
      <c r="A161" s="377"/>
      <c r="B161" s="377"/>
      <c r="C161" s="377"/>
      <c r="D161" s="377"/>
      <c r="E161" s="377"/>
      <c r="F161" s="680"/>
      <c r="G161" s="377"/>
      <c r="H161" s="377"/>
      <c r="I161" s="377"/>
      <c r="J161" s="377"/>
      <c r="K161" s="377"/>
      <c r="L161" s="377"/>
      <c r="M161" s="680"/>
      <c r="N161" s="680"/>
      <c r="O161" s="680"/>
      <c r="R161" s="680"/>
      <c r="S161" s="680"/>
      <c r="T161" s="680"/>
      <c r="U161" s="680"/>
      <c r="V161" s="680"/>
      <c r="W161" s="680"/>
      <c r="X161" s="680"/>
      <c r="Y161" s="680"/>
      <c r="Z161" s="680"/>
      <c r="AA161" s="680"/>
      <c r="AB161" s="680"/>
      <c r="AC161" s="688"/>
      <c r="AD161" s="391"/>
      <c r="AE161" s="391"/>
      <c r="AF161" s="389"/>
    </row>
    <row r="162" spans="1:32" s="410" customFormat="1" x14ac:dyDescent="0.25">
      <c r="A162" s="377"/>
      <c r="B162" s="377"/>
      <c r="C162" s="377"/>
      <c r="D162" s="377"/>
      <c r="E162" s="377"/>
      <c r="F162" s="680"/>
      <c r="G162" s="377"/>
      <c r="H162" s="377"/>
      <c r="I162" s="377"/>
      <c r="L162" s="377"/>
      <c r="M162" s="680"/>
      <c r="N162" s="680"/>
      <c r="O162" s="680"/>
      <c r="R162" s="680"/>
      <c r="S162" s="680"/>
      <c r="T162" s="680"/>
      <c r="U162" s="680"/>
      <c r="V162" s="680"/>
      <c r="W162" s="680"/>
      <c r="X162" s="680"/>
      <c r="Y162" s="680"/>
      <c r="Z162" s="680"/>
      <c r="AA162" s="680"/>
      <c r="AB162" s="680"/>
      <c r="AC162" s="688"/>
      <c r="AD162" s="391"/>
      <c r="AE162" s="391"/>
      <c r="AF162" s="389"/>
    </row>
    <row r="163" spans="1:32" s="410" customFormat="1" x14ac:dyDescent="0.25">
      <c r="A163" s="377"/>
      <c r="B163" s="377"/>
      <c r="C163" s="377"/>
      <c r="D163" s="377"/>
      <c r="E163" s="377"/>
      <c r="F163" s="680"/>
      <c r="G163" s="377"/>
      <c r="H163" s="377"/>
      <c r="I163" s="377"/>
      <c r="L163" s="377"/>
      <c r="M163" s="680"/>
      <c r="N163" s="680"/>
      <c r="O163" s="680"/>
      <c r="R163" s="680"/>
      <c r="S163" s="680"/>
      <c r="T163" s="680"/>
      <c r="U163" s="680"/>
      <c r="V163" s="680"/>
      <c r="W163" s="680"/>
      <c r="X163" s="680"/>
      <c r="Y163" s="680"/>
      <c r="Z163" s="680"/>
      <c r="AA163" s="680"/>
      <c r="AB163" s="680"/>
      <c r="AC163" s="688"/>
      <c r="AD163" s="394"/>
      <c r="AE163" s="394"/>
      <c r="AF163" s="377"/>
    </row>
    <row r="164" spans="1:32" s="410" customFormat="1" x14ac:dyDescent="0.25">
      <c r="A164" s="377"/>
      <c r="B164" s="377"/>
      <c r="C164" s="377"/>
      <c r="D164" s="377"/>
      <c r="E164" s="377"/>
      <c r="F164" s="680"/>
      <c r="G164" s="377"/>
      <c r="H164" s="377"/>
      <c r="I164" s="377"/>
      <c r="L164" s="377"/>
      <c r="M164" s="680"/>
      <c r="N164" s="680"/>
      <c r="O164" s="680"/>
      <c r="R164" s="680"/>
      <c r="S164" s="680"/>
      <c r="T164" s="680"/>
      <c r="U164" s="680"/>
      <c r="V164" s="680"/>
      <c r="W164" s="680"/>
      <c r="X164" s="680"/>
      <c r="Y164" s="680"/>
      <c r="Z164" s="680"/>
      <c r="AA164" s="680"/>
      <c r="AB164" s="680"/>
      <c r="AC164" s="688"/>
      <c r="AD164" s="395"/>
      <c r="AE164" s="395"/>
      <c r="AF164" s="390"/>
    </row>
    <row r="165" spans="1:32" s="410" customFormat="1" x14ac:dyDescent="0.25">
      <c r="A165" s="377"/>
      <c r="B165" s="377"/>
      <c r="C165" s="377"/>
      <c r="D165" s="377"/>
      <c r="E165" s="377"/>
      <c r="F165" s="680"/>
      <c r="G165" s="377"/>
      <c r="H165" s="377"/>
      <c r="I165" s="377"/>
      <c r="L165" s="377"/>
      <c r="M165" s="680"/>
      <c r="N165" s="680"/>
      <c r="O165" s="680"/>
      <c r="R165" s="680"/>
      <c r="S165" s="680"/>
      <c r="T165" s="680"/>
      <c r="U165" s="680"/>
      <c r="V165" s="680"/>
      <c r="W165" s="680"/>
      <c r="X165" s="680"/>
      <c r="Y165" s="680"/>
      <c r="Z165" s="680"/>
      <c r="AA165" s="680"/>
      <c r="AB165" s="680"/>
      <c r="AC165" s="688"/>
      <c r="AD165" s="395"/>
      <c r="AE165" s="395"/>
      <c r="AF165" s="391"/>
    </row>
    <row r="166" spans="1:32" s="410" customFormat="1" x14ac:dyDescent="0.25">
      <c r="A166" s="377"/>
      <c r="B166" s="377"/>
      <c r="C166" s="377"/>
      <c r="D166" s="377"/>
      <c r="E166" s="377"/>
      <c r="F166" s="680"/>
      <c r="G166" s="377"/>
      <c r="H166" s="377"/>
      <c r="I166" s="377"/>
      <c r="L166" s="377"/>
      <c r="M166" s="680"/>
      <c r="N166" s="680"/>
      <c r="O166" s="680"/>
      <c r="R166" s="680"/>
      <c r="S166" s="680"/>
      <c r="T166" s="680"/>
      <c r="U166" s="680"/>
      <c r="V166" s="680"/>
      <c r="W166" s="680"/>
      <c r="X166" s="680"/>
      <c r="Y166" s="680"/>
      <c r="Z166" s="680"/>
      <c r="AA166" s="680"/>
      <c r="AB166" s="680"/>
      <c r="AC166" s="688"/>
      <c r="AD166" s="395"/>
      <c r="AE166" s="395"/>
      <c r="AF166" s="391"/>
    </row>
    <row r="167" spans="1:32" s="410" customFormat="1" x14ac:dyDescent="0.25">
      <c r="A167" s="377"/>
      <c r="B167" s="377"/>
      <c r="C167" s="377"/>
      <c r="D167" s="377"/>
      <c r="E167" s="377"/>
      <c r="F167" s="680"/>
      <c r="G167" s="377"/>
      <c r="H167" s="377"/>
      <c r="I167" s="377"/>
      <c r="L167" s="377"/>
      <c r="M167" s="680"/>
      <c r="N167" s="680"/>
      <c r="O167" s="680"/>
      <c r="R167" s="680"/>
      <c r="S167" s="680"/>
      <c r="T167" s="680"/>
      <c r="U167" s="680"/>
      <c r="V167" s="680"/>
      <c r="W167" s="680"/>
      <c r="X167" s="680"/>
      <c r="Y167" s="680"/>
      <c r="Z167" s="680"/>
      <c r="AA167" s="680"/>
      <c r="AB167" s="680"/>
      <c r="AC167" s="688"/>
      <c r="AD167" s="395"/>
      <c r="AE167" s="395"/>
      <c r="AF167" s="391"/>
    </row>
    <row r="168" spans="1:32" s="410" customFormat="1" x14ac:dyDescent="0.25">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5"/>
      <c r="AE168" s="398"/>
      <c r="AF168" s="391"/>
    </row>
    <row r="169" spans="1:32" s="410" customFormat="1" x14ac:dyDescent="0.25">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5"/>
      <c r="AE169" s="398"/>
      <c r="AF169" s="391"/>
    </row>
    <row r="170" spans="1:32" s="410" customFormat="1" x14ac:dyDescent="0.25">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8"/>
      <c r="AF170" s="391"/>
    </row>
    <row r="171" spans="1:32" s="410" customFormat="1" x14ac:dyDescent="0.25">
      <c r="A171" s="377"/>
      <c r="B171" s="377"/>
      <c r="C171" s="377"/>
      <c r="D171" s="377"/>
      <c r="E171" s="377"/>
      <c r="F171" s="680"/>
      <c r="G171" s="377"/>
      <c r="H171" s="377"/>
      <c r="I171" s="377"/>
      <c r="L171" s="377"/>
      <c r="M171" s="680"/>
      <c r="N171" s="680"/>
      <c r="O171" s="680"/>
      <c r="R171" s="680"/>
      <c r="S171" s="680"/>
      <c r="T171" s="680"/>
      <c r="U171" s="680"/>
      <c r="V171" s="680"/>
      <c r="W171" s="680"/>
      <c r="X171" s="680"/>
      <c r="Y171" s="680"/>
      <c r="Z171" s="680"/>
      <c r="AA171" s="680"/>
      <c r="AB171" s="680"/>
      <c r="AC171" s="688"/>
      <c r="AD171" s="395"/>
      <c r="AE171" s="398"/>
      <c r="AF171" s="391"/>
    </row>
    <row r="172" spans="1:32" s="410" customFormat="1" x14ac:dyDescent="0.25">
      <c r="A172" s="377"/>
      <c r="B172" s="377"/>
      <c r="C172" s="377"/>
      <c r="D172" s="377"/>
      <c r="E172" s="377"/>
      <c r="F172" s="680"/>
      <c r="G172" s="377"/>
      <c r="H172" s="377"/>
      <c r="I172" s="377"/>
      <c r="L172" s="377"/>
      <c r="M172" s="680"/>
      <c r="N172" s="680"/>
      <c r="O172" s="680"/>
      <c r="P172" s="680"/>
      <c r="Q172" s="680"/>
      <c r="R172" s="680"/>
      <c r="S172" s="680"/>
      <c r="T172" s="680"/>
      <c r="U172" s="680"/>
      <c r="V172" s="680"/>
      <c r="W172" s="680"/>
      <c r="X172" s="680"/>
      <c r="Y172" s="680"/>
      <c r="Z172" s="680"/>
      <c r="AA172" s="680"/>
      <c r="AB172" s="680"/>
      <c r="AC172" s="688"/>
      <c r="AD172" s="395"/>
      <c r="AE172" s="398"/>
      <c r="AF172" s="393"/>
    </row>
    <row r="173" spans="1:32" s="410" customFormat="1" x14ac:dyDescent="0.25">
      <c r="A173" s="377"/>
      <c r="B173" s="377"/>
      <c r="C173" s="377"/>
      <c r="D173" s="377"/>
      <c r="E173" s="377"/>
      <c r="F173" s="680"/>
      <c r="G173" s="377"/>
      <c r="H173" s="377"/>
      <c r="I173" s="377"/>
      <c r="L173" s="377"/>
      <c r="M173" s="680"/>
      <c r="N173" s="680"/>
      <c r="O173" s="680"/>
      <c r="P173" s="680"/>
      <c r="Q173" s="680"/>
      <c r="R173" s="680"/>
      <c r="S173" s="680"/>
      <c r="T173" s="680"/>
      <c r="U173" s="680"/>
      <c r="V173" s="680"/>
      <c r="W173" s="680"/>
      <c r="X173" s="680"/>
      <c r="Y173" s="680"/>
      <c r="Z173" s="680"/>
      <c r="AA173" s="680"/>
      <c r="AB173" s="680"/>
      <c r="AC173" s="688"/>
      <c r="AD173" s="398"/>
      <c r="AE173" s="398"/>
      <c r="AF173" s="395"/>
    </row>
    <row r="174" spans="1:32" s="410" customFormat="1" x14ac:dyDescent="0.25">
      <c r="A174" s="377"/>
      <c r="B174" s="377"/>
      <c r="C174" s="377"/>
      <c r="D174" s="377"/>
      <c r="E174" s="377"/>
      <c r="F174" s="680"/>
      <c r="G174" s="377"/>
      <c r="H174" s="377"/>
      <c r="I174" s="377"/>
      <c r="L174" s="377"/>
      <c r="M174" s="680"/>
      <c r="N174" s="680"/>
      <c r="O174" s="680"/>
      <c r="P174" s="680"/>
      <c r="Q174" s="680"/>
      <c r="R174" s="680"/>
      <c r="S174" s="680"/>
      <c r="T174" s="680"/>
      <c r="U174" s="680"/>
      <c r="V174" s="680"/>
      <c r="W174" s="680"/>
      <c r="X174" s="680"/>
      <c r="Y174" s="680"/>
      <c r="Z174" s="680"/>
      <c r="AA174" s="680"/>
      <c r="AB174" s="680"/>
      <c r="AC174" s="688"/>
      <c r="AD174" s="398"/>
      <c r="AE174" s="398"/>
      <c r="AF174" s="395"/>
    </row>
    <row r="175" spans="1:32" s="410" customFormat="1" x14ac:dyDescent="0.25">
      <c r="A175" s="377"/>
      <c r="B175" s="377"/>
      <c r="C175" s="377"/>
      <c r="D175" s="377"/>
      <c r="E175" s="377"/>
      <c r="F175" s="680"/>
      <c r="G175" s="377"/>
      <c r="H175" s="377"/>
      <c r="I175" s="377"/>
      <c r="L175" s="377"/>
      <c r="M175" s="680"/>
      <c r="N175" s="680"/>
      <c r="O175" s="680"/>
      <c r="P175" s="680"/>
      <c r="Q175" s="680"/>
      <c r="R175" s="680"/>
      <c r="S175" s="680"/>
      <c r="T175" s="680"/>
      <c r="U175" s="680"/>
      <c r="V175" s="680"/>
      <c r="W175" s="680"/>
      <c r="X175" s="680"/>
      <c r="Y175" s="680"/>
      <c r="Z175" s="680"/>
      <c r="AA175" s="680"/>
      <c r="AB175" s="680"/>
      <c r="AC175" s="688"/>
      <c r="AD175" s="398"/>
      <c r="AE175" s="398"/>
      <c r="AF175" s="395"/>
    </row>
    <row r="176" spans="1:32" s="410" customFormat="1" x14ac:dyDescent="0.25">
      <c r="A176" s="377"/>
      <c r="B176" s="377"/>
      <c r="C176" s="377"/>
      <c r="D176" s="377"/>
      <c r="E176" s="377"/>
      <c r="F176" s="680"/>
      <c r="G176" s="377"/>
      <c r="H176" s="377"/>
      <c r="I176" s="377"/>
      <c r="L176" s="377"/>
      <c r="M176" s="680"/>
      <c r="N176" s="680"/>
      <c r="O176" s="680"/>
      <c r="P176" s="680"/>
      <c r="Q176" s="680"/>
      <c r="R176" s="680"/>
      <c r="S176" s="680"/>
      <c r="T176" s="680"/>
      <c r="U176" s="680"/>
      <c r="V176" s="680"/>
      <c r="W176" s="680"/>
      <c r="X176" s="680"/>
      <c r="Y176" s="680"/>
      <c r="Z176" s="680"/>
      <c r="AA176" s="680"/>
      <c r="AB176" s="680"/>
      <c r="AC176" s="688"/>
      <c r="AD176" s="398"/>
      <c r="AE176" s="398"/>
      <c r="AF176" s="395"/>
    </row>
    <row r="177" spans="1:32" s="410" customFormat="1" x14ac:dyDescent="0.25">
      <c r="A177" s="377"/>
      <c r="B177" s="377"/>
      <c r="C177" s="377"/>
      <c r="D177" s="377"/>
      <c r="E177" s="377"/>
      <c r="F177" s="680"/>
      <c r="G177" s="377"/>
      <c r="H177" s="377"/>
      <c r="I177" s="377"/>
      <c r="L177" s="377"/>
      <c r="M177" s="680"/>
      <c r="N177" s="680"/>
      <c r="O177" s="680"/>
      <c r="P177" s="680"/>
      <c r="Q177" s="680"/>
      <c r="R177" s="680"/>
      <c r="S177" s="680"/>
      <c r="T177" s="680"/>
      <c r="U177" s="680"/>
      <c r="V177" s="680"/>
      <c r="W177" s="680"/>
      <c r="X177" s="680"/>
      <c r="Y177" s="680"/>
      <c r="Z177" s="680"/>
      <c r="AA177" s="680"/>
      <c r="AB177" s="680"/>
      <c r="AC177" s="688"/>
      <c r="AD177" s="398"/>
      <c r="AE177" s="398"/>
      <c r="AF177" s="396"/>
    </row>
    <row r="178" spans="1:32" s="410" customFormat="1" x14ac:dyDescent="0.25">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6"/>
      <c r="AE178" s="397"/>
      <c r="AF178" s="391"/>
    </row>
    <row r="179" spans="1:32" s="410" customFormat="1" x14ac:dyDescent="0.25">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6"/>
      <c r="AE179" s="396"/>
      <c r="AF179" s="393"/>
    </row>
    <row r="180" spans="1:32" s="410" customFormat="1" x14ac:dyDescent="0.25">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6"/>
      <c r="AE180" s="399"/>
      <c r="AF180" s="395"/>
    </row>
    <row r="181" spans="1:32" s="410" customFormat="1" x14ac:dyDescent="0.25">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6"/>
      <c r="AE181" s="397"/>
      <c r="AF181" s="395"/>
    </row>
    <row r="182" spans="1:32" s="410" customFormat="1" x14ac:dyDescent="0.25">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6"/>
      <c r="AE182" s="397"/>
      <c r="AF182" s="395"/>
    </row>
    <row r="183" spans="1:32" s="410" customFormat="1" x14ac:dyDescent="0.25">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6"/>
      <c r="AE183" s="397"/>
      <c r="AF183" s="395"/>
    </row>
    <row r="184" spans="1:32" s="410" customFormat="1" ht="12.75" customHeight="1" x14ac:dyDescent="0.25">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6"/>
      <c r="AF184" s="395"/>
    </row>
    <row r="185" spans="1:32" s="410" customFormat="1" x14ac:dyDescent="0.25">
      <c r="A185" s="377"/>
      <c r="B185" s="377"/>
      <c r="C185" s="377"/>
      <c r="D185" s="377"/>
      <c r="E185" s="377"/>
      <c r="F185" s="680"/>
      <c r="G185" s="377"/>
      <c r="H185" s="377"/>
      <c r="I185" s="377"/>
      <c r="L185" s="377"/>
      <c r="M185" s="680"/>
      <c r="N185" s="680"/>
      <c r="O185" s="680"/>
      <c r="P185" s="680"/>
      <c r="Q185" s="680"/>
      <c r="R185" s="680"/>
      <c r="S185" s="680"/>
      <c r="T185" s="680"/>
      <c r="U185" s="680"/>
      <c r="V185" s="680"/>
      <c r="W185" s="680"/>
      <c r="X185" s="680"/>
      <c r="Y185" s="680"/>
      <c r="Z185" s="680"/>
      <c r="AA185" s="680"/>
      <c r="AB185" s="680"/>
      <c r="AC185" s="688"/>
      <c r="AD185" s="396"/>
      <c r="AE185" s="399"/>
      <c r="AF185" s="395"/>
    </row>
    <row r="186" spans="1:32" s="410" customFormat="1" x14ac:dyDescent="0.25">
      <c r="A186" s="377"/>
      <c r="B186" s="377"/>
      <c r="C186" s="377"/>
      <c r="D186" s="377"/>
      <c r="E186" s="377"/>
      <c r="F186" s="680"/>
      <c r="G186" s="377"/>
      <c r="H186" s="377"/>
      <c r="I186" s="377"/>
      <c r="J186" s="377"/>
      <c r="K186" s="377"/>
      <c r="L186" s="377"/>
      <c r="M186" s="680"/>
      <c r="N186" s="680"/>
      <c r="O186" s="680"/>
      <c r="P186" s="680"/>
      <c r="Q186" s="680"/>
      <c r="R186" s="680"/>
      <c r="S186" s="680"/>
      <c r="T186" s="680"/>
      <c r="U186" s="680"/>
      <c r="V186" s="680"/>
      <c r="W186" s="680"/>
      <c r="X186" s="680"/>
      <c r="Y186" s="680"/>
      <c r="Z186" s="680"/>
      <c r="AA186" s="680"/>
      <c r="AB186" s="680"/>
      <c r="AC186" s="688"/>
      <c r="AD186" s="396"/>
      <c r="AE186" s="397"/>
      <c r="AF186" s="395"/>
    </row>
    <row r="187" spans="1:32" s="410" customFormat="1" x14ac:dyDescent="0.25">
      <c r="A187" s="377"/>
      <c r="B187" s="377"/>
      <c r="C187" s="377"/>
      <c r="D187" s="377"/>
      <c r="E187" s="377"/>
      <c r="F187" s="680"/>
      <c r="G187" s="377"/>
      <c r="H187" s="377"/>
      <c r="I187" s="377"/>
      <c r="J187" s="377"/>
      <c r="K187" s="377"/>
      <c r="L187" s="377"/>
      <c r="M187" s="680"/>
      <c r="N187" s="680"/>
      <c r="O187" s="680"/>
      <c r="P187" s="680"/>
      <c r="Q187" s="680"/>
      <c r="R187" s="680"/>
      <c r="S187" s="680"/>
      <c r="T187" s="680"/>
      <c r="U187" s="680"/>
      <c r="V187" s="680"/>
      <c r="W187" s="680"/>
      <c r="X187" s="680"/>
      <c r="Y187" s="680"/>
      <c r="Z187" s="680"/>
      <c r="AA187" s="680"/>
      <c r="AB187" s="680"/>
      <c r="AC187" s="688"/>
      <c r="AD187" s="398"/>
      <c r="AE187" s="396"/>
      <c r="AF187" s="395"/>
    </row>
    <row r="188" spans="1:32" s="410" customFormat="1" x14ac:dyDescent="0.25">
      <c r="A188" s="377"/>
      <c r="B188" s="377"/>
      <c r="C188" s="377"/>
      <c r="D188" s="377"/>
      <c r="E188" s="377"/>
      <c r="F188" s="680"/>
      <c r="G188" s="377"/>
      <c r="H188" s="377"/>
      <c r="I188" s="377"/>
      <c r="J188" s="377"/>
      <c r="K188" s="377"/>
      <c r="L188" s="377"/>
      <c r="M188" s="680"/>
      <c r="N188" s="680"/>
      <c r="O188" s="680"/>
      <c r="P188" s="680"/>
      <c r="Q188" s="680"/>
      <c r="R188" s="680"/>
      <c r="S188" s="680"/>
      <c r="T188" s="680"/>
      <c r="U188" s="680"/>
      <c r="V188" s="680"/>
      <c r="W188" s="680"/>
      <c r="X188" s="680"/>
      <c r="Y188" s="680"/>
      <c r="Z188" s="680"/>
      <c r="AA188" s="680"/>
      <c r="AB188" s="680"/>
      <c r="AC188" s="688"/>
      <c r="AD188" s="398"/>
      <c r="AE188" s="396"/>
      <c r="AF188" s="395"/>
    </row>
    <row r="189" spans="1:32" s="410" customFormat="1" x14ac:dyDescent="0.25">
      <c r="A189" s="377"/>
      <c r="B189" s="377"/>
      <c r="C189" s="377"/>
      <c r="D189" s="377"/>
      <c r="E189" s="377"/>
      <c r="F189" s="680"/>
      <c r="G189" s="377"/>
      <c r="H189" s="377"/>
      <c r="I189" s="377"/>
      <c r="J189" s="377"/>
      <c r="K189" s="377"/>
      <c r="L189" s="377"/>
      <c r="M189" s="680"/>
      <c r="N189" s="680"/>
      <c r="O189" s="680"/>
      <c r="P189" s="680"/>
      <c r="Q189" s="680"/>
      <c r="R189" s="680"/>
      <c r="S189" s="680"/>
      <c r="T189" s="680"/>
      <c r="U189" s="680"/>
      <c r="V189" s="680"/>
      <c r="W189" s="680"/>
      <c r="X189" s="680"/>
      <c r="Y189" s="680"/>
      <c r="Z189" s="680"/>
      <c r="AA189" s="680"/>
      <c r="AB189" s="680"/>
      <c r="AC189" s="688"/>
      <c r="AD189" s="398"/>
      <c r="AE189" s="396"/>
      <c r="AF189" s="398"/>
    </row>
    <row r="190" spans="1:32" s="410" customFormat="1" x14ac:dyDescent="0.25">
      <c r="A190" s="377"/>
      <c r="B190" s="377"/>
      <c r="C190" s="377"/>
      <c r="D190" s="377"/>
      <c r="E190" s="377"/>
      <c r="F190" s="680"/>
      <c r="G190" s="377"/>
      <c r="H190" s="377"/>
      <c r="I190" s="377"/>
      <c r="J190" s="377"/>
      <c r="K190" s="377"/>
      <c r="L190" s="377"/>
      <c r="M190" s="680"/>
      <c r="N190" s="680"/>
      <c r="O190" s="680"/>
      <c r="P190" s="680"/>
      <c r="Q190" s="680"/>
      <c r="R190" s="680"/>
      <c r="S190" s="680"/>
      <c r="T190" s="680"/>
      <c r="U190" s="680"/>
      <c r="V190" s="680"/>
      <c r="W190" s="680"/>
      <c r="X190" s="680"/>
      <c r="Y190" s="680"/>
      <c r="Z190" s="680"/>
      <c r="AA190" s="680"/>
      <c r="AB190" s="680"/>
      <c r="AC190" s="688"/>
      <c r="AD190" s="377"/>
      <c r="AE190" s="381"/>
      <c r="AF190" s="398"/>
    </row>
    <row r="191" spans="1:32" s="410" customFormat="1" x14ac:dyDescent="0.25">
      <c r="A191" s="377"/>
      <c r="B191" s="377"/>
      <c r="C191" s="377"/>
      <c r="D191" s="377"/>
      <c r="E191" s="377"/>
      <c r="F191" s="680"/>
      <c r="G191" s="377"/>
      <c r="H191" s="377"/>
      <c r="I191" s="377"/>
      <c r="J191" s="377"/>
      <c r="K191" s="377"/>
      <c r="L191" s="377"/>
      <c r="M191" s="680"/>
      <c r="N191" s="680"/>
      <c r="O191" s="680"/>
      <c r="P191" s="680"/>
      <c r="Q191" s="680"/>
      <c r="R191" s="680"/>
      <c r="S191" s="680"/>
      <c r="T191" s="680"/>
      <c r="U191" s="680"/>
      <c r="V191" s="680"/>
      <c r="W191" s="680"/>
      <c r="X191" s="680"/>
      <c r="Y191" s="680"/>
      <c r="Z191" s="680"/>
      <c r="AA191" s="680"/>
      <c r="AB191" s="680"/>
      <c r="AC191" s="688"/>
      <c r="AD191" s="377"/>
      <c r="AE191" s="381"/>
      <c r="AF191" s="398"/>
    </row>
    <row r="192" spans="1:32" s="410" customFormat="1" x14ac:dyDescent="0.25">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77"/>
      <c r="AE192" s="381"/>
      <c r="AF192" s="398"/>
    </row>
    <row r="193" spans="1:32" s="410" customFormat="1" x14ac:dyDescent="0.25">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77"/>
      <c r="AE193" s="381"/>
      <c r="AF193" s="398"/>
    </row>
    <row r="194" spans="1:32" s="410" customFormat="1" x14ac:dyDescent="0.25">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77"/>
      <c r="AE194" s="381"/>
      <c r="AF194" s="398"/>
    </row>
    <row r="195" spans="1:32" s="410" customFormat="1" ht="12" customHeight="1" x14ac:dyDescent="0.25">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77"/>
      <c r="AE195" s="381"/>
      <c r="AF195" s="398"/>
    </row>
    <row r="196" spans="1:32" s="410" customFormat="1" ht="12" customHeight="1" x14ac:dyDescent="0.25">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98"/>
    </row>
    <row r="197" spans="1:32" s="410" customFormat="1" ht="12" customHeight="1" x14ac:dyDescent="0.25">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77"/>
    </row>
    <row r="198" spans="1:32" s="410" customFormat="1" ht="12" customHeight="1" x14ac:dyDescent="0.25">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77"/>
    </row>
    <row r="199" spans="1:32" s="410" customFormat="1" ht="12" customHeight="1" x14ac:dyDescent="0.25">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77"/>
    </row>
    <row r="200" spans="1:32" s="410" customFormat="1" ht="12" customHeight="1" x14ac:dyDescent="0.25">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77"/>
    </row>
    <row r="201" spans="1:32" s="410" customFormat="1" ht="12" customHeight="1" x14ac:dyDescent="0.25">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77"/>
    </row>
    <row r="202" spans="1:32" s="410" customFormat="1" ht="12" customHeight="1" x14ac:dyDescent="0.25">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77"/>
    </row>
    <row r="203" spans="1:32" s="410" customFormat="1" ht="12" customHeight="1" x14ac:dyDescent="0.25">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5">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5">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5">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5">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5">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5">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5">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5">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5">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410" customFormat="1" ht="12" customHeight="1" x14ac:dyDescent="0.25">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row>
    <row r="214" spans="1:33" s="360" customFormat="1" x14ac:dyDescent="0.25">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c r="AG214" s="410"/>
    </row>
    <row r="215" spans="1:33" s="360" customFormat="1" x14ac:dyDescent="0.25">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c r="AG215" s="410"/>
    </row>
    <row r="216" spans="1:33" s="360" customFormat="1" x14ac:dyDescent="0.25">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c r="AG216" s="410"/>
    </row>
    <row r="217" spans="1:33" s="360" customFormat="1" x14ac:dyDescent="0.25">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c r="AG217" s="410"/>
    </row>
    <row r="218" spans="1:33" s="360" customFormat="1" x14ac:dyDescent="0.25">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c r="AG218" s="410"/>
    </row>
    <row r="219" spans="1:33" s="360" customFormat="1" x14ac:dyDescent="0.25">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c r="AG219" s="410"/>
    </row>
    <row r="220" spans="1:33" s="360" customFormat="1" x14ac:dyDescent="0.25">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5">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5">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5">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c r="AG223" s="410"/>
    </row>
    <row r="224" spans="1:33" s="360" customFormat="1" x14ac:dyDescent="0.25">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row>
    <row r="225" spans="1:32" s="360" customFormat="1" x14ac:dyDescent="0.25">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row>
    <row r="226" spans="1:32" s="360" customFormat="1" x14ac:dyDescent="0.25">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row>
    <row r="227" spans="1:32" s="360" customFormat="1" x14ac:dyDescent="0.25">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row>
    <row r="228" spans="1:32" s="360" customFormat="1" x14ac:dyDescent="0.25">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row>
    <row r="229" spans="1:32" s="360" customFormat="1" x14ac:dyDescent="0.25">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row>
    <row r="230" spans="1:32" s="360" customFormat="1" x14ac:dyDescent="0.25">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2" s="360" customFormat="1" x14ac:dyDescent="0.25">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2" s="360" customFormat="1" x14ac:dyDescent="0.25">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2" s="360" customFormat="1" x14ac:dyDescent="0.25">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2" s="360" customFormat="1" x14ac:dyDescent="0.25">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2" s="360" customFormat="1" x14ac:dyDescent="0.25">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2" s="360" customFormat="1" x14ac:dyDescent="0.25">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2" s="360" customFormat="1" x14ac:dyDescent="0.25">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2" s="360" customFormat="1" x14ac:dyDescent="0.25">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2" s="360" customFormat="1" x14ac:dyDescent="0.25">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2" s="360" customFormat="1" x14ac:dyDescent="0.25">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row>
    <row r="241" spans="1:34" s="360" customFormat="1" x14ac:dyDescent="0.25">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c r="AH241" s="405"/>
    </row>
    <row r="242" spans="1:34" s="360" customFormat="1" x14ac:dyDescent="0.25">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c r="AG242" s="411"/>
      <c r="AH242" s="405"/>
    </row>
    <row r="243" spans="1:34" s="360" customFormat="1" x14ac:dyDescent="0.25">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c r="AG243" s="411"/>
      <c r="AH243" s="407"/>
    </row>
    <row r="244" spans="1:34" s="360" customFormat="1" x14ac:dyDescent="0.25">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c r="AG244" s="411"/>
      <c r="AH244" s="405"/>
    </row>
    <row r="245" spans="1:34" s="360" customFormat="1" ht="14.25" customHeight="1" x14ac:dyDescent="0.25">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c r="AG245" s="411"/>
      <c r="AH245" s="404"/>
    </row>
    <row r="246" spans="1:34" s="360" customFormat="1" x14ac:dyDescent="0.25">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c r="AH246" s="404"/>
    </row>
    <row r="247" spans="1:34" s="412" customFormat="1" ht="12" customHeight="1" x14ac:dyDescent="0.25">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G247" s="360"/>
      <c r="AH247" s="405"/>
    </row>
    <row r="248" spans="1:34" s="360" customFormat="1" x14ac:dyDescent="0.25">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H248" s="405"/>
    </row>
    <row r="249" spans="1:34" s="360" customFormat="1" ht="17.25" customHeight="1" x14ac:dyDescent="0.25">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H249" s="405"/>
    </row>
    <row r="250" spans="1:34" s="360" customFormat="1" x14ac:dyDescent="0.25">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H250" s="395"/>
    </row>
    <row r="251" spans="1:34" s="360" customFormat="1" x14ac:dyDescent="0.25">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04"/>
      <c r="AH251" s="376"/>
    </row>
    <row r="252" spans="1:34" s="360" customFormat="1" x14ac:dyDescent="0.25">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G252" s="404"/>
      <c r="AH252" s="376"/>
    </row>
    <row r="253" spans="1:34" s="360" customFormat="1" ht="13.5" customHeight="1" x14ac:dyDescent="0.25">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402"/>
      <c r="AH253" s="377"/>
    </row>
    <row r="254" spans="1:34" s="360" customFormat="1" x14ac:dyDescent="0.25">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G254" s="375"/>
      <c r="AH254" s="377"/>
    </row>
    <row r="255" spans="1:34" s="360" customFormat="1" x14ac:dyDescent="0.25">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G255" s="375"/>
      <c r="AH255" s="377"/>
    </row>
    <row r="256" spans="1:34" s="360" customFormat="1" x14ac:dyDescent="0.25">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G256" s="375"/>
      <c r="AH256" s="377"/>
    </row>
    <row r="257" spans="1:34" s="360" customFormat="1" x14ac:dyDescent="0.25">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382"/>
      <c r="AH257" s="384"/>
    </row>
    <row r="258" spans="1:34" s="360" customFormat="1" ht="15.75" customHeight="1" x14ac:dyDescent="0.25">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382"/>
      <c r="AH258" s="388"/>
    </row>
    <row r="259" spans="1:34" s="360" customFormat="1" ht="15.75" customHeight="1" x14ac:dyDescent="0.25">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382"/>
      <c r="AH259" s="377"/>
    </row>
    <row r="260" spans="1:34" s="360" customFormat="1" ht="12.75" customHeight="1" x14ac:dyDescent="0.25">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87"/>
      <c r="AH260" s="389"/>
    </row>
    <row r="261" spans="1:34" s="360" customFormat="1" x14ac:dyDescent="0.25">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88"/>
      <c r="AH261" s="389"/>
    </row>
    <row r="262" spans="1:34" s="360" customFormat="1" x14ac:dyDescent="0.25">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7"/>
      <c r="AH262" s="377"/>
    </row>
    <row r="263" spans="1:34" s="360" customFormat="1" x14ac:dyDescent="0.25">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9"/>
      <c r="AH263" s="390"/>
    </row>
    <row r="264" spans="1:34" s="360" customFormat="1" x14ac:dyDescent="0.25">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89"/>
      <c r="AH264" s="391"/>
    </row>
    <row r="265" spans="1:34" s="360" customFormat="1" x14ac:dyDescent="0.25">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77"/>
      <c r="AH265" s="391"/>
    </row>
    <row r="266" spans="1:34" s="360" customFormat="1" ht="14.25" customHeight="1" x14ac:dyDescent="0.25">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90"/>
      <c r="AH266" s="391"/>
    </row>
    <row r="267" spans="1:34" s="360" customFormat="1" x14ac:dyDescent="0.25">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91"/>
      <c r="AH267" s="391"/>
    </row>
    <row r="268" spans="1:34" s="360" customFormat="1" x14ac:dyDescent="0.25">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91"/>
      <c r="AH268" s="391"/>
    </row>
    <row r="269" spans="1:34" s="383" customFormat="1" x14ac:dyDescent="0.25">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91"/>
      <c r="AH269" s="391"/>
    </row>
    <row r="270" spans="1:34" s="383" customFormat="1" ht="12" customHeight="1" x14ac:dyDescent="0.25">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91"/>
    </row>
    <row r="271" spans="1:34" s="383" customFormat="1" x14ac:dyDescent="0.25">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91"/>
    </row>
    <row r="272" spans="1:34" s="384" customFormat="1" ht="11.25" customHeight="1" x14ac:dyDescent="0.25">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1"/>
    </row>
    <row r="273" spans="1:33" s="388" customFormat="1" x14ac:dyDescent="0.25">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1"/>
    </row>
    <row r="274" spans="1:33" x14ac:dyDescent="0.25">
      <c r="AG274" s="393"/>
    </row>
    <row r="275" spans="1:33" s="389" customFormat="1" x14ac:dyDescent="0.25">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5"/>
    </row>
    <row r="276" spans="1:33" s="389" customFormat="1" x14ac:dyDescent="0.25">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5"/>
    </row>
    <row r="277" spans="1:33" x14ac:dyDescent="0.25">
      <c r="AG277" s="395"/>
    </row>
    <row r="278" spans="1:33" x14ac:dyDescent="0.25">
      <c r="AG278" s="395"/>
    </row>
    <row r="279" spans="1:33" s="392" customFormat="1" x14ac:dyDescent="0.25">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97"/>
    </row>
    <row r="280" spans="1:33" s="392" customFormat="1" x14ac:dyDescent="0.25">
      <c r="A280" s="377"/>
      <c r="B280" s="377"/>
      <c r="C280" s="377"/>
      <c r="D280" s="377"/>
      <c r="E280" s="377"/>
      <c r="F280" s="680"/>
      <c r="G280" s="377"/>
      <c r="H280" s="377"/>
      <c r="I280" s="377"/>
      <c r="J280" s="377"/>
      <c r="K280" s="377"/>
      <c r="L280" s="377"/>
      <c r="M280" s="680"/>
      <c r="N280" s="680"/>
      <c r="O280" s="680"/>
      <c r="P280" s="680"/>
      <c r="Q280" s="680"/>
      <c r="R280" s="680"/>
      <c r="S280" s="680"/>
      <c r="T280" s="680"/>
      <c r="U280" s="680"/>
      <c r="V280" s="680"/>
      <c r="W280" s="680"/>
      <c r="X280" s="680"/>
      <c r="Y280" s="680"/>
      <c r="Z280" s="680"/>
      <c r="AA280" s="680"/>
      <c r="AB280" s="680"/>
      <c r="AC280" s="688"/>
      <c r="AD280" s="377"/>
      <c r="AE280" s="381"/>
      <c r="AF280" s="377"/>
      <c r="AG280" s="383"/>
    </row>
    <row r="281" spans="1:33" s="392" customFormat="1" x14ac:dyDescent="0.25">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83"/>
    </row>
    <row r="282" spans="1:33" s="392" customFormat="1" x14ac:dyDescent="0.25">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84"/>
    </row>
    <row r="283" spans="1:33" s="392" customFormat="1" x14ac:dyDescent="0.25">
      <c r="A283" s="377"/>
      <c r="B283" s="377"/>
      <c r="C283" s="377"/>
      <c r="D283" s="377"/>
      <c r="E283" s="377"/>
      <c r="F283" s="680"/>
      <c r="G283" s="377"/>
      <c r="H283" s="377"/>
      <c r="I283" s="377"/>
      <c r="J283" s="377"/>
      <c r="K283" s="377"/>
      <c r="L283" s="377"/>
      <c r="M283" s="680"/>
      <c r="N283" s="680"/>
      <c r="O283" s="680"/>
      <c r="P283" s="680"/>
      <c r="Q283" s="680"/>
      <c r="R283" s="680"/>
      <c r="S283" s="680"/>
      <c r="T283" s="680"/>
      <c r="U283" s="680"/>
      <c r="V283" s="680"/>
      <c r="W283" s="680"/>
      <c r="X283" s="680"/>
      <c r="Y283" s="680"/>
      <c r="Z283" s="680"/>
      <c r="AA283" s="680"/>
      <c r="AB283" s="680"/>
      <c r="AC283" s="688"/>
      <c r="AD283" s="377"/>
      <c r="AE283" s="381"/>
      <c r="AF283" s="377"/>
      <c r="AG283" s="388"/>
    </row>
    <row r="284" spans="1:33" s="392" customFormat="1" x14ac:dyDescent="0.25">
      <c r="A284" s="377"/>
      <c r="B284" s="377"/>
      <c r="C284" s="377"/>
      <c r="D284" s="377"/>
      <c r="E284" s="377"/>
      <c r="F284" s="680"/>
      <c r="G284" s="377"/>
      <c r="H284" s="377"/>
      <c r="I284" s="377"/>
      <c r="J284" s="377"/>
      <c r="K284" s="377"/>
      <c r="L284" s="377"/>
      <c r="M284" s="680"/>
      <c r="N284" s="680"/>
      <c r="O284" s="680"/>
      <c r="P284" s="680"/>
      <c r="Q284" s="680"/>
      <c r="R284" s="680"/>
      <c r="S284" s="680"/>
      <c r="T284" s="680"/>
      <c r="U284" s="680"/>
      <c r="V284" s="680"/>
      <c r="W284" s="680"/>
      <c r="X284" s="680"/>
      <c r="Y284" s="680"/>
      <c r="Z284" s="680"/>
      <c r="AA284" s="680"/>
      <c r="AB284" s="680"/>
      <c r="AC284" s="688"/>
      <c r="AD284" s="377"/>
      <c r="AE284" s="381"/>
      <c r="AF284" s="377"/>
      <c r="AG284" s="377"/>
    </row>
    <row r="285" spans="1:33" s="392" customFormat="1" x14ac:dyDescent="0.25">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89"/>
    </row>
    <row r="286" spans="1:33" s="392" customFormat="1" x14ac:dyDescent="0.25">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89"/>
    </row>
    <row r="288" spans="1:33" s="390" customFormat="1" x14ac:dyDescent="0.25">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77"/>
    </row>
    <row r="289" spans="1:33" s="391" customFormat="1" x14ac:dyDescent="0.25">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92"/>
    </row>
    <row r="290" spans="1:33" s="391" customFormat="1" x14ac:dyDescent="0.25">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92"/>
    </row>
    <row r="291" spans="1:33" s="391" customFormat="1" x14ac:dyDescent="0.25">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92"/>
    </row>
    <row r="292" spans="1:33" s="391" customFormat="1" x14ac:dyDescent="0.25">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92"/>
    </row>
    <row r="293" spans="1:33" s="391" customFormat="1" x14ac:dyDescent="0.25">
      <c r="A293" s="377"/>
      <c r="B293" s="377"/>
      <c r="C293" s="377"/>
      <c r="D293" s="377"/>
      <c r="E293" s="377"/>
      <c r="F293" s="680"/>
      <c r="G293" s="377"/>
      <c r="H293" s="377"/>
      <c r="I293" s="377"/>
      <c r="J293" s="377"/>
      <c r="K293" s="377"/>
      <c r="L293" s="377"/>
      <c r="M293" s="680"/>
      <c r="N293" s="680"/>
      <c r="O293" s="680"/>
      <c r="P293" s="680"/>
      <c r="Q293" s="680"/>
      <c r="R293" s="680"/>
      <c r="S293" s="680"/>
      <c r="T293" s="680"/>
      <c r="U293" s="680"/>
      <c r="V293" s="680"/>
      <c r="W293" s="680"/>
      <c r="X293" s="680"/>
      <c r="Y293" s="680"/>
      <c r="Z293" s="680"/>
      <c r="AA293" s="680"/>
      <c r="AB293" s="680"/>
      <c r="AC293" s="688"/>
      <c r="AD293" s="377"/>
      <c r="AE293" s="381"/>
      <c r="AF293" s="377"/>
      <c r="AG293" s="392"/>
    </row>
    <row r="294" spans="1:33" s="391" customFormat="1" x14ac:dyDescent="0.25">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92"/>
    </row>
    <row r="295" spans="1:33" s="391" customFormat="1" x14ac:dyDescent="0.25">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4" customFormat="1" x14ac:dyDescent="0.25">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2"/>
    </row>
    <row r="297" spans="1:33" s="395" customFormat="1" ht="12.75" customHeight="1" x14ac:dyDescent="0.25">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77"/>
    </row>
    <row r="298" spans="1:33" s="395" customFormat="1" ht="12.75" customHeight="1" x14ac:dyDescent="0.25">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0"/>
    </row>
    <row r="299" spans="1:33" s="395" customFormat="1" ht="12.75" customHeight="1" x14ac:dyDescent="0.25">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1"/>
    </row>
    <row r="300" spans="1:33" s="395" customFormat="1" ht="12.75" customHeight="1" x14ac:dyDescent="0.25">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1"/>
    </row>
    <row r="301" spans="1:33" s="395" customFormat="1" ht="12.75" customHeight="1" x14ac:dyDescent="0.25">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1"/>
    </row>
    <row r="302" spans="1:33" s="395" customFormat="1" ht="12.75" customHeight="1" x14ac:dyDescent="0.25">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1"/>
    </row>
    <row r="303" spans="1:33" s="395" customFormat="1" ht="12.75" customHeight="1" x14ac:dyDescent="0.25">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91"/>
    </row>
    <row r="304" spans="1:33" s="395" customFormat="1" ht="12.75" customHeight="1" x14ac:dyDescent="0.25">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1"/>
    </row>
    <row r="305" spans="1:33" s="395" customFormat="1" ht="12.75" customHeight="1" x14ac:dyDescent="0.25">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1"/>
    </row>
    <row r="306" spans="1:33" s="398" customFormat="1" x14ac:dyDescent="0.25">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4"/>
    </row>
    <row r="307" spans="1:33" s="398" customFormat="1" x14ac:dyDescent="0.25">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5"/>
    </row>
    <row r="308" spans="1:33" s="398" customFormat="1" x14ac:dyDescent="0.25">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5"/>
    </row>
    <row r="309" spans="1:33" s="398" customFormat="1" x14ac:dyDescent="0.25">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5"/>
    </row>
    <row r="310" spans="1:33" s="398" customFormat="1" x14ac:dyDescent="0.25">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5"/>
    </row>
    <row r="311" spans="1:33" s="398" customFormat="1" x14ac:dyDescent="0.25">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5"/>
    </row>
    <row r="312" spans="1:33" s="398" customFormat="1" x14ac:dyDescent="0.25">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5"/>
    </row>
    <row r="313" spans="1:33" s="398" customFormat="1" x14ac:dyDescent="0.25">
      <c r="A313" s="377"/>
      <c r="B313" s="377"/>
      <c r="C313" s="377"/>
      <c r="D313" s="377"/>
      <c r="E313" s="377"/>
      <c r="F313" s="680"/>
      <c r="G313" s="377"/>
      <c r="H313" s="377"/>
      <c r="I313" s="377"/>
      <c r="J313" s="377"/>
      <c r="K313" s="377"/>
      <c r="L313" s="377"/>
      <c r="M313" s="680"/>
      <c r="N313" s="680"/>
      <c r="O313" s="680"/>
      <c r="P313" s="680"/>
      <c r="Q313" s="680"/>
      <c r="R313" s="680"/>
      <c r="S313" s="680"/>
      <c r="T313" s="680"/>
      <c r="U313" s="680"/>
      <c r="V313" s="680"/>
      <c r="W313" s="680"/>
      <c r="X313" s="680"/>
      <c r="Y313" s="680"/>
      <c r="Z313" s="680"/>
      <c r="AA313" s="680"/>
      <c r="AB313" s="680"/>
      <c r="AC313" s="688"/>
      <c r="AD313" s="377"/>
      <c r="AE313" s="381"/>
      <c r="AF313" s="377"/>
      <c r="AG313" s="395"/>
    </row>
    <row r="314" spans="1:33" x14ac:dyDescent="0.25">
      <c r="AG314" s="395"/>
    </row>
    <row r="315" spans="1:33" x14ac:dyDescent="0.25">
      <c r="AG315" s="395"/>
    </row>
    <row r="316" spans="1:33" x14ac:dyDescent="0.25">
      <c r="AG316" s="398"/>
    </row>
    <row r="317" spans="1:33" x14ac:dyDescent="0.25">
      <c r="AG317" s="398"/>
    </row>
    <row r="318" spans="1:33" x14ac:dyDescent="0.25">
      <c r="AG318" s="398"/>
    </row>
    <row r="319" spans="1:33" x14ac:dyDescent="0.25">
      <c r="AG319" s="398"/>
    </row>
    <row r="320" spans="1:33" x14ac:dyDescent="0.25">
      <c r="AG320" s="398"/>
    </row>
    <row r="321" spans="33:33" x14ac:dyDescent="0.25">
      <c r="AG321" s="398"/>
    </row>
    <row r="322" spans="33:33" x14ac:dyDescent="0.25">
      <c r="AG322" s="398"/>
    </row>
    <row r="323" spans="33:33" x14ac:dyDescent="0.25">
      <c r="AG323"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97</xdr:row>
                    <xdr:rowOff>167640</xdr:rowOff>
                  </from>
                  <to>
                    <xdr:col>12</xdr:col>
                    <xdr:colOff>99060</xdr:colOff>
                    <xdr:row>98</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17276.259718899524</v>
      </c>
      <c r="F12" s="33">
        <f>(D12*$C$6)+(C12*$C$7)</f>
        <v>2.09</v>
      </c>
      <c r="G12" s="32">
        <f ca="1">E12*F12</f>
        <v>36107.3828125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10087.071994617225</v>
      </c>
      <c r="F14" s="33">
        <f>(D14*$C$6)+(C14*$C$7)</f>
        <v>2.09</v>
      </c>
      <c r="G14" s="32">
        <f ca="1">E14*F14</f>
        <v>21081.98046875</v>
      </c>
      <c r="H14" s="33"/>
    </row>
    <row r="15" spans="1:8" x14ac:dyDescent="0.25">
      <c r="B15" s="240" t="s">
        <v>18</v>
      </c>
      <c r="E15" s="34">
        <f ca="1">SUM(E12:E14)</f>
        <v>27363.331713516749</v>
      </c>
      <c r="F15" s="35"/>
      <c r="G15" s="34">
        <f ca="1">SUM(G12:G14)</f>
        <v>57189.36328125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11049.806680484695</v>
      </c>
      <c r="F18" s="35">
        <f>C18*G7+D18*G6</f>
        <v>1.96</v>
      </c>
      <c r="G18" s="34">
        <f ca="1">F18*E18</f>
        <v>21657.62109375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41469.622927295917</v>
      </c>
      <c r="F22" s="33">
        <f>IF($I$22=1,C22*$C$8,C22*$G$7)+IF($J$22=1,D22*$C$6,D22*$G$6)</f>
        <v>1.96</v>
      </c>
      <c r="G22" s="32">
        <f t="shared" ref="G22:G29" ca="1" si="0">F22*E22</f>
        <v>81280.4609375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18665.078922193879</v>
      </c>
      <c r="F25" s="33">
        <f t="shared" si="1"/>
        <v>1.96</v>
      </c>
      <c r="G25" s="32">
        <f t="shared" ca="1" si="0"/>
        <v>36583.5546875</v>
      </c>
      <c r="I25" s="31"/>
      <c r="J25" s="31"/>
      <c r="K25" s="31"/>
    </row>
    <row r="26" spans="1:12" x14ac:dyDescent="0.25">
      <c r="B26" s="238" t="s">
        <v>47</v>
      </c>
      <c r="C26" s="239">
        <v>1</v>
      </c>
      <c r="D26" s="239">
        <v>0</v>
      </c>
      <c r="E26" s="32">
        <f ca="1">-INDEX(Economics!$A$34:$D$45,MATCH(Fuel!B26,Economics!$A$34:$A$45,0),4)/Fuel!F26</f>
        <v>12119.317004145409</v>
      </c>
      <c r="F26" s="33">
        <f t="shared" si="1"/>
        <v>1.96</v>
      </c>
      <c r="G26" s="32">
        <f t="shared" ca="1" si="0"/>
        <v>23753.861328125</v>
      </c>
      <c r="I26" s="31"/>
      <c r="J26" s="31"/>
      <c r="K26" s="31"/>
    </row>
    <row r="27" spans="1:12" x14ac:dyDescent="0.25">
      <c r="B27" s="250" t="s">
        <v>46</v>
      </c>
      <c r="C27" s="239">
        <v>1</v>
      </c>
      <c r="D27" s="239">
        <v>0</v>
      </c>
      <c r="E27" s="32">
        <f ca="1">-INDEX(Economics!$A$34:$D$45,MATCH(Fuel!B27,Economics!$A$34:$A$45,0),4)/Fuel!F27</f>
        <v>11684.600207270409</v>
      </c>
      <c r="F27" s="33">
        <f t="shared" si="1"/>
        <v>1.96</v>
      </c>
      <c r="G27" s="32">
        <f t="shared" ca="1" si="0"/>
        <v>22901.81640625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83938.619060905621</v>
      </c>
      <c r="F30" s="35"/>
      <c r="G30" s="34">
        <f ca="1">SUM(G22:G29)</f>
        <v>164519.693359375</v>
      </c>
      <c r="I30" s="31"/>
      <c r="J30" s="31"/>
      <c r="K30" s="31"/>
    </row>
    <row r="31" spans="1:12" x14ac:dyDescent="0.25">
      <c r="B31" s="240"/>
      <c r="I31" s="31"/>
      <c r="J31" s="31"/>
      <c r="K31" s="31"/>
    </row>
    <row r="32" spans="1:12" ht="13.8" thickBot="1" x14ac:dyDescent="0.3">
      <c r="B32" s="240" t="s">
        <v>18</v>
      </c>
      <c r="E32" s="7">
        <f ca="1">E15+E18+E30</f>
        <v>122351.75745490706</v>
      </c>
      <c r="F32" s="8"/>
      <c r="G32" s="7">
        <f ca="1">G15+G18+G30</f>
        <v>243366.677734375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518555.69999999995</v>
      </c>
      <c r="C3" s="117">
        <f ca="1">6.8*0.75*E3</f>
        <v>127760.09999999999</v>
      </c>
      <c r="D3" s="117">
        <f ca="1">C3+B3</f>
        <v>646315.79999999993</v>
      </c>
      <c r="E3" s="118">
        <f ca="1">SUM(Preschedule!B59:Y59)</f>
        <v>25051</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-25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-250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1272</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725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-16435.124160000003</v>
      </c>
      <c r="C28" s="120"/>
      <c r="D28" s="120">
        <f ca="1">C28+B28</f>
        <v>-16435.124160000003</v>
      </c>
      <c r="E28" s="114">
        <f>SUM(Preschedule!B56:Y56)</f>
        <v>1257</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-19312.128000000001</v>
      </c>
      <c r="C30" s="120"/>
      <c r="D30" s="120">
        <f>C30+B30</f>
        <v>-19312.128000000001</v>
      </c>
      <c r="E30" s="114">
        <f>SUM(Preschedule!B53:Y53)</f>
        <v>3168</v>
      </c>
      <c r="F30" s="120">
        <f>H30*I30</f>
        <v>6.0960000000000001</v>
      </c>
      <c r="G30" s="79">
        <f>-IF(E30=0,0,D30/E30)</f>
        <v>6.0960000000000001</v>
      </c>
      <c r="H30" s="134">
        <v>10.16</v>
      </c>
      <c r="I30" s="135">
        <v>0.6</v>
      </c>
    </row>
    <row r="31" spans="1:9" ht="12" x14ac:dyDescent="0.25">
      <c r="A31" s="83" t="s">
        <v>44</v>
      </c>
      <c r="B31" s="120">
        <f>-F31*E31</f>
        <v>-19312.128000000001</v>
      </c>
      <c r="C31" s="120"/>
      <c r="D31" s="120">
        <f>C31+B31</f>
        <v>-19312.128000000001</v>
      </c>
      <c r="E31" s="114">
        <f>SUM(Preschedule!B54:Y54)</f>
        <v>3168</v>
      </c>
      <c r="F31" s="120">
        <f>H31*I31</f>
        <v>6.0960000000000001</v>
      </c>
      <c r="G31" s="79">
        <f>-IF(E31=0,0,D31/E31)</f>
        <v>6.0960000000000001</v>
      </c>
      <c r="H31" s="134">
        <v>10.16</v>
      </c>
      <c r="I31" s="135">
        <v>0.6</v>
      </c>
    </row>
    <row r="32" spans="1:9" ht="12" x14ac:dyDescent="0.25">
      <c r="A32" s="83" t="s">
        <v>45</v>
      </c>
      <c r="B32" s="120">
        <f>-F32*E32</f>
        <v>-19324.32</v>
      </c>
      <c r="C32" s="120"/>
      <c r="D32" s="120">
        <f>C32+B32</f>
        <v>-19324.32</v>
      </c>
      <c r="E32" s="114">
        <f>SUM(Preschedule!B55:Y55)</f>
        <v>3170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-22901.81640625</v>
      </c>
      <c r="C34" s="120"/>
      <c r="D34" s="120">
        <f ca="1">IF(ISTEXT(B34),0,C34+B34)</f>
        <v>-22901.81640625</v>
      </c>
      <c r="E34" s="114">
        <f>SUM(Preschedule!B41:Y41)</f>
        <v>1000</v>
      </c>
      <c r="F34" s="120">
        <f ca="1">-IF(OR(ISTEXT(B34),E34=0),0,B34/E34)</f>
        <v>22.901816406249999</v>
      </c>
      <c r="G34" s="79">
        <f t="shared" ref="G34:G45" ca="1" si="6">-IF(E34=0,0,D34/E34)</f>
        <v>22.901816406249999</v>
      </c>
      <c r="H34" s="136"/>
      <c r="I34" s="135">
        <f>INDEX(FuelPriceTable,MATCH(A34,FuelNames,0),5)</f>
        <v>1.96</v>
      </c>
    </row>
    <row r="35" spans="1:9" ht="12" x14ac:dyDescent="0.25">
      <c r="A35" s="83" t="s">
        <v>47</v>
      </c>
      <c r="B35" s="120">
        <f ca="1">Gencost(Preschedule!B42:Y42,OFFSET(HeatRateStart,1,MATCH(A35,HeatRateNames,0)-1,250,1),I35)</f>
        <v>-23753.861328125</v>
      </c>
      <c r="C35" s="120"/>
      <c r="D35" s="120">
        <f t="shared" ref="D35:D45" ca="1" si="7">IF(ISTEXT(B35),0,C35+B35)</f>
        <v>-23753.861328125</v>
      </c>
      <c r="E35" s="114">
        <f>SUM(Preschedule!B42:Y42)</f>
        <v>1144</v>
      </c>
      <c r="F35" s="120">
        <f t="shared" ref="F35:F45" ca="1" si="8">-IF(OR(ISTEXT(B35),E35=0),0,B35/E35)</f>
        <v>20.763864797312063</v>
      </c>
      <c r="G35" s="79">
        <f t="shared" ca="1" si="6"/>
        <v>20.763864797312063</v>
      </c>
      <c r="H35" s="136"/>
      <c r="I35" s="135">
        <f t="shared" ref="I35:I45" si="9">INDEX(FuelPriceTable,MATCH(A35,FuelNames,0),5)</f>
        <v>1.96</v>
      </c>
    </row>
    <row r="36" spans="1:9" ht="12" x14ac:dyDescent="0.25">
      <c r="A36" s="83" t="s">
        <v>48</v>
      </c>
      <c r="B36" s="120">
        <f ca="1">Gencost(Preschedule!B43:Y43,OFFSET(HeatRateStart,1,MATCH(A36,HeatRateNames,0)-1,250,1),I36)</f>
        <v>-36583.5546875</v>
      </c>
      <c r="C36" s="120"/>
      <c r="D36" s="120">
        <f t="shared" ca="1" si="7"/>
        <v>-36583.5546875</v>
      </c>
      <c r="E36" s="114">
        <f>SUM(Preschedule!B43:Y43)</f>
        <v>1837</v>
      </c>
      <c r="F36" s="120">
        <f t="shared" ca="1" si="8"/>
        <v>19.914836520141534</v>
      </c>
      <c r="G36" s="79">
        <f t="shared" ca="1" si="6"/>
        <v>19.914836520141534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-81280.4609375</v>
      </c>
      <c r="C41" s="120"/>
      <c r="D41" s="120">
        <f t="shared" ca="1" si="7"/>
        <v>-81280.4609375</v>
      </c>
      <c r="E41" s="114">
        <f>SUM(Preschedule!B48:Y48)</f>
        <v>4437</v>
      </c>
      <c r="F41" s="120">
        <f t="shared" ca="1" si="8"/>
        <v>18.318787680302005</v>
      </c>
      <c r="G41" s="79">
        <f t="shared" ca="1" si="6"/>
        <v>18.318787680302005</v>
      </c>
      <c r="H41" s="136"/>
      <c r="I41" s="135">
        <v>1.96</v>
      </c>
    </row>
    <row r="42" spans="1:9" ht="12" x14ac:dyDescent="0.25">
      <c r="A42" s="83" t="s">
        <v>54</v>
      </c>
      <c r="B42" s="120">
        <f ca="1">Gencost(Preschedule!B49:Y49,OFFSET(HeatRateStart,1,MATCH(A42,HeatRateNames,0)-1,250,1),I42)</f>
        <v>-21657.62109375</v>
      </c>
      <c r="C42" s="120"/>
      <c r="D42" s="120">
        <f t="shared" ca="1" si="7"/>
        <v>-21657.62109375</v>
      </c>
      <c r="E42" s="114">
        <f>SUM(Preschedule!B49:Y49)</f>
        <v>603</v>
      </c>
      <c r="F42" s="120">
        <f t="shared" ca="1" si="8"/>
        <v>35.916452891791046</v>
      </c>
      <c r="G42" s="79">
        <f t="shared" ca="1" si="6"/>
        <v>35.916452891791046</v>
      </c>
      <c r="H42" s="136"/>
      <c r="I42" s="135">
        <f t="shared" si="9"/>
        <v>1.96</v>
      </c>
    </row>
    <row r="43" spans="1:9" ht="12" x14ac:dyDescent="0.25">
      <c r="A43" s="83" t="s">
        <v>55</v>
      </c>
      <c r="B43" s="120">
        <f ca="1">Gencost(Preschedule!B50:Y50,OFFSET(HeatRateStart,1,MATCH(A43,HeatRateNames,0)-1,250,1),I43)</f>
        <v>-21081.98046875</v>
      </c>
      <c r="C43" s="120"/>
      <c r="D43" s="120">
        <f t="shared" ca="1" si="7"/>
        <v>-21081.98046875</v>
      </c>
      <c r="E43" s="114">
        <f>SUM(Preschedule!B50:Y50)</f>
        <v>823</v>
      </c>
      <c r="F43" s="120">
        <f t="shared" ca="1" si="8"/>
        <v>25.616015150364522</v>
      </c>
      <c r="G43" s="79">
        <f t="shared" ca="1" si="6"/>
        <v>25.616015150364522</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-36107.3828125</v>
      </c>
      <c r="C45" s="120"/>
      <c r="D45" s="120">
        <f t="shared" ca="1" si="7"/>
        <v>-36107.3828125</v>
      </c>
      <c r="E45" s="114">
        <f>SUM(Preschedule!B52:Y52)</f>
        <v>1697</v>
      </c>
      <c r="F45" s="120">
        <f t="shared" ca="1" si="8"/>
        <v>21.277184921921037</v>
      </c>
      <c r="G45" s="79">
        <f t="shared" ca="1" si="6"/>
        <v>21.277184921921037</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37098.040277777778</v>
      </c>
    </row>
    <row r="32" spans="2:2" x14ac:dyDescent="0.25">
      <c r="B32" t="s">
        <v>378</v>
      </c>
    </row>
    <row r="33" spans="2:2" x14ac:dyDescent="0.25">
      <c r="B33" t="s">
        <v>379</v>
      </c>
    </row>
    <row r="34" spans="2:2" x14ac:dyDescent="0.25">
      <c r="B34" t="s">
        <v>380</v>
      </c>
    </row>
    <row r="35" spans="2:2" x14ac:dyDescent="0.25">
      <c r="B35" t="s">
        <v>361</v>
      </c>
    </row>
    <row r="36" spans="2:2" x14ac:dyDescent="0.25">
      <c r="B36" t="s">
        <v>362</v>
      </c>
    </row>
    <row r="37" spans="2:2" x14ac:dyDescent="0.25">
      <c r="B37" t="s">
        <v>372</v>
      </c>
    </row>
    <row r="38" spans="2:2" x14ac:dyDescent="0.25">
      <c r="B38" t="s">
        <v>367</v>
      </c>
    </row>
    <row r="39" spans="2:2" x14ac:dyDescent="0.25">
      <c r="B39" t="s">
        <v>381</v>
      </c>
    </row>
    <row r="40" spans="2:2" x14ac:dyDescent="0.25">
      <c r="B40" t="s">
        <v>382</v>
      </c>
    </row>
    <row r="41" spans="2:2" x14ac:dyDescent="0.25">
      <c r="B41" t="s">
        <v>383</v>
      </c>
    </row>
    <row r="42" spans="2:2" x14ac:dyDescent="0.25">
      <c r="B42" t="s">
        <v>376</v>
      </c>
    </row>
    <row r="43" spans="2:2" x14ac:dyDescent="0.25">
      <c r="B43" t="s">
        <v>363</v>
      </c>
    </row>
    <row r="44" spans="2:2" x14ac:dyDescent="0.25">
      <c r="B44" t="s">
        <v>384</v>
      </c>
    </row>
    <row r="45" spans="2:2" x14ac:dyDescent="0.25">
      <c r="B45" t="s">
        <v>385</v>
      </c>
    </row>
    <row r="46" spans="2:2" x14ac:dyDescent="0.25">
      <c r="B46" t="s">
        <v>386</v>
      </c>
    </row>
    <row r="47" spans="2:2" x14ac:dyDescent="0.25">
      <c r="B47" t="s">
        <v>387</v>
      </c>
    </row>
    <row r="48" spans="2:2" x14ac:dyDescent="0.25">
      <c r="B48" t="s">
        <v>388</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2001-04-29T09:04:04Z</cp:lastPrinted>
  <dcterms:created xsi:type="dcterms:W3CDTF">1998-02-07T06:53:21Z</dcterms:created>
  <dcterms:modified xsi:type="dcterms:W3CDTF">2023-09-10T15:11:47Z</dcterms:modified>
</cp:coreProperties>
</file>