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24" windowWidth="6888" windowHeight="7728" tabRatio="601"/>
  </bookViews>
  <sheets>
    <sheet name="NNG" sheetId="1" r:id="rId1"/>
    <sheet name="Sheet3" sheetId="3" r:id="rId2"/>
  </sheets>
  <definedNames>
    <definedName name="_xlnm.Print_Area" localSheetId="0">NNG!$A$1:$BE$51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O9" i="1"/>
  <c r="S9" i="1"/>
  <c r="U9" i="1"/>
  <c r="W9" i="1"/>
  <c r="Y9" i="1"/>
  <c r="AC9" i="1"/>
  <c r="AE9" i="1"/>
  <c r="AS9" i="1"/>
  <c r="AU9" i="1"/>
  <c r="AW9" i="1"/>
  <c r="AY9" i="1"/>
  <c r="BA9" i="1"/>
  <c r="K10" i="1"/>
  <c r="U10" i="1"/>
  <c r="AE10" i="1"/>
  <c r="AS10" i="1"/>
  <c r="AW10" i="1"/>
  <c r="AY10" i="1"/>
  <c r="E11" i="1"/>
  <c r="G11" i="1"/>
  <c r="K11" i="1"/>
  <c r="U11" i="1"/>
  <c r="AE11" i="1"/>
  <c r="AS11" i="1"/>
  <c r="AU11" i="1"/>
  <c r="AW11" i="1"/>
  <c r="AY11" i="1"/>
  <c r="BA11" i="1"/>
  <c r="E12" i="1"/>
  <c r="G12" i="1"/>
  <c r="I12" i="1"/>
  <c r="K12" i="1"/>
  <c r="O12" i="1"/>
  <c r="U12" i="1"/>
  <c r="AE12" i="1"/>
  <c r="AS12" i="1"/>
  <c r="AU12" i="1"/>
  <c r="AW12" i="1"/>
  <c r="AY12" i="1"/>
  <c r="BA12" i="1"/>
  <c r="AE13" i="1"/>
  <c r="AS13" i="1"/>
  <c r="AU13" i="1"/>
  <c r="AW13" i="1"/>
  <c r="AY13" i="1"/>
  <c r="BA13" i="1"/>
  <c r="AK14" i="1"/>
  <c r="AM14" i="1"/>
  <c r="AO14" i="1"/>
  <c r="AS14" i="1"/>
  <c r="AU14" i="1"/>
  <c r="AW14" i="1"/>
  <c r="AY14" i="1"/>
  <c r="BA14" i="1"/>
  <c r="E15" i="1"/>
  <c r="G15" i="1"/>
  <c r="I15" i="1"/>
  <c r="K15" i="1"/>
  <c r="M15" i="1"/>
  <c r="O15" i="1"/>
  <c r="Q15" i="1"/>
  <c r="S15" i="1"/>
  <c r="U15" i="1"/>
  <c r="W15" i="1"/>
  <c r="Y15" i="1"/>
  <c r="AA15" i="1"/>
  <c r="AC15" i="1"/>
  <c r="AE15" i="1"/>
  <c r="AG15" i="1"/>
  <c r="AI15" i="1"/>
  <c r="AK15" i="1"/>
  <c r="AM15" i="1"/>
  <c r="AO15" i="1"/>
  <c r="AQ15" i="1"/>
  <c r="AS15" i="1"/>
  <c r="AU15" i="1"/>
  <c r="AW15" i="1"/>
  <c r="AY15" i="1"/>
  <c r="BA15" i="1"/>
  <c r="E21" i="1"/>
  <c r="I21" i="1"/>
  <c r="K21" i="1"/>
  <c r="O21" i="1"/>
  <c r="S21" i="1"/>
  <c r="U21" i="1"/>
  <c r="Y21" i="1"/>
  <c r="AC21" i="1"/>
  <c r="AE21" i="1"/>
  <c r="AS21" i="1"/>
  <c r="AW21" i="1"/>
  <c r="AY21" i="1"/>
  <c r="K22" i="1"/>
  <c r="U22" i="1"/>
  <c r="AE22" i="1"/>
  <c r="AS22" i="1"/>
  <c r="AW22" i="1"/>
  <c r="AY22" i="1"/>
  <c r="E23" i="1"/>
  <c r="K23" i="1"/>
  <c r="O23" i="1"/>
  <c r="S23" i="1"/>
  <c r="U23" i="1"/>
  <c r="AE23" i="1"/>
  <c r="AS23" i="1"/>
  <c r="AW23" i="1"/>
  <c r="AY23" i="1"/>
  <c r="E24" i="1"/>
  <c r="I24" i="1"/>
  <c r="K24" i="1"/>
  <c r="O24" i="1"/>
  <c r="S24" i="1"/>
  <c r="U24" i="1"/>
  <c r="AE24" i="1"/>
  <c r="AS24" i="1"/>
  <c r="AW24" i="1"/>
  <c r="AY24" i="1"/>
  <c r="Y25" i="1"/>
  <c r="AC25" i="1"/>
  <c r="AE25" i="1"/>
  <c r="AS25" i="1"/>
  <c r="AW25" i="1"/>
  <c r="AY25" i="1"/>
  <c r="AI26" i="1"/>
  <c r="AM26" i="1"/>
  <c r="AO26" i="1"/>
  <c r="AS26" i="1"/>
  <c r="AW26" i="1"/>
  <c r="AY26" i="1"/>
  <c r="E27" i="1"/>
  <c r="I27" i="1"/>
  <c r="K27" i="1"/>
  <c r="O27" i="1"/>
  <c r="S27" i="1"/>
  <c r="U27" i="1"/>
  <c r="W27" i="1"/>
  <c r="Y27" i="1"/>
  <c r="AC27" i="1"/>
  <c r="AE27" i="1"/>
  <c r="AG27" i="1"/>
  <c r="AI27" i="1"/>
  <c r="AM27" i="1"/>
  <c r="AO27" i="1"/>
  <c r="AS27" i="1"/>
  <c r="AW27" i="1"/>
  <c r="AY27" i="1"/>
  <c r="E33" i="1"/>
  <c r="I33" i="1"/>
  <c r="K33" i="1"/>
  <c r="O33" i="1"/>
  <c r="S33" i="1"/>
  <c r="U33" i="1"/>
  <c r="Y33" i="1"/>
  <c r="AC33" i="1"/>
  <c r="AE33" i="1"/>
  <c r="AI33" i="1"/>
  <c r="AM33" i="1"/>
  <c r="AO33" i="1"/>
  <c r="AS33" i="1"/>
  <c r="AW33" i="1"/>
  <c r="AY33" i="1"/>
  <c r="BC33" i="1"/>
  <c r="E34" i="1"/>
  <c r="I34" i="1"/>
  <c r="K34" i="1"/>
  <c r="O34" i="1"/>
  <c r="S34" i="1"/>
  <c r="U34" i="1"/>
  <c r="Y34" i="1"/>
  <c r="AC34" i="1"/>
  <c r="AE34" i="1"/>
  <c r="AI34" i="1"/>
  <c r="AM34" i="1"/>
  <c r="AO34" i="1"/>
  <c r="AS34" i="1"/>
  <c r="AW34" i="1"/>
  <c r="AY34" i="1"/>
  <c r="E35" i="1"/>
  <c r="I35" i="1"/>
  <c r="K35" i="1"/>
  <c r="O35" i="1"/>
  <c r="S35" i="1"/>
  <c r="U35" i="1"/>
  <c r="Y35" i="1"/>
  <c r="AC35" i="1"/>
  <c r="AE35" i="1"/>
  <c r="AI35" i="1"/>
  <c r="AM35" i="1"/>
  <c r="AO35" i="1"/>
  <c r="AS35" i="1"/>
  <c r="AW35" i="1"/>
  <c r="AY35" i="1"/>
  <c r="BC35" i="1"/>
  <c r="E36" i="1"/>
  <c r="I36" i="1"/>
  <c r="K36" i="1"/>
  <c r="O36" i="1"/>
  <c r="S36" i="1"/>
  <c r="U36" i="1"/>
  <c r="Y36" i="1"/>
  <c r="AC36" i="1"/>
  <c r="AE36" i="1"/>
  <c r="AI36" i="1"/>
  <c r="AM36" i="1"/>
  <c r="AO36" i="1"/>
  <c r="AS36" i="1"/>
  <c r="AW36" i="1"/>
  <c r="AY36" i="1"/>
  <c r="BC36" i="1"/>
  <c r="E37" i="1"/>
  <c r="I37" i="1"/>
  <c r="K37" i="1"/>
  <c r="O37" i="1"/>
  <c r="S37" i="1"/>
  <c r="U37" i="1"/>
  <c r="Y37" i="1"/>
  <c r="AC37" i="1"/>
  <c r="AE37" i="1"/>
  <c r="AI37" i="1"/>
  <c r="AM37" i="1"/>
  <c r="AO37" i="1"/>
  <c r="AS37" i="1"/>
  <c r="AW37" i="1"/>
  <c r="AY37" i="1"/>
  <c r="E38" i="1"/>
  <c r="I38" i="1"/>
  <c r="K38" i="1"/>
  <c r="O38" i="1"/>
  <c r="S38" i="1"/>
  <c r="U38" i="1"/>
  <c r="Y38" i="1"/>
  <c r="AC38" i="1"/>
  <c r="AE38" i="1"/>
  <c r="AI38" i="1"/>
  <c r="AM38" i="1"/>
  <c r="AO38" i="1"/>
  <c r="AS38" i="1"/>
  <c r="AW38" i="1"/>
  <c r="AY38" i="1"/>
  <c r="E39" i="1"/>
  <c r="I39" i="1"/>
  <c r="K39" i="1"/>
  <c r="O39" i="1"/>
  <c r="S39" i="1"/>
  <c r="U39" i="1"/>
  <c r="Y39" i="1"/>
  <c r="AC39" i="1"/>
  <c r="AE39" i="1"/>
  <c r="AI39" i="1"/>
  <c r="AM39" i="1"/>
  <c r="AO39" i="1"/>
  <c r="AS39" i="1"/>
  <c r="AW39" i="1"/>
  <c r="AY39" i="1"/>
  <c r="BC39" i="1"/>
  <c r="K46" i="1"/>
  <c r="O46" i="1"/>
  <c r="Q46" i="1"/>
  <c r="S46" i="1"/>
  <c r="U46" i="1"/>
  <c r="K47" i="1"/>
  <c r="S47" i="1"/>
  <c r="U47" i="1"/>
  <c r="A49" i="1"/>
  <c r="A50" i="1"/>
</calcChain>
</file>

<file path=xl/sharedStrings.xml><?xml version="1.0" encoding="utf-8"?>
<sst xmlns="http://schemas.openxmlformats.org/spreadsheetml/2006/main" count="159" uniqueCount="34">
  <si>
    <t>Gross</t>
  </si>
  <si>
    <t>O &amp; M</t>
  </si>
  <si>
    <t>Capital</t>
  </si>
  <si>
    <t>Net</t>
  </si>
  <si>
    <t>Overhead</t>
  </si>
  <si>
    <t>Business Services - Mike McGowan</t>
  </si>
  <si>
    <t xml:space="preserve">                                       -  Rent and  other non-departmental expenses</t>
  </si>
  <si>
    <t>NORTHERN NATURAL GAS</t>
  </si>
  <si>
    <t>TRANSWESTERN PIPELINE</t>
  </si>
  <si>
    <t xml:space="preserve">Marketing </t>
  </si>
  <si>
    <t>FLORIDA GAS</t>
  </si>
  <si>
    <t xml:space="preserve">Business Development - Ballentine </t>
  </si>
  <si>
    <t>Regulatory Affairs - Mary Kay Miller, Rob Kilmer</t>
  </si>
  <si>
    <t>Total</t>
  </si>
  <si>
    <t>Headcount</t>
  </si>
  <si>
    <t>DIRECT OPERATING AND MAINTENANCE EXPENDITURES</t>
  </si>
  <si>
    <t>($s in 000)</t>
  </si>
  <si>
    <t>TOTAL GROUP</t>
  </si>
  <si>
    <t>2001 Plan</t>
  </si>
  <si>
    <t>2000 Plan</t>
  </si>
  <si>
    <t>Business Development - Goodpasture</t>
  </si>
  <si>
    <t>Variance from 2000 Plan O(U)</t>
  </si>
  <si>
    <t xml:space="preserve">O &amp; M </t>
  </si>
  <si>
    <t xml:space="preserve">% </t>
  </si>
  <si>
    <t>Goodpasture (GPG)</t>
  </si>
  <si>
    <t>Note:  Excludes  Dan McCarty's o&amp;m</t>
  </si>
  <si>
    <t>Marketing  - Neubauer, Hayes</t>
  </si>
  <si>
    <t>Rent:   2001 (Business Services)</t>
  </si>
  <si>
    <t>COMMERCIAL  GROUP</t>
  </si>
  <si>
    <t>FLORIDA GAS/CITRUS</t>
  </si>
  <si>
    <t xml:space="preserve">           2000 (Business Services)</t>
  </si>
  <si>
    <t>Revenue Management - Ph. I Amortization</t>
  </si>
  <si>
    <t xml:space="preserve">          Includes Amortization of Revenue Management Phase I Project included in Capital Budget</t>
  </si>
  <si>
    <t xml:space="preserve">         2000  Plan restated for reorganizations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</si>
</sst>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Border="1"/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4" fontId="0" fillId="0" borderId="2" xfId="1" applyNumberFormat="1" applyFont="1" applyBorder="1"/>
    <xf numFmtId="0" fontId="0" fillId="0" borderId="0" xfId="0" applyAlignment="1">
      <alignment horizontal="centerContinuous"/>
    </xf>
    <xf numFmtId="164" fontId="0" fillId="0" borderId="0" xfId="0" applyNumberFormat="1"/>
    <xf numFmtId="0" fontId="3" fillId="0" borderId="0" xfId="0" applyFont="1" applyAlignment="1">
      <alignment horizontal="centerContinuous"/>
    </xf>
    <xf numFmtId="165" fontId="0" fillId="0" borderId="0" xfId="1" applyNumberFormat="1" applyFont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165" fontId="0" fillId="0" borderId="2" xfId="1" applyNumberFormat="1" applyFont="1" applyBorder="1"/>
    <xf numFmtId="0" fontId="2" fillId="0" borderId="1" xfId="0" applyFont="1" applyBorder="1"/>
    <xf numFmtId="165" fontId="0" fillId="0" borderId="0" xfId="0" applyNumberFormat="1"/>
    <xf numFmtId="165" fontId="0" fillId="0" borderId="2" xfId="0" applyNumberFormat="1" applyBorder="1"/>
    <xf numFmtId="164" fontId="0" fillId="0" borderId="1" xfId="0" applyNumberFormat="1" applyBorder="1"/>
    <xf numFmtId="0" fontId="0" fillId="0" borderId="0" xfId="0" applyBorder="1" applyAlignment="1">
      <alignment horizontal="center"/>
    </xf>
    <xf numFmtId="165" fontId="0" fillId="0" borderId="0" xfId="1" applyNumberFormat="1" applyFont="1" applyBorder="1"/>
    <xf numFmtId="0" fontId="0" fillId="0" borderId="0" xfId="0" applyBorder="1"/>
    <xf numFmtId="165" fontId="0" fillId="0" borderId="0" xfId="0" applyNumberFormat="1" applyBorder="1"/>
    <xf numFmtId="164" fontId="0" fillId="0" borderId="2" xfId="0" applyNumberFormat="1" applyBorder="1"/>
    <xf numFmtId="0" fontId="2" fillId="0" borderId="1" xfId="0" quotePrefix="1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164" fontId="0" fillId="0" borderId="4" xfId="1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 applyBorder="1" applyAlignment="1">
      <alignment horizontal="center"/>
    </xf>
    <xf numFmtId="0" fontId="0" fillId="0" borderId="6" xfId="0" quotePrefix="1" applyBorder="1" applyAlignment="1">
      <alignment horizontal="left"/>
    </xf>
    <xf numFmtId="164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7" fontId="0" fillId="0" borderId="2" xfId="2" applyNumberFormat="1" applyFont="1" applyBorder="1"/>
    <xf numFmtId="0" fontId="2" fillId="0" borderId="0" xfId="0" quotePrefix="1" applyFont="1" applyBorder="1" applyAlignment="1">
      <alignment horizontal="center"/>
    </xf>
    <xf numFmtId="0" fontId="2" fillId="0" borderId="0" xfId="0" applyFont="1" applyBorder="1"/>
    <xf numFmtId="167" fontId="0" fillId="0" borderId="0" xfId="2" applyNumberFormat="1" applyFont="1" applyBorder="1"/>
    <xf numFmtId="165" fontId="0" fillId="0" borderId="1" xfId="1" applyNumberFormat="1" applyFont="1" applyBorder="1"/>
    <xf numFmtId="0" fontId="2" fillId="0" borderId="0" xfId="0" quotePrefix="1" applyFont="1" applyAlignment="1">
      <alignment horizontal="left"/>
    </xf>
    <xf numFmtId="164" fontId="2" fillId="0" borderId="0" xfId="1" applyNumberFormat="1" applyFont="1"/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left"/>
    </xf>
    <xf numFmtId="43" fontId="2" fillId="0" borderId="0" xfId="1" applyFont="1" applyAlignment="1">
      <alignment horizontal="left"/>
    </xf>
    <xf numFmtId="164" fontId="2" fillId="0" borderId="0" xfId="1" applyNumberFormat="1" applyFont="1" applyAlignment="1">
      <alignment horizontal="left"/>
    </xf>
    <xf numFmtId="164" fontId="2" fillId="0" borderId="0" xfId="1" applyNumberFormat="1" applyFont="1" applyBorder="1"/>
    <xf numFmtId="164" fontId="2" fillId="0" borderId="0" xfId="1" applyNumberFormat="1" applyFont="1" applyBorder="1" applyAlignment="1">
      <alignment horizontal="center"/>
    </xf>
    <xf numFmtId="0" fontId="4" fillId="0" borderId="0" xfId="0" applyFont="1"/>
    <xf numFmtId="22" fontId="4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1" xfId="0" quotePrefix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50"/>
  <sheetViews>
    <sheetView tabSelected="1" zoomScale="75" workbookViewId="0">
      <pane xSplit="4" ySplit="7" topLeftCell="E18" activePane="bottomRight" state="frozen"/>
      <selection pane="topRight" activeCell="E1" sqref="E1"/>
      <selection pane="bottomLeft" activeCell="A11" sqref="A11"/>
      <selection pane="bottomRight" activeCell="A43" sqref="A43"/>
    </sheetView>
  </sheetViews>
  <sheetFormatPr defaultRowHeight="13.2" x14ac:dyDescent="0.25"/>
  <cols>
    <col min="1" max="1" width="12.33203125" bestFit="1" customWidth="1"/>
    <col min="3" max="3" width="19.6640625" customWidth="1"/>
    <col min="4" max="4" width="2.109375" customWidth="1"/>
    <col min="5" max="5" width="12" customWidth="1"/>
    <col min="6" max="6" width="2.109375" customWidth="1"/>
    <col min="7" max="7" width="9.44140625" hidden="1" customWidth="1"/>
    <col min="8" max="8" width="1.5546875" hidden="1" customWidth="1"/>
    <col min="9" max="9" width="11.109375" customWidth="1"/>
    <col min="10" max="10" width="2.109375" customWidth="1"/>
    <col min="11" max="11" width="10" customWidth="1"/>
    <col min="12" max="12" width="1.5546875" customWidth="1"/>
    <col min="13" max="13" width="9.88671875" customWidth="1"/>
    <col min="14" max="14" width="3" customWidth="1"/>
    <col min="16" max="16" width="2.44140625" customWidth="1"/>
    <col min="17" max="17" width="0" hidden="1" customWidth="1"/>
    <col min="18" max="18" width="2.6640625" hidden="1" customWidth="1"/>
    <col min="20" max="20" width="2.109375" customWidth="1"/>
    <col min="22" max="22" width="2.33203125" customWidth="1"/>
    <col min="23" max="23" width="9.88671875" customWidth="1"/>
    <col min="24" max="24" width="2.33203125" customWidth="1"/>
    <col min="26" max="26" width="1.88671875" customWidth="1"/>
    <col min="27" max="27" width="10.44140625" hidden="1" customWidth="1"/>
    <col min="28" max="28" width="2.6640625" hidden="1" customWidth="1"/>
    <col min="29" max="29" width="10.33203125" customWidth="1"/>
    <col min="30" max="30" width="1.6640625" customWidth="1"/>
    <col min="31" max="31" width="9.5546875" customWidth="1"/>
    <col min="32" max="32" width="1.5546875" customWidth="1"/>
    <col min="33" max="33" width="8.5546875" customWidth="1"/>
    <col min="34" max="34" width="3.109375" customWidth="1"/>
    <col min="35" max="35" width="10.44140625" customWidth="1"/>
    <col min="36" max="36" width="3.109375" customWidth="1"/>
    <col min="37" max="37" width="9.44140625" hidden="1" customWidth="1"/>
    <col min="38" max="38" width="3.109375" hidden="1" customWidth="1"/>
    <col min="39" max="39" width="9" customWidth="1"/>
    <col min="40" max="40" width="3.109375" customWidth="1"/>
    <col min="42" max="42" width="2.109375" customWidth="1"/>
    <col min="43" max="43" width="10.6640625" customWidth="1"/>
    <col min="44" max="44" width="3.109375" customWidth="1"/>
    <col min="45" max="45" width="11.44140625" customWidth="1"/>
    <col min="46" max="46" width="2.109375" customWidth="1"/>
    <col min="47" max="47" width="12.33203125" hidden="1" customWidth="1"/>
    <col min="48" max="48" width="1.88671875" hidden="1" customWidth="1"/>
    <col min="49" max="49" width="11" customWidth="1"/>
    <col min="50" max="50" width="1.88671875" customWidth="1"/>
    <col min="51" max="51" width="10.109375" customWidth="1"/>
    <col min="52" max="52" width="1.6640625" customWidth="1"/>
    <col min="53" max="53" width="10.6640625" customWidth="1"/>
    <col min="54" max="54" width="1.6640625" customWidth="1"/>
    <col min="55" max="55" width="7.21875" bestFit="1" customWidth="1"/>
    <col min="56" max="56" width="2.6640625" customWidth="1"/>
    <col min="57" max="57" width="3.5546875" customWidth="1"/>
  </cols>
  <sheetData>
    <row r="1" spans="1:55" ht="31.5" customHeight="1" x14ac:dyDescent="0.3">
      <c r="A1" s="13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spans="1:55" x14ac:dyDescent="0.25">
      <c r="A2" s="11" t="s">
        <v>15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55" x14ac:dyDescent="0.25">
      <c r="A3" s="11" t="s">
        <v>16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spans="1:55" ht="31.5" customHeight="1" x14ac:dyDescent="0.25"/>
    <row r="5" spans="1:55" x14ac:dyDescent="0.25">
      <c r="A5" s="1"/>
    </row>
    <row r="6" spans="1:55" x14ac:dyDescent="0.25">
      <c r="E6" s="55" t="s">
        <v>7</v>
      </c>
      <c r="F6" s="55"/>
      <c r="G6" s="55"/>
      <c r="H6" s="55"/>
      <c r="I6" s="55"/>
      <c r="J6" s="55"/>
      <c r="K6" s="55"/>
      <c r="L6" s="55"/>
      <c r="M6" s="55"/>
      <c r="O6" s="55" t="s">
        <v>8</v>
      </c>
      <c r="P6" s="55"/>
      <c r="Q6" s="55"/>
      <c r="R6" s="55"/>
      <c r="S6" s="55"/>
      <c r="T6" s="55"/>
      <c r="U6" s="55"/>
      <c r="V6" s="55"/>
      <c r="W6" s="55"/>
      <c r="Y6" s="57" t="s">
        <v>29</v>
      </c>
      <c r="Z6" s="55"/>
      <c r="AA6" s="55"/>
      <c r="AB6" s="55"/>
      <c r="AC6" s="55"/>
      <c r="AD6" s="55"/>
      <c r="AE6" s="55"/>
      <c r="AF6" s="55"/>
      <c r="AG6" s="55"/>
      <c r="AI6" s="57" t="s">
        <v>24</v>
      </c>
      <c r="AJ6" s="57"/>
      <c r="AK6" s="57"/>
      <c r="AL6" s="57"/>
      <c r="AM6" s="57"/>
      <c r="AN6" s="57"/>
      <c r="AO6" s="57"/>
      <c r="AP6" s="57"/>
      <c r="AQ6" s="57"/>
      <c r="AS6" s="55" t="s">
        <v>17</v>
      </c>
      <c r="AT6" s="55"/>
      <c r="AU6" s="55"/>
      <c r="AV6" s="55"/>
      <c r="AW6" s="55"/>
      <c r="AX6" s="55"/>
      <c r="AY6" s="55"/>
      <c r="AZ6" s="55"/>
      <c r="BA6" s="55"/>
    </row>
    <row r="7" spans="1:55" x14ac:dyDescent="0.25">
      <c r="E7" s="2" t="s">
        <v>0</v>
      </c>
      <c r="G7" s="2" t="s">
        <v>2</v>
      </c>
      <c r="I7" s="2"/>
      <c r="J7" s="2"/>
      <c r="K7" s="2" t="s">
        <v>3</v>
      </c>
      <c r="L7" s="2"/>
      <c r="O7" s="2" t="s">
        <v>0</v>
      </c>
      <c r="Q7" s="2" t="s">
        <v>2</v>
      </c>
      <c r="S7" s="2"/>
      <c r="T7" s="2"/>
      <c r="U7" s="2" t="s">
        <v>3</v>
      </c>
      <c r="Y7" s="2" t="s">
        <v>0</v>
      </c>
      <c r="AA7" s="2" t="s">
        <v>2</v>
      </c>
      <c r="AC7" s="2"/>
      <c r="AD7" s="2"/>
      <c r="AE7" s="2" t="s">
        <v>3</v>
      </c>
      <c r="AI7" s="2" t="s">
        <v>0</v>
      </c>
      <c r="AK7" s="2" t="s">
        <v>2</v>
      </c>
      <c r="AM7" s="2"/>
      <c r="AN7" s="2"/>
      <c r="AO7" s="2" t="s">
        <v>3</v>
      </c>
      <c r="AP7" s="2"/>
      <c r="AQ7" s="2"/>
      <c r="AS7" s="2" t="s">
        <v>0</v>
      </c>
      <c r="AU7" s="2" t="s">
        <v>2</v>
      </c>
      <c r="AW7" s="2"/>
      <c r="AX7" s="2"/>
      <c r="AY7" s="2" t="s">
        <v>3</v>
      </c>
    </row>
    <row r="8" spans="1:55" ht="15.75" customHeight="1" x14ac:dyDescent="0.25">
      <c r="A8" s="55" t="s">
        <v>18</v>
      </c>
      <c r="B8" s="55"/>
      <c r="C8" s="55"/>
      <c r="E8" s="3" t="s">
        <v>1</v>
      </c>
      <c r="G8" s="3" t="s">
        <v>1</v>
      </c>
      <c r="I8" s="3" t="s">
        <v>4</v>
      </c>
      <c r="J8" s="2"/>
      <c r="K8" s="3" t="s">
        <v>1</v>
      </c>
      <c r="L8" s="34"/>
      <c r="M8" s="3" t="s">
        <v>14</v>
      </c>
      <c r="N8" s="3"/>
      <c r="O8" s="3" t="s">
        <v>1</v>
      </c>
      <c r="Q8" s="3" t="s">
        <v>1</v>
      </c>
      <c r="S8" s="3" t="s">
        <v>4</v>
      </c>
      <c r="T8" s="2"/>
      <c r="U8" s="3" t="s">
        <v>1</v>
      </c>
      <c r="W8" s="3" t="s">
        <v>14</v>
      </c>
      <c r="Y8" s="3" t="s">
        <v>1</v>
      </c>
      <c r="AA8" s="3" t="s">
        <v>1</v>
      </c>
      <c r="AC8" s="3" t="s">
        <v>4</v>
      </c>
      <c r="AD8" s="2"/>
      <c r="AE8" s="3" t="s">
        <v>1</v>
      </c>
      <c r="AG8" s="3" t="s">
        <v>14</v>
      </c>
      <c r="AI8" s="3" t="s">
        <v>1</v>
      </c>
      <c r="AK8" s="3" t="s">
        <v>1</v>
      </c>
      <c r="AM8" s="3" t="s">
        <v>4</v>
      </c>
      <c r="AN8" s="2"/>
      <c r="AO8" s="3" t="s">
        <v>1</v>
      </c>
      <c r="AP8" s="34"/>
      <c r="AQ8" s="3" t="s">
        <v>14</v>
      </c>
      <c r="AS8" s="3" t="s">
        <v>1</v>
      </c>
      <c r="AU8" s="3" t="s">
        <v>1</v>
      </c>
      <c r="AW8" s="3" t="s">
        <v>4</v>
      </c>
      <c r="AX8" s="2"/>
      <c r="AY8" s="3" t="s">
        <v>1</v>
      </c>
      <c r="BA8" s="18" t="s">
        <v>14</v>
      </c>
      <c r="BC8" s="41"/>
    </row>
    <row r="9" spans="1:55" x14ac:dyDescent="0.25">
      <c r="A9" s="6" t="s">
        <v>26</v>
      </c>
      <c r="E9" s="4">
        <f>9757.5+711.108+100</f>
        <v>10568.608</v>
      </c>
      <c r="F9" s="4"/>
      <c r="G9" s="4">
        <f>0</f>
        <v>0</v>
      </c>
      <c r="H9" s="4"/>
      <c r="I9" s="4">
        <f>711.108+100</f>
        <v>811.10799999999995</v>
      </c>
      <c r="J9" s="4"/>
      <c r="K9" s="4">
        <f>+E9-G9-I9</f>
        <v>9757.5</v>
      </c>
      <c r="L9" s="4"/>
      <c r="M9" s="7">
        <v>66</v>
      </c>
      <c r="O9" s="4">
        <f>1233.067+907.742</f>
        <v>2140.8090000000002</v>
      </c>
      <c r="P9" s="4"/>
      <c r="Q9" s="4"/>
      <c r="R9" s="4"/>
      <c r="S9" s="4">
        <f>61.149+191.212</f>
        <v>252.36099999999999</v>
      </c>
      <c r="T9" s="4"/>
      <c r="U9" s="4">
        <f>O9-Q9-S9</f>
        <v>1888.4480000000003</v>
      </c>
      <c r="V9" s="4"/>
      <c r="W9" s="14">
        <f>2+10</f>
        <v>12</v>
      </c>
      <c r="X9" s="4"/>
      <c r="Y9" s="5">
        <f>2744.972+308.998</f>
        <v>3053.9700000000003</v>
      </c>
      <c r="Z9" s="4"/>
      <c r="AA9" s="5"/>
      <c r="AB9" s="4"/>
      <c r="AC9" s="5">
        <f>479.014+34.408</f>
        <v>513.42200000000003</v>
      </c>
      <c r="AD9" s="4"/>
      <c r="AE9" s="4">
        <f>+Y9-AA9-AC9</f>
        <v>2540.5480000000002</v>
      </c>
      <c r="AG9">
        <v>27</v>
      </c>
      <c r="AI9" s="4"/>
      <c r="AJ9" s="4"/>
      <c r="AK9" s="4"/>
      <c r="AL9" s="4"/>
      <c r="AM9" s="4"/>
      <c r="AN9" s="4"/>
      <c r="AO9" s="4"/>
      <c r="AP9" s="4"/>
      <c r="AQ9" s="4"/>
      <c r="AS9" s="12">
        <f t="shared" ref="AS9:AS14" si="0">E9+O9+Y9+AI9</f>
        <v>15763.387000000002</v>
      </c>
      <c r="AU9" s="12">
        <f>G9+Q9+AA9</f>
        <v>0</v>
      </c>
      <c r="AW9" s="12">
        <f t="shared" ref="AW9:AW14" si="1">I9+S9+AC9+AM9</f>
        <v>1576.8910000000001</v>
      </c>
      <c r="AY9" s="12">
        <f t="shared" ref="AY9:AY14" si="2">K9+U9+AE9+AO9</f>
        <v>14186.496000000001</v>
      </c>
      <c r="BA9" s="19">
        <f t="shared" ref="BA9:BA15" si="3">M9+W9+AG9+AQ9</f>
        <v>105</v>
      </c>
      <c r="BC9" s="24"/>
    </row>
    <row r="10" spans="1:55" x14ac:dyDescent="0.25">
      <c r="A10" t="s">
        <v>31</v>
      </c>
      <c r="E10" s="4">
        <v>914.56</v>
      </c>
      <c r="F10" s="4"/>
      <c r="G10" s="4"/>
      <c r="H10" s="4"/>
      <c r="I10" s="4">
        <v>0</v>
      </c>
      <c r="J10" s="4"/>
      <c r="K10" s="4">
        <f>+E10-G10-I10</f>
        <v>914.56</v>
      </c>
      <c r="L10" s="4"/>
      <c r="M10" s="7"/>
      <c r="O10" s="4">
        <v>228.64</v>
      </c>
      <c r="P10" s="4"/>
      <c r="Q10" s="4"/>
      <c r="R10" s="4"/>
      <c r="S10" s="4">
        <v>0</v>
      </c>
      <c r="T10" s="4"/>
      <c r="U10" s="4">
        <f>+O10-Q10-S10</f>
        <v>228.64</v>
      </c>
      <c r="V10" s="4"/>
      <c r="W10" s="14"/>
      <c r="X10" s="4"/>
      <c r="Y10" s="5"/>
      <c r="Z10" s="4"/>
      <c r="AA10" s="5"/>
      <c r="AB10" s="4"/>
      <c r="AC10" s="5"/>
      <c r="AD10" s="4"/>
      <c r="AE10" s="4">
        <f>+Y10-AA10-AC10</f>
        <v>0</v>
      </c>
      <c r="AI10" s="4"/>
      <c r="AJ10" s="4"/>
      <c r="AK10" s="4"/>
      <c r="AL10" s="4"/>
      <c r="AM10" s="4"/>
      <c r="AN10" s="4"/>
      <c r="AO10" s="4"/>
      <c r="AP10" s="4"/>
      <c r="AQ10" s="4"/>
      <c r="AS10" s="12">
        <f t="shared" si="0"/>
        <v>1143.1999999999998</v>
      </c>
      <c r="AU10" s="12"/>
      <c r="AW10" s="12">
        <f t="shared" si="1"/>
        <v>0</v>
      </c>
      <c r="AY10" s="12">
        <f t="shared" si="2"/>
        <v>1143.1999999999998</v>
      </c>
      <c r="BA10" s="19">
        <v>0</v>
      </c>
      <c r="BC10" s="24"/>
    </row>
    <row r="11" spans="1:55" x14ac:dyDescent="0.25">
      <c r="A11" s="6" t="s">
        <v>5</v>
      </c>
      <c r="E11" s="4">
        <f>1716.632-9</f>
        <v>1707.6320000000001</v>
      </c>
      <c r="F11" s="4"/>
      <c r="G11" s="4">
        <f>0</f>
        <v>0</v>
      </c>
      <c r="H11" s="4"/>
      <c r="I11" s="4">
        <v>3.673</v>
      </c>
      <c r="J11" s="4"/>
      <c r="K11" s="4">
        <f>+E11-G11-I11</f>
        <v>1703.9590000000001</v>
      </c>
      <c r="L11" s="4"/>
      <c r="M11" s="7">
        <v>11</v>
      </c>
      <c r="O11" s="4">
        <v>263.60399999999998</v>
      </c>
      <c r="P11" s="4"/>
      <c r="Q11" s="4"/>
      <c r="R11" s="4"/>
      <c r="S11" s="4">
        <v>33.052</v>
      </c>
      <c r="T11" s="4"/>
      <c r="U11" s="4">
        <f>+O11-Q11-S11</f>
        <v>230.55199999999999</v>
      </c>
      <c r="V11" s="4"/>
      <c r="W11" s="9">
        <v>2</v>
      </c>
      <c r="X11" s="4"/>
      <c r="Y11" s="4"/>
      <c r="Z11" s="4"/>
      <c r="AA11" s="4"/>
      <c r="AB11" s="4"/>
      <c r="AC11" s="4"/>
      <c r="AD11" s="4"/>
      <c r="AE11" s="4">
        <f>+Y11-AA11-AC11</f>
        <v>0</v>
      </c>
      <c r="AI11" s="4"/>
      <c r="AJ11" s="4"/>
      <c r="AK11" s="4"/>
      <c r="AL11" s="4"/>
      <c r="AM11" s="4"/>
      <c r="AN11" s="4"/>
      <c r="AO11" s="4"/>
      <c r="AP11" s="4"/>
      <c r="AQ11" s="4"/>
      <c r="AS11" s="12">
        <f t="shared" si="0"/>
        <v>1971.2360000000001</v>
      </c>
      <c r="AU11" s="12">
        <f>G11+Q11+AA11</f>
        <v>0</v>
      </c>
      <c r="AW11" s="12">
        <f t="shared" si="1"/>
        <v>36.725000000000001</v>
      </c>
      <c r="AY11" s="12">
        <f t="shared" si="2"/>
        <v>1934.511</v>
      </c>
      <c r="BA11" s="19">
        <f t="shared" si="3"/>
        <v>13</v>
      </c>
      <c r="BC11" s="24"/>
    </row>
    <row r="12" spans="1:55" x14ac:dyDescent="0.25">
      <c r="A12" s="6" t="s">
        <v>12</v>
      </c>
      <c r="E12" s="5">
        <f>1812.535-9</f>
        <v>1803.5350000000001</v>
      </c>
      <c r="F12" s="4"/>
      <c r="G12" s="5">
        <f>0</f>
        <v>0</v>
      </c>
      <c r="H12" s="4"/>
      <c r="I12" s="5">
        <f>371.799+205</f>
        <v>576.79899999999998</v>
      </c>
      <c r="J12" s="4"/>
      <c r="K12" s="5">
        <f>+E12-G12-I12</f>
        <v>1226.7360000000001</v>
      </c>
      <c r="L12" s="5"/>
      <c r="M12" s="7">
        <v>16</v>
      </c>
      <c r="O12" s="5">
        <f>220.407+54.703</f>
        <v>275.11</v>
      </c>
      <c r="P12" s="4"/>
      <c r="Q12" s="5"/>
      <c r="R12" s="4"/>
      <c r="S12" s="5">
        <v>54.703000000000003</v>
      </c>
      <c r="T12" s="4"/>
      <c r="U12" s="5">
        <f>+O12-Q12-S12</f>
        <v>220.40700000000001</v>
      </c>
      <c r="V12" s="4"/>
      <c r="W12" s="9">
        <v>2</v>
      </c>
      <c r="X12" s="4"/>
      <c r="Y12" s="4">
        <v>889.75800000000004</v>
      </c>
      <c r="Z12" s="4"/>
      <c r="AA12" s="4"/>
      <c r="AB12" s="4"/>
      <c r="AC12" s="4">
        <v>630.04399999999998</v>
      </c>
      <c r="AD12" s="4"/>
      <c r="AE12" s="4">
        <f>+Y12-AA12-AC12</f>
        <v>259.71400000000006</v>
      </c>
      <c r="AG12">
        <v>9</v>
      </c>
      <c r="AI12" s="4"/>
      <c r="AJ12" s="4"/>
      <c r="AK12" s="4"/>
      <c r="AL12" s="4"/>
      <c r="AM12" s="4"/>
      <c r="AN12" s="4"/>
      <c r="AO12" s="4"/>
      <c r="AP12" s="4"/>
      <c r="AQ12" s="4"/>
      <c r="AS12" s="12">
        <f t="shared" si="0"/>
        <v>2968.4030000000002</v>
      </c>
      <c r="AU12" s="12">
        <f>G12+Q12+AA12</f>
        <v>0</v>
      </c>
      <c r="AW12" s="12">
        <f t="shared" si="1"/>
        <v>1261.5459999999998</v>
      </c>
      <c r="AY12" s="12">
        <f t="shared" si="2"/>
        <v>1706.857</v>
      </c>
      <c r="BA12" s="19">
        <f t="shared" si="3"/>
        <v>27</v>
      </c>
      <c r="BC12" s="24"/>
    </row>
    <row r="13" spans="1:55" x14ac:dyDescent="0.25">
      <c r="A13" s="6" t="s">
        <v>11</v>
      </c>
      <c r="E13" s="5"/>
      <c r="F13" s="4"/>
      <c r="G13" s="5"/>
      <c r="H13" s="4"/>
      <c r="I13" s="5"/>
      <c r="J13" s="4"/>
      <c r="K13" s="5"/>
      <c r="L13" s="5"/>
      <c r="O13" s="5"/>
      <c r="P13" s="4"/>
      <c r="Q13" s="5"/>
      <c r="R13" s="4"/>
      <c r="S13" s="5"/>
      <c r="T13" s="4"/>
      <c r="U13" s="5"/>
      <c r="V13" s="4"/>
      <c r="W13" s="8"/>
      <c r="X13" s="4"/>
      <c r="Y13" s="4">
        <v>1905</v>
      </c>
      <c r="Z13" s="4"/>
      <c r="AA13" s="4"/>
      <c r="AB13" s="4"/>
      <c r="AC13" s="4">
        <v>1905</v>
      </c>
      <c r="AD13" s="4"/>
      <c r="AE13" s="4">
        <f>+Y13-AA13-AC13</f>
        <v>0</v>
      </c>
      <c r="AG13">
        <v>3</v>
      </c>
      <c r="AI13" s="4"/>
      <c r="AJ13" s="4"/>
      <c r="AK13" s="4"/>
      <c r="AL13" s="4"/>
      <c r="AM13" s="4"/>
      <c r="AN13" s="4"/>
      <c r="AO13" s="4"/>
      <c r="AP13" s="4"/>
      <c r="AQ13" s="4"/>
      <c r="AS13" s="12">
        <f t="shared" si="0"/>
        <v>1905</v>
      </c>
      <c r="AU13" s="12">
        <f>G13+Q13+AA13</f>
        <v>0</v>
      </c>
      <c r="AW13" s="12">
        <f t="shared" si="1"/>
        <v>1905</v>
      </c>
      <c r="AY13" s="12">
        <f t="shared" si="2"/>
        <v>0</v>
      </c>
      <c r="BA13" s="19">
        <f t="shared" si="3"/>
        <v>3</v>
      </c>
      <c r="BC13" s="24"/>
    </row>
    <row r="14" spans="1:55" x14ac:dyDescent="0.25">
      <c r="A14" s="6" t="s">
        <v>20</v>
      </c>
      <c r="E14" s="5"/>
      <c r="F14" s="4"/>
      <c r="G14" s="5"/>
      <c r="H14" s="4"/>
      <c r="I14" s="5"/>
      <c r="J14" s="4"/>
      <c r="K14" s="5"/>
      <c r="L14" s="5"/>
      <c r="O14" s="5"/>
      <c r="P14" s="4"/>
      <c r="Q14" s="5"/>
      <c r="R14" s="4"/>
      <c r="S14" s="5"/>
      <c r="T14" s="4"/>
      <c r="U14" s="5"/>
      <c r="V14" s="4"/>
      <c r="W14" s="8"/>
      <c r="X14" s="4"/>
      <c r="Y14" s="4"/>
      <c r="Z14" s="4"/>
      <c r="AA14" s="4"/>
      <c r="AB14" s="4"/>
      <c r="AC14" s="4"/>
      <c r="AD14" s="4"/>
      <c r="AE14" s="4"/>
      <c r="AI14" s="4">
        <v>490.22399999999999</v>
      </c>
      <c r="AJ14" s="4"/>
      <c r="AK14" s="4">
        <f>0</f>
        <v>0</v>
      </c>
      <c r="AL14" s="4"/>
      <c r="AM14" s="4">
        <f>0</f>
        <v>0</v>
      </c>
      <c r="AN14" s="4"/>
      <c r="AO14" s="4">
        <f>AI14-AK14-AM14</f>
        <v>490.22399999999999</v>
      </c>
      <c r="AP14" s="4"/>
      <c r="AQ14" s="44">
        <v>3</v>
      </c>
      <c r="AS14" s="21">
        <f t="shared" si="0"/>
        <v>490.22399999999999</v>
      </c>
      <c r="AU14" s="12">
        <f>G14+Q14+AA14</f>
        <v>0</v>
      </c>
      <c r="AW14" s="21">
        <f t="shared" si="1"/>
        <v>0</v>
      </c>
      <c r="AY14" s="21">
        <f t="shared" si="2"/>
        <v>490.22399999999999</v>
      </c>
      <c r="BA14" s="19">
        <f t="shared" si="3"/>
        <v>3</v>
      </c>
      <c r="BC14" s="24"/>
    </row>
    <row r="15" spans="1:55" ht="13.8" thickBot="1" x14ac:dyDescent="0.3">
      <c r="A15" t="s">
        <v>13</v>
      </c>
      <c r="E15" s="10">
        <f>SUM(E9:E12)</f>
        <v>14994.334999999999</v>
      </c>
      <c r="F15" s="4"/>
      <c r="G15" s="10">
        <f>SUM(G9:G12)</f>
        <v>0</v>
      </c>
      <c r="H15" s="4"/>
      <c r="I15" s="10">
        <f>SUM(I9:I12)</f>
        <v>1391.58</v>
      </c>
      <c r="J15" s="4"/>
      <c r="K15" s="10">
        <f>SUM(K9:K12)</f>
        <v>13602.755000000001</v>
      </c>
      <c r="L15" s="5"/>
      <c r="M15" s="16">
        <f>SUM(M9:M14)</f>
        <v>93</v>
      </c>
      <c r="O15" s="10">
        <f>SUM(O9:O12)</f>
        <v>2908.163</v>
      </c>
      <c r="P15" s="4"/>
      <c r="Q15" s="10">
        <f>SUM(Q9:Q12)</f>
        <v>0</v>
      </c>
      <c r="R15" s="4"/>
      <c r="S15" s="10">
        <f>SUM(S9:S12)</f>
        <v>340.11599999999999</v>
      </c>
      <c r="T15" s="4"/>
      <c r="U15" s="10">
        <f>SUM(U9:U12)</f>
        <v>2568.0470000000005</v>
      </c>
      <c r="V15" s="4"/>
      <c r="W15" s="17">
        <f>SUM(W9:W14)</f>
        <v>16</v>
      </c>
      <c r="X15" s="4"/>
      <c r="Y15" s="10">
        <f>SUM(Y9:Y14)</f>
        <v>5848.7280000000001</v>
      </c>
      <c r="Z15" s="4"/>
      <c r="AA15" s="10">
        <f>SUM(AA9:AA14)</f>
        <v>0</v>
      </c>
      <c r="AB15" s="4"/>
      <c r="AC15" s="10">
        <f>SUM(AC9:AC14)</f>
        <v>3048.4659999999999</v>
      </c>
      <c r="AD15" s="4"/>
      <c r="AE15" s="10">
        <f>SUM(AE9:AE14)</f>
        <v>2800.2620000000002</v>
      </c>
      <c r="AG15" s="15">
        <f>SUM(AG9:AG14)</f>
        <v>39</v>
      </c>
      <c r="AI15" s="10">
        <f>SUM(AI9:AI14)</f>
        <v>490.22399999999999</v>
      </c>
      <c r="AJ15" s="4"/>
      <c r="AK15" s="10">
        <f>SUM(AK9:AK14)</f>
        <v>0</v>
      </c>
      <c r="AL15" s="4"/>
      <c r="AM15" s="10">
        <f>SUM(AM9:AM14)</f>
        <v>0</v>
      </c>
      <c r="AN15" s="4"/>
      <c r="AO15" s="10">
        <f>SUM(AO9:AO14)</f>
        <v>490.22399999999999</v>
      </c>
      <c r="AP15" s="5"/>
      <c r="AQ15" s="17">
        <f>SUM(AQ9:AQ14)</f>
        <v>3</v>
      </c>
      <c r="AS15" s="10">
        <f>SUM(AS9:AS14)</f>
        <v>24241.45</v>
      </c>
      <c r="AU15" s="10">
        <f>SUM(AU9:AU14)</f>
        <v>0</v>
      </c>
      <c r="AW15" s="10">
        <f>SUM(AW9:AW14)</f>
        <v>4780.1620000000003</v>
      </c>
      <c r="AY15" s="10">
        <f>SUM(AY9:AY14)</f>
        <v>19461.287999999997</v>
      </c>
      <c r="BA15" s="20">
        <f t="shared" si="3"/>
        <v>151</v>
      </c>
      <c r="BC15" s="24"/>
    </row>
    <row r="16" spans="1:55" ht="13.8" thickTop="1" x14ac:dyDescent="0.25">
      <c r="E16" s="5"/>
      <c r="F16" s="4"/>
      <c r="G16" s="5"/>
      <c r="H16" s="4"/>
      <c r="I16" s="5"/>
      <c r="J16" s="4"/>
      <c r="K16" s="5"/>
      <c r="L16" s="5"/>
      <c r="M16" s="22"/>
      <c r="O16" s="5"/>
      <c r="P16" s="4"/>
      <c r="Q16" s="5"/>
      <c r="R16" s="4"/>
      <c r="S16" s="5"/>
      <c r="T16" s="4"/>
      <c r="U16" s="5"/>
      <c r="V16" s="4"/>
      <c r="W16" s="23"/>
      <c r="X16" s="4"/>
      <c r="Y16" s="5"/>
      <c r="Z16" s="4"/>
      <c r="AA16" s="5"/>
      <c r="AB16" s="4"/>
      <c r="AC16" s="5"/>
      <c r="AD16" s="4"/>
      <c r="AE16" s="5"/>
      <c r="AG16" s="24"/>
      <c r="AI16" s="5"/>
      <c r="AJ16" s="4"/>
      <c r="AK16" s="5"/>
      <c r="AL16" s="4"/>
      <c r="AM16" s="5"/>
      <c r="AN16" s="4"/>
      <c r="AO16" s="5"/>
      <c r="AP16" s="5"/>
      <c r="AQ16" s="5"/>
      <c r="AS16" s="5"/>
      <c r="AU16" s="5"/>
      <c r="AW16" s="5"/>
      <c r="AY16" s="5"/>
      <c r="BA16" s="25"/>
    </row>
    <row r="17" spans="1:56" x14ac:dyDescent="0.25">
      <c r="E17" s="5"/>
      <c r="F17" s="4"/>
      <c r="G17" s="5"/>
      <c r="H17" s="4"/>
      <c r="I17" s="5"/>
      <c r="J17" s="4"/>
      <c r="K17" s="5"/>
      <c r="L17" s="5"/>
      <c r="M17" s="22"/>
      <c r="O17" s="5"/>
      <c r="P17" s="4"/>
      <c r="Q17" s="5"/>
      <c r="R17" s="4"/>
      <c r="S17" s="5"/>
      <c r="T17" s="4"/>
      <c r="U17" s="5"/>
      <c r="V17" s="4"/>
      <c r="W17" s="23"/>
      <c r="X17" s="4"/>
      <c r="Y17" s="5"/>
      <c r="Z17" s="4"/>
      <c r="AA17" s="5"/>
      <c r="AB17" s="4"/>
      <c r="AC17" s="5"/>
      <c r="AD17" s="4"/>
      <c r="AE17" s="5"/>
      <c r="AG17" s="24"/>
      <c r="AI17" s="5"/>
      <c r="AJ17" s="4"/>
      <c r="AK17" s="5"/>
      <c r="AL17" s="4"/>
      <c r="AM17" s="5"/>
      <c r="AN17" s="4"/>
      <c r="AO17" s="5"/>
      <c r="AP17" s="5"/>
      <c r="AQ17" s="5"/>
      <c r="AS17" s="5"/>
      <c r="AU17" s="5"/>
      <c r="AW17" s="5"/>
      <c r="AY17" s="5"/>
      <c r="BA17" s="25"/>
    </row>
    <row r="18" spans="1:56" x14ac:dyDescent="0.25">
      <c r="E18" s="55" t="s">
        <v>7</v>
      </c>
      <c r="F18" s="55"/>
      <c r="G18" s="55"/>
      <c r="H18" s="55"/>
      <c r="I18" s="55"/>
      <c r="J18" s="55"/>
      <c r="K18" s="55"/>
      <c r="L18" s="55"/>
      <c r="M18" s="55"/>
      <c r="O18" s="55" t="s">
        <v>8</v>
      </c>
      <c r="P18" s="55"/>
      <c r="Q18" s="55"/>
      <c r="R18" s="55"/>
      <c r="S18" s="55"/>
      <c r="T18" s="55"/>
      <c r="U18" s="55"/>
      <c r="V18" s="55"/>
      <c r="W18" s="55"/>
      <c r="Y18" s="55" t="s">
        <v>10</v>
      </c>
      <c r="Z18" s="55"/>
      <c r="AA18" s="55"/>
      <c r="AB18" s="55"/>
      <c r="AC18" s="55"/>
      <c r="AD18" s="55"/>
      <c r="AE18" s="55"/>
      <c r="AF18" s="55"/>
      <c r="AG18" s="55"/>
      <c r="AI18" s="57" t="s">
        <v>24</v>
      </c>
      <c r="AJ18" s="57"/>
      <c r="AK18" s="57"/>
      <c r="AL18" s="57"/>
      <c r="AM18" s="57"/>
      <c r="AN18" s="57"/>
      <c r="AO18" s="57"/>
      <c r="AP18" s="57"/>
      <c r="AQ18" s="57"/>
      <c r="AS18" s="55" t="s">
        <v>17</v>
      </c>
      <c r="AT18" s="55"/>
      <c r="AU18" s="55"/>
      <c r="AV18" s="55"/>
      <c r="AW18" s="55"/>
      <c r="AX18" s="55"/>
      <c r="AY18" s="55"/>
      <c r="AZ18" s="55"/>
      <c r="BA18" s="55"/>
    </row>
    <row r="19" spans="1:56" x14ac:dyDescent="0.25">
      <c r="E19" s="2" t="s">
        <v>0</v>
      </c>
      <c r="G19" s="2" t="s">
        <v>2</v>
      </c>
      <c r="I19" s="2"/>
      <c r="J19" s="2"/>
      <c r="K19" s="2" t="s">
        <v>3</v>
      </c>
      <c r="L19" s="2"/>
      <c r="O19" s="2" t="s">
        <v>0</v>
      </c>
      <c r="Q19" s="2" t="s">
        <v>2</v>
      </c>
      <c r="S19" s="2"/>
      <c r="T19" s="2"/>
      <c r="U19" s="2" t="s">
        <v>3</v>
      </c>
      <c r="Y19" s="2" t="s">
        <v>0</v>
      </c>
      <c r="AA19" s="2" t="s">
        <v>2</v>
      </c>
      <c r="AC19" s="2"/>
      <c r="AD19" s="2"/>
      <c r="AE19" s="2" t="s">
        <v>3</v>
      </c>
      <c r="AI19" s="2" t="s">
        <v>0</v>
      </c>
      <c r="AK19" s="2" t="s">
        <v>2</v>
      </c>
      <c r="AM19" s="2"/>
      <c r="AN19" s="2"/>
      <c r="AO19" s="2" t="s">
        <v>3</v>
      </c>
      <c r="AP19" s="2"/>
      <c r="AQ19" s="2"/>
      <c r="AS19" s="2" t="s">
        <v>0</v>
      </c>
      <c r="AU19" s="2" t="s">
        <v>2</v>
      </c>
      <c r="AW19" s="2"/>
      <c r="AX19" s="2"/>
      <c r="AY19" s="2" t="s">
        <v>3</v>
      </c>
    </row>
    <row r="20" spans="1:56" x14ac:dyDescent="0.25">
      <c r="A20" s="55" t="s">
        <v>19</v>
      </c>
      <c r="B20" s="55"/>
      <c r="C20" s="55"/>
      <c r="E20" s="3" t="s">
        <v>1</v>
      </c>
      <c r="G20" s="3" t="s">
        <v>1</v>
      </c>
      <c r="I20" s="3" t="s">
        <v>4</v>
      </c>
      <c r="J20" s="2"/>
      <c r="K20" s="3" t="s">
        <v>1</v>
      </c>
      <c r="L20" s="34"/>
      <c r="M20" s="34"/>
      <c r="N20" s="3"/>
      <c r="O20" s="3" t="s">
        <v>1</v>
      </c>
      <c r="Q20" s="3" t="s">
        <v>1</v>
      </c>
      <c r="S20" s="3" t="s">
        <v>4</v>
      </c>
      <c r="T20" s="2"/>
      <c r="U20" s="3" t="s">
        <v>1</v>
      </c>
      <c r="W20" s="34"/>
      <c r="Y20" s="3" t="s">
        <v>1</v>
      </c>
      <c r="AA20" s="3" t="s">
        <v>1</v>
      </c>
      <c r="AC20" s="3" t="s">
        <v>4</v>
      </c>
      <c r="AD20" s="2"/>
      <c r="AE20" s="3" t="s">
        <v>1</v>
      </c>
      <c r="AG20" s="34"/>
      <c r="AI20" s="3" t="s">
        <v>1</v>
      </c>
      <c r="AK20" s="3" t="s">
        <v>1</v>
      </c>
      <c r="AM20" s="3" t="s">
        <v>4</v>
      </c>
      <c r="AN20" s="2"/>
      <c r="AO20" s="3" t="s">
        <v>1</v>
      </c>
      <c r="AP20" s="34"/>
      <c r="AQ20" s="34"/>
      <c r="AS20" s="3" t="s">
        <v>1</v>
      </c>
      <c r="AU20" s="3" t="s">
        <v>1</v>
      </c>
      <c r="AW20" s="3" t="s">
        <v>4</v>
      </c>
      <c r="AX20" s="2"/>
      <c r="AY20" s="3" t="s">
        <v>1</v>
      </c>
      <c r="BA20" s="42"/>
      <c r="BC20" s="34"/>
    </row>
    <row r="21" spans="1:56" x14ac:dyDescent="0.25">
      <c r="A21" s="6" t="s">
        <v>26</v>
      </c>
      <c r="E21" s="5">
        <f>10663+89+265</f>
        <v>11017</v>
      </c>
      <c r="F21" s="4"/>
      <c r="G21" s="5"/>
      <c r="H21" s="4"/>
      <c r="I21" s="5">
        <f>564+9+265</f>
        <v>838</v>
      </c>
      <c r="J21" s="4"/>
      <c r="K21" s="4">
        <f>+E21-G21-I21</f>
        <v>10179</v>
      </c>
      <c r="L21" s="5"/>
      <c r="M21" s="22"/>
      <c r="O21" s="5">
        <f>1127+1215+170</f>
        <v>2512</v>
      </c>
      <c r="P21" s="4"/>
      <c r="Q21" s="5"/>
      <c r="R21" s="4"/>
      <c r="S21" s="5">
        <f>59+162+170</f>
        <v>391</v>
      </c>
      <c r="T21" s="4"/>
      <c r="U21" s="5">
        <f>+O21-Q21-S21</f>
        <v>2121</v>
      </c>
      <c r="V21" s="4"/>
      <c r="W21" s="23"/>
      <c r="X21" s="4"/>
      <c r="Y21" s="5">
        <f>3132.436</f>
        <v>3132.4360000000001</v>
      </c>
      <c r="Z21" s="4"/>
      <c r="AA21" s="5"/>
      <c r="AB21" s="4"/>
      <c r="AC21" s="5">
        <f>562.31+28.841</f>
        <v>591.15099999999995</v>
      </c>
      <c r="AD21" s="4"/>
      <c r="AE21" s="4">
        <f>+Y21-AA21-AC21</f>
        <v>2541.2850000000003</v>
      </c>
      <c r="AG21" s="24"/>
      <c r="AI21" s="5"/>
      <c r="AJ21" s="4"/>
      <c r="AK21" s="5"/>
      <c r="AL21" s="4"/>
      <c r="AM21" s="5"/>
      <c r="AN21" s="4"/>
      <c r="AO21" s="5"/>
      <c r="AP21" s="5"/>
      <c r="AQ21" s="5"/>
      <c r="AS21" s="12">
        <f t="shared" ref="AS21:AS26" si="4">E21+O21+Y21+AI21</f>
        <v>16661.436000000002</v>
      </c>
      <c r="AU21" s="5"/>
      <c r="AW21" s="12">
        <f t="shared" ref="AW21:AW26" si="5">I21+S21+AC21+AM21</f>
        <v>1820.1509999999998</v>
      </c>
      <c r="AY21" s="12">
        <f t="shared" ref="AY21:AY26" si="6">K21+U21+AE21+AO21</f>
        <v>14841.285</v>
      </c>
      <c r="BA21" s="25"/>
      <c r="BC21" s="24"/>
    </row>
    <row r="22" spans="1:56" x14ac:dyDescent="0.25">
      <c r="A22" t="s">
        <v>31</v>
      </c>
      <c r="E22" s="5">
        <v>0</v>
      </c>
      <c r="F22" s="4"/>
      <c r="G22" s="5"/>
      <c r="H22" s="4"/>
      <c r="I22" s="5">
        <v>0</v>
      </c>
      <c r="J22" s="4"/>
      <c r="K22" s="4">
        <f>+E22-G22-I22</f>
        <v>0</v>
      </c>
      <c r="L22" s="5"/>
      <c r="M22" s="22"/>
      <c r="O22" s="5">
        <v>0</v>
      </c>
      <c r="P22" s="4"/>
      <c r="Q22" s="5"/>
      <c r="R22" s="4"/>
      <c r="S22" s="5">
        <v>0</v>
      </c>
      <c r="T22" s="4"/>
      <c r="U22" s="5">
        <f>+O22-Q22-S22</f>
        <v>0</v>
      </c>
      <c r="V22" s="4"/>
      <c r="W22" s="23"/>
      <c r="X22" s="4"/>
      <c r="Y22" s="5">
        <v>0</v>
      </c>
      <c r="Z22" s="4"/>
      <c r="AA22" s="5"/>
      <c r="AB22" s="4"/>
      <c r="AC22" s="5">
        <v>0</v>
      </c>
      <c r="AD22" s="4"/>
      <c r="AE22" s="4">
        <f>+Y22-AA22-AC22</f>
        <v>0</v>
      </c>
      <c r="AG22" s="24"/>
      <c r="AI22" s="5"/>
      <c r="AJ22" s="4"/>
      <c r="AK22" s="5"/>
      <c r="AL22" s="4"/>
      <c r="AM22" s="5"/>
      <c r="AN22" s="4"/>
      <c r="AO22" s="5"/>
      <c r="AP22" s="5"/>
      <c r="AQ22" s="5"/>
      <c r="AS22" s="12">
        <f t="shared" si="4"/>
        <v>0</v>
      </c>
      <c r="AU22" s="5"/>
      <c r="AW22" s="12">
        <f t="shared" si="5"/>
        <v>0</v>
      </c>
      <c r="AY22" s="12">
        <f t="shared" si="6"/>
        <v>0</v>
      </c>
      <c r="BA22" s="25"/>
      <c r="BC22" s="24"/>
    </row>
    <row r="23" spans="1:56" x14ac:dyDescent="0.25">
      <c r="A23" s="6" t="s">
        <v>5</v>
      </c>
      <c r="E23" s="5">
        <f>4910-3100</f>
        <v>1810</v>
      </c>
      <c r="F23" s="4"/>
      <c r="G23" s="5"/>
      <c r="H23" s="4"/>
      <c r="I23" s="5">
        <v>31</v>
      </c>
      <c r="J23" s="4"/>
      <c r="K23" s="4">
        <f>+E23-G23-I23</f>
        <v>1779</v>
      </c>
      <c r="L23" s="5"/>
      <c r="M23" s="22"/>
      <c r="O23" s="5">
        <f>461-169</f>
        <v>292</v>
      </c>
      <c r="P23" s="4"/>
      <c r="Q23" s="5"/>
      <c r="R23" s="4"/>
      <c r="S23" s="5">
        <f>40</f>
        <v>40</v>
      </c>
      <c r="T23" s="4"/>
      <c r="U23" s="5">
        <f>+O23-Q23-S23</f>
        <v>252</v>
      </c>
      <c r="V23" s="4"/>
      <c r="W23" s="23"/>
      <c r="X23" s="4"/>
      <c r="Y23" s="5">
        <v>0</v>
      </c>
      <c r="Z23" s="4"/>
      <c r="AA23" s="5"/>
      <c r="AB23" s="4"/>
      <c r="AC23" s="5">
        <v>0</v>
      </c>
      <c r="AD23" s="4"/>
      <c r="AE23" s="4">
        <f>+Y23-AA23-AC23</f>
        <v>0</v>
      </c>
      <c r="AG23" s="24"/>
      <c r="AI23" s="5"/>
      <c r="AJ23" s="4"/>
      <c r="AK23" s="5"/>
      <c r="AL23" s="4"/>
      <c r="AM23" s="5"/>
      <c r="AN23" s="4"/>
      <c r="AO23" s="5"/>
      <c r="AP23" s="5"/>
      <c r="AQ23" s="5"/>
      <c r="AS23" s="12">
        <f t="shared" si="4"/>
        <v>2102</v>
      </c>
      <c r="AU23" s="5"/>
      <c r="AW23" s="12">
        <f t="shared" si="5"/>
        <v>71</v>
      </c>
      <c r="AY23" s="12">
        <f t="shared" si="6"/>
        <v>2031</v>
      </c>
      <c r="BA23" s="25"/>
      <c r="BC23" s="24"/>
    </row>
    <row r="24" spans="1:56" x14ac:dyDescent="0.25">
      <c r="A24" s="6" t="s">
        <v>12</v>
      </c>
      <c r="E24" s="5">
        <f>1805+240-86</f>
        <v>1959</v>
      </c>
      <c r="F24" s="4"/>
      <c r="G24" s="5"/>
      <c r="H24" s="4"/>
      <c r="I24" s="5">
        <f>387+240-25.9</f>
        <v>601.1</v>
      </c>
      <c r="J24" s="4"/>
      <c r="K24" s="4">
        <f>+E24-G24-I24</f>
        <v>1357.9</v>
      </c>
      <c r="L24" s="5"/>
      <c r="M24" s="22"/>
      <c r="O24" s="5">
        <f>318-54.8</f>
        <v>263.2</v>
      </c>
      <c r="P24" s="4"/>
      <c r="Q24" s="5"/>
      <c r="R24" s="4"/>
      <c r="S24" s="5">
        <f>68-16.4</f>
        <v>51.6</v>
      </c>
      <c r="T24" s="4"/>
      <c r="U24" s="5">
        <f>+O24-Q24-S24</f>
        <v>211.6</v>
      </c>
      <c r="V24" s="4"/>
      <c r="W24" s="23"/>
      <c r="X24" s="4"/>
      <c r="Y24" s="5">
        <v>931.71699999999998</v>
      </c>
      <c r="Z24" s="4"/>
      <c r="AA24" s="5"/>
      <c r="AB24" s="4"/>
      <c r="AC24" s="5">
        <v>370</v>
      </c>
      <c r="AD24" s="4"/>
      <c r="AE24" s="4">
        <f>+Y24-AA24-AC24</f>
        <v>561.71699999999998</v>
      </c>
      <c r="AG24" s="24"/>
      <c r="AI24" s="5"/>
      <c r="AJ24" s="4"/>
      <c r="AK24" s="5"/>
      <c r="AL24" s="4"/>
      <c r="AM24" s="5"/>
      <c r="AN24" s="4"/>
      <c r="AO24" s="5"/>
      <c r="AP24" s="5"/>
      <c r="AQ24" s="5"/>
      <c r="AS24" s="12">
        <f t="shared" si="4"/>
        <v>3153.9169999999999</v>
      </c>
      <c r="AU24" s="5"/>
      <c r="AW24" s="12">
        <f t="shared" si="5"/>
        <v>1022.7</v>
      </c>
      <c r="AY24" s="12">
        <f t="shared" si="6"/>
        <v>2131.2170000000001</v>
      </c>
      <c r="BA24" s="25"/>
      <c r="BC24" s="24"/>
    </row>
    <row r="25" spans="1:56" x14ac:dyDescent="0.25">
      <c r="A25" s="6" t="s">
        <v>11</v>
      </c>
      <c r="E25" s="5"/>
      <c r="F25" s="4"/>
      <c r="G25" s="5"/>
      <c r="H25" s="4"/>
      <c r="I25" s="5"/>
      <c r="J25" s="4"/>
      <c r="K25" s="5"/>
      <c r="L25" s="5"/>
      <c r="M25" s="24"/>
      <c r="O25" s="4"/>
      <c r="P25" s="4"/>
      <c r="Q25" s="4"/>
      <c r="R25" s="4"/>
      <c r="S25" s="4"/>
      <c r="T25" s="4"/>
      <c r="U25" s="4"/>
      <c r="V25" s="4"/>
      <c r="W25" s="5"/>
      <c r="X25" s="4"/>
      <c r="Y25" s="4">
        <f>0</f>
        <v>0</v>
      </c>
      <c r="Z25" s="4"/>
      <c r="AA25" s="4"/>
      <c r="AB25" s="4"/>
      <c r="AC25" s="4">
        <f>0</f>
        <v>0</v>
      </c>
      <c r="AD25" s="4"/>
      <c r="AE25" s="4">
        <f>+Y25-AA25-AC25</f>
        <v>0</v>
      </c>
      <c r="AG25" s="24"/>
      <c r="AI25" s="4"/>
      <c r="AJ25" s="4"/>
      <c r="AK25" s="4"/>
      <c r="AL25" s="4"/>
      <c r="AM25" s="4"/>
      <c r="AN25" s="4"/>
      <c r="AO25" s="4"/>
      <c r="AP25" s="4"/>
      <c r="AQ25" s="4"/>
      <c r="AS25" s="12">
        <f t="shared" si="4"/>
        <v>0</v>
      </c>
      <c r="AW25" s="12">
        <f t="shared" si="5"/>
        <v>0</v>
      </c>
      <c r="AY25" s="12">
        <f t="shared" si="6"/>
        <v>0</v>
      </c>
      <c r="BA25" s="25"/>
      <c r="BC25" s="24"/>
    </row>
    <row r="26" spans="1:56" x14ac:dyDescent="0.25">
      <c r="A26" s="6" t="s">
        <v>20</v>
      </c>
      <c r="M26" s="24"/>
      <c r="O26" s="4"/>
      <c r="P26" s="4"/>
      <c r="Q26" s="4"/>
      <c r="R26" s="4"/>
      <c r="S26" s="4"/>
      <c r="T26" s="4"/>
      <c r="U26" s="4"/>
      <c r="V26" s="4"/>
      <c r="W26" s="5"/>
      <c r="X26" s="4"/>
      <c r="AG26" s="24"/>
      <c r="AI26" s="4">
        <f>0</f>
        <v>0</v>
      </c>
      <c r="AJ26" s="4"/>
      <c r="AK26" s="4"/>
      <c r="AL26" s="4"/>
      <c r="AM26" s="4">
        <f>0</f>
        <v>0</v>
      </c>
      <c r="AN26" s="4"/>
      <c r="AO26" s="4">
        <f>0</f>
        <v>0</v>
      </c>
      <c r="AP26" s="4"/>
      <c r="AQ26" s="4"/>
      <c r="AS26" s="21">
        <f t="shared" si="4"/>
        <v>0</v>
      </c>
      <c r="AW26" s="12">
        <f t="shared" si="5"/>
        <v>0</v>
      </c>
      <c r="AY26" s="21">
        <f t="shared" si="6"/>
        <v>0</v>
      </c>
      <c r="BA26" s="25"/>
      <c r="BC26" s="24"/>
    </row>
    <row r="27" spans="1:56" ht="13.8" thickBot="1" x14ac:dyDescent="0.3">
      <c r="A27" t="s">
        <v>13</v>
      </c>
      <c r="E27" s="26">
        <f>SUM(E21:E26)</f>
        <v>14786</v>
      </c>
      <c r="I27" s="26">
        <f>SUM(I21:I26)</f>
        <v>1470.1</v>
      </c>
      <c r="K27" s="26">
        <f>SUM(K21:K26)</f>
        <v>13315.9</v>
      </c>
      <c r="M27" s="36"/>
      <c r="O27" s="26">
        <f>SUM(O21:O26)</f>
        <v>3067.2</v>
      </c>
      <c r="P27" s="4"/>
      <c r="Q27" s="4"/>
      <c r="R27" s="4"/>
      <c r="S27" s="26">
        <f>SUM(S21:S26)</f>
        <v>482.6</v>
      </c>
      <c r="T27" s="4"/>
      <c r="U27" s="26">
        <f>SUM(U21:U26)</f>
        <v>2584.6</v>
      </c>
      <c r="V27" s="4"/>
      <c r="W27" s="36">
        <f>SUM(W21:W26)</f>
        <v>0</v>
      </c>
      <c r="X27" s="4"/>
      <c r="Y27" s="26">
        <f>SUM(Y21:Y26)</f>
        <v>4064.1530000000002</v>
      </c>
      <c r="AC27" s="26">
        <f>SUM(AC21:AC26)</f>
        <v>961.15099999999995</v>
      </c>
      <c r="AE27" s="26">
        <f>SUM(AE21:AE26)</f>
        <v>3103.0020000000004</v>
      </c>
      <c r="AG27" s="36">
        <f>SUM(AG21:AG26)</f>
        <v>0</v>
      </c>
      <c r="AI27" s="26">
        <f>SUM(AI21:AI26)</f>
        <v>0</v>
      </c>
      <c r="AJ27" s="4"/>
      <c r="AK27" s="4"/>
      <c r="AL27" s="4"/>
      <c r="AM27" s="26">
        <f>SUM(AM21:AM26)</f>
        <v>0</v>
      </c>
      <c r="AN27" s="4"/>
      <c r="AO27" s="26">
        <f>SUM(AO21:AO26)</f>
        <v>0</v>
      </c>
      <c r="AP27" s="36"/>
      <c r="AQ27" s="36"/>
      <c r="AS27" s="26">
        <f>SUM(AS21:AS26)</f>
        <v>21917.353000000003</v>
      </c>
      <c r="AW27" s="26">
        <f>SUM(AW21:AW26)</f>
        <v>2913.8509999999997</v>
      </c>
      <c r="AY27" s="26">
        <f>SUM(AY21:AY26)</f>
        <v>19003.502</v>
      </c>
      <c r="BA27" s="36"/>
      <c r="BC27" s="24"/>
    </row>
    <row r="28" spans="1:56" ht="14.4" thickTop="1" thickBot="1" x14ac:dyDescent="0.3">
      <c r="O28" s="4"/>
      <c r="P28" s="4"/>
      <c r="Q28" s="4"/>
      <c r="R28" s="4"/>
      <c r="S28" s="4"/>
      <c r="T28" s="4"/>
      <c r="U28" s="4"/>
      <c r="V28" s="4"/>
      <c r="W28" s="4"/>
      <c r="X28" s="4"/>
      <c r="AI28" s="4"/>
      <c r="AJ28" s="4"/>
      <c r="AK28" s="4"/>
      <c r="AL28" s="4"/>
      <c r="AM28" s="4"/>
      <c r="AN28" s="4"/>
      <c r="AO28" s="4"/>
      <c r="AP28" s="4"/>
      <c r="AQ28" s="4"/>
    </row>
    <row r="29" spans="1:56" x14ac:dyDescent="0.25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30"/>
      <c r="AJ29" s="30"/>
      <c r="AK29" s="30"/>
      <c r="AL29" s="30"/>
      <c r="AM29" s="30"/>
      <c r="AN29" s="30"/>
      <c r="AO29" s="30"/>
      <c r="AP29" s="30"/>
      <c r="AQ29" s="30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31"/>
    </row>
    <row r="30" spans="1:56" x14ac:dyDescent="0.25">
      <c r="A30" s="32"/>
      <c r="B30" s="24"/>
      <c r="C30" s="24"/>
      <c r="D30" s="24"/>
      <c r="E30" s="55" t="s">
        <v>7</v>
      </c>
      <c r="F30" s="55"/>
      <c r="G30" s="55"/>
      <c r="H30" s="55"/>
      <c r="I30" s="55"/>
      <c r="J30" s="55"/>
      <c r="K30" s="55"/>
      <c r="L30" s="55"/>
      <c r="M30" s="55"/>
      <c r="N30" s="24"/>
      <c r="O30" s="55" t="s">
        <v>8</v>
      </c>
      <c r="P30" s="55"/>
      <c r="Q30" s="55"/>
      <c r="R30" s="55"/>
      <c r="S30" s="55"/>
      <c r="T30" s="55"/>
      <c r="U30" s="55"/>
      <c r="V30" s="55"/>
      <c r="W30" s="55"/>
      <c r="X30" s="24"/>
      <c r="Y30" s="55" t="s">
        <v>10</v>
      </c>
      <c r="Z30" s="55"/>
      <c r="AA30" s="55"/>
      <c r="AB30" s="55"/>
      <c r="AC30" s="55"/>
      <c r="AD30" s="55"/>
      <c r="AE30" s="55"/>
      <c r="AF30" s="55"/>
      <c r="AG30" s="55"/>
      <c r="AH30" s="24"/>
      <c r="AI30" s="57" t="s">
        <v>24</v>
      </c>
      <c r="AJ30" s="57"/>
      <c r="AK30" s="57"/>
      <c r="AL30" s="57"/>
      <c r="AM30" s="57"/>
      <c r="AN30" s="57"/>
      <c r="AO30" s="57"/>
      <c r="AP30" s="57"/>
      <c r="AQ30" s="57"/>
      <c r="AR30" s="24"/>
      <c r="AS30" s="55" t="s">
        <v>17</v>
      </c>
      <c r="AT30" s="55"/>
      <c r="AU30" s="55"/>
      <c r="AV30" s="55"/>
      <c r="AW30" s="55"/>
      <c r="AX30" s="55"/>
      <c r="AY30" s="55"/>
      <c r="AZ30" s="55"/>
      <c r="BA30" s="55"/>
      <c r="BB30" s="24"/>
      <c r="BC30" s="24"/>
      <c r="BD30" s="33"/>
    </row>
    <row r="31" spans="1:56" x14ac:dyDescent="0.25">
      <c r="A31" s="32"/>
      <c r="B31" s="24"/>
      <c r="C31" s="24"/>
      <c r="D31" s="24"/>
      <c r="E31" s="34" t="s">
        <v>0</v>
      </c>
      <c r="F31" s="24"/>
      <c r="G31" s="34" t="s">
        <v>2</v>
      </c>
      <c r="H31" s="24"/>
      <c r="I31" s="34"/>
      <c r="J31" s="34"/>
      <c r="K31" s="34" t="s">
        <v>3</v>
      </c>
      <c r="L31" s="34"/>
      <c r="M31" s="24"/>
      <c r="N31" s="24"/>
      <c r="O31" s="34" t="s">
        <v>0</v>
      </c>
      <c r="P31" s="24"/>
      <c r="Q31" s="34" t="s">
        <v>2</v>
      </c>
      <c r="R31" s="24"/>
      <c r="S31" s="34"/>
      <c r="T31" s="34"/>
      <c r="U31" s="34" t="s">
        <v>3</v>
      </c>
      <c r="V31" s="24"/>
      <c r="W31" s="24"/>
      <c r="X31" s="24"/>
      <c r="Y31" s="34" t="s">
        <v>0</v>
      </c>
      <c r="Z31" s="24"/>
      <c r="AA31" s="34" t="s">
        <v>2</v>
      </c>
      <c r="AB31" s="24"/>
      <c r="AC31" s="34"/>
      <c r="AD31" s="34"/>
      <c r="AE31" s="34" t="s">
        <v>3</v>
      </c>
      <c r="AF31" s="24"/>
      <c r="AG31" s="24"/>
      <c r="AH31" s="24"/>
      <c r="AI31" s="34" t="s">
        <v>0</v>
      </c>
      <c r="AJ31" s="24"/>
      <c r="AK31" s="34" t="s">
        <v>2</v>
      </c>
      <c r="AL31" s="24"/>
      <c r="AM31" s="34"/>
      <c r="AN31" s="34"/>
      <c r="AO31" s="34" t="s">
        <v>3</v>
      </c>
      <c r="AP31" s="34"/>
      <c r="AQ31" s="34"/>
      <c r="AR31" s="24"/>
      <c r="AS31" s="34" t="s">
        <v>0</v>
      </c>
      <c r="AT31" s="24"/>
      <c r="AU31" s="34" t="s">
        <v>2</v>
      </c>
      <c r="AV31" s="24"/>
      <c r="AW31" s="34"/>
      <c r="AX31" s="34"/>
      <c r="AY31" s="34" t="s">
        <v>3</v>
      </c>
      <c r="AZ31" s="24"/>
      <c r="BA31" s="24"/>
      <c r="BB31" s="24"/>
      <c r="BC31" s="24"/>
      <c r="BD31" s="33"/>
    </row>
    <row r="32" spans="1:56" x14ac:dyDescent="0.25">
      <c r="A32" s="56" t="s">
        <v>21</v>
      </c>
      <c r="B32" s="55"/>
      <c r="C32" s="55"/>
      <c r="D32" s="24"/>
      <c r="E32" s="27" t="s">
        <v>22</v>
      </c>
      <c r="F32" s="24"/>
      <c r="G32" s="34" t="s">
        <v>1</v>
      </c>
      <c r="H32" s="24"/>
      <c r="I32" s="3" t="s">
        <v>4</v>
      </c>
      <c r="J32" s="34"/>
      <c r="K32" s="3" t="s">
        <v>1</v>
      </c>
      <c r="L32" s="34"/>
      <c r="M32" s="34"/>
      <c r="N32" s="34"/>
      <c r="O32" s="3" t="s">
        <v>1</v>
      </c>
      <c r="P32" s="24"/>
      <c r="Q32" s="34" t="s">
        <v>1</v>
      </c>
      <c r="R32" s="24"/>
      <c r="S32" s="3" t="s">
        <v>4</v>
      </c>
      <c r="T32" s="34"/>
      <c r="U32" s="3" t="s">
        <v>1</v>
      </c>
      <c r="V32" s="24"/>
      <c r="W32" s="24"/>
      <c r="X32" s="24"/>
      <c r="Y32" s="3" t="s">
        <v>1</v>
      </c>
      <c r="Z32" s="24"/>
      <c r="AA32" s="34" t="s">
        <v>1</v>
      </c>
      <c r="AB32" s="24"/>
      <c r="AC32" s="3" t="s">
        <v>4</v>
      </c>
      <c r="AD32" s="34"/>
      <c r="AE32" s="3" t="s">
        <v>1</v>
      </c>
      <c r="AF32" s="24"/>
      <c r="AG32" s="34"/>
      <c r="AH32" s="24"/>
      <c r="AI32" s="3" t="s">
        <v>1</v>
      </c>
      <c r="AJ32" s="24"/>
      <c r="AK32" s="34" t="s">
        <v>1</v>
      </c>
      <c r="AL32" s="24"/>
      <c r="AM32" s="3" t="s">
        <v>4</v>
      </c>
      <c r="AN32" s="34"/>
      <c r="AO32" s="3" t="s">
        <v>1</v>
      </c>
      <c r="AP32" s="34"/>
      <c r="AQ32" s="34"/>
      <c r="AR32" s="24"/>
      <c r="AS32" s="3" t="s">
        <v>1</v>
      </c>
      <c r="AT32" s="24"/>
      <c r="AU32" s="34" t="s">
        <v>1</v>
      </c>
      <c r="AV32" s="24"/>
      <c r="AW32" s="3" t="s">
        <v>4</v>
      </c>
      <c r="AX32" s="34"/>
      <c r="AY32" s="3" t="s">
        <v>1</v>
      </c>
      <c r="AZ32" s="24"/>
      <c r="BA32" s="42"/>
      <c r="BB32" s="24"/>
      <c r="BC32" s="3" t="s">
        <v>23</v>
      </c>
      <c r="BD32" s="33"/>
    </row>
    <row r="33" spans="1:56" x14ac:dyDescent="0.25">
      <c r="A33" s="35" t="s">
        <v>9</v>
      </c>
      <c r="B33" s="24"/>
      <c r="C33" s="24"/>
      <c r="D33" s="24"/>
      <c r="E33" s="36">
        <f t="shared" ref="E33:E38" si="7">E9-E21</f>
        <v>-448.39199999999983</v>
      </c>
      <c r="F33" s="24"/>
      <c r="G33" s="24"/>
      <c r="H33" s="24"/>
      <c r="I33" s="36">
        <f t="shared" ref="I33:I38" si="8">I9-I21</f>
        <v>-26.892000000000053</v>
      </c>
      <c r="J33" s="24"/>
      <c r="K33" s="36">
        <f t="shared" ref="K33:K38" si="9">K9-K21</f>
        <v>-421.5</v>
      </c>
      <c r="L33" s="24"/>
      <c r="M33" s="24"/>
      <c r="N33" s="24"/>
      <c r="O33" s="36">
        <f t="shared" ref="O33:O38" si="10">O9-O21</f>
        <v>-371.1909999999998</v>
      </c>
      <c r="P33" s="24"/>
      <c r="Q33" s="24"/>
      <c r="R33" s="24"/>
      <c r="S33" s="36">
        <f t="shared" ref="S33:S38" si="11">S9-S21</f>
        <v>-138.63900000000001</v>
      </c>
      <c r="T33" s="24"/>
      <c r="U33" s="36">
        <f t="shared" ref="U33:U38" si="12">U9-U21</f>
        <v>-232.55199999999968</v>
      </c>
      <c r="V33" s="24"/>
      <c r="W33" s="24"/>
      <c r="X33" s="24"/>
      <c r="Y33" s="36">
        <f t="shared" ref="Y33:Y38" si="13">Y9-Y21</f>
        <v>-78.465999999999894</v>
      </c>
      <c r="Z33" s="24"/>
      <c r="AA33" s="24"/>
      <c r="AB33" s="24"/>
      <c r="AC33" s="36">
        <f t="shared" ref="AC33:AC38" si="14">AC9-AC21</f>
        <v>-77.728999999999928</v>
      </c>
      <c r="AD33" s="24"/>
      <c r="AE33" s="36">
        <f t="shared" ref="AE33:AE38" si="15">AE9-AE21</f>
        <v>-0.73700000000008004</v>
      </c>
      <c r="AF33" s="24"/>
      <c r="AG33" s="24"/>
      <c r="AH33" s="24"/>
      <c r="AI33" s="36">
        <f t="shared" ref="AI33:AI38" si="16">AI9-AI21</f>
        <v>0</v>
      </c>
      <c r="AJ33" s="24"/>
      <c r="AK33" s="24"/>
      <c r="AL33" s="24"/>
      <c r="AM33" s="36">
        <f t="shared" ref="AM33:AM38" si="17">AM9-AM21</f>
        <v>0</v>
      </c>
      <c r="AN33" s="24"/>
      <c r="AO33" s="36">
        <f t="shared" ref="AO33:AO38" si="18">AO9-AO21</f>
        <v>0</v>
      </c>
      <c r="AP33" s="36"/>
      <c r="AQ33" s="36"/>
      <c r="AR33" s="24"/>
      <c r="AS33" s="36">
        <f t="shared" ref="AS33:AS38" si="19">AS9-AS21</f>
        <v>-898.04899999999907</v>
      </c>
      <c r="AT33" s="24"/>
      <c r="AU33" s="24"/>
      <c r="AV33" s="24"/>
      <c r="AW33" s="36">
        <f t="shared" ref="AW33:AW38" si="20">AW9-AW21</f>
        <v>-243.25999999999976</v>
      </c>
      <c r="AX33" s="24"/>
      <c r="AY33" s="36">
        <f t="shared" ref="AY33:AY38" si="21">AY9-AY21</f>
        <v>-654.78899999999885</v>
      </c>
      <c r="AZ33" s="24"/>
      <c r="BA33" s="24"/>
      <c r="BB33" s="24"/>
      <c r="BC33" s="43">
        <f>AS33/AS21</f>
        <v>-5.3899855930785258E-2</v>
      </c>
      <c r="BD33" s="33"/>
    </row>
    <row r="34" spans="1:56" x14ac:dyDescent="0.25">
      <c r="A34" s="35" t="s">
        <v>31</v>
      </c>
      <c r="B34" s="24"/>
      <c r="C34" s="24"/>
      <c r="D34" s="24"/>
      <c r="E34" s="36">
        <f t="shared" si="7"/>
        <v>914.56</v>
      </c>
      <c r="F34" s="24"/>
      <c r="G34" s="24"/>
      <c r="H34" s="24"/>
      <c r="I34" s="36">
        <f t="shared" si="8"/>
        <v>0</v>
      </c>
      <c r="J34" s="24"/>
      <c r="K34" s="36">
        <f t="shared" si="9"/>
        <v>914.56</v>
      </c>
      <c r="L34" s="24"/>
      <c r="M34" s="24"/>
      <c r="N34" s="24"/>
      <c r="O34" s="36">
        <f t="shared" si="10"/>
        <v>228.64</v>
      </c>
      <c r="P34" s="24"/>
      <c r="Q34" s="24"/>
      <c r="R34" s="24"/>
      <c r="S34" s="36">
        <f t="shared" si="11"/>
        <v>0</v>
      </c>
      <c r="T34" s="24"/>
      <c r="U34" s="36">
        <f t="shared" si="12"/>
        <v>228.64</v>
      </c>
      <c r="V34" s="24"/>
      <c r="W34" s="24"/>
      <c r="X34" s="24"/>
      <c r="Y34" s="36">
        <f t="shared" si="13"/>
        <v>0</v>
      </c>
      <c r="Z34" s="24"/>
      <c r="AA34" s="24"/>
      <c r="AB34" s="24"/>
      <c r="AC34" s="36">
        <f t="shared" si="14"/>
        <v>0</v>
      </c>
      <c r="AD34" s="24"/>
      <c r="AE34" s="36">
        <f t="shared" si="15"/>
        <v>0</v>
      </c>
      <c r="AF34" s="24"/>
      <c r="AG34" s="24"/>
      <c r="AH34" s="24"/>
      <c r="AI34" s="36">
        <f t="shared" si="16"/>
        <v>0</v>
      </c>
      <c r="AJ34" s="24"/>
      <c r="AK34" s="24"/>
      <c r="AL34" s="24"/>
      <c r="AM34" s="36">
        <f t="shared" si="17"/>
        <v>0</v>
      </c>
      <c r="AN34" s="24"/>
      <c r="AO34" s="36">
        <f t="shared" si="18"/>
        <v>0</v>
      </c>
      <c r="AP34" s="36"/>
      <c r="AQ34" s="36"/>
      <c r="AR34" s="24"/>
      <c r="AS34" s="36">
        <f t="shared" si="19"/>
        <v>1143.1999999999998</v>
      </c>
      <c r="AT34" s="24"/>
      <c r="AU34" s="24"/>
      <c r="AV34" s="24"/>
      <c r="AW34" s="36">
        <f t="shared" si="20"/>
        <v>0</v>
      </c>
      <c r="AX34" s="24"/>
      <c r="AY34" s="36">
        <f t="shared" si="21"/>
        <v>1143.1999999999998</v>
      </c>
      <c r="AZ34" s="24"/>
      <c r="BA34" s="24"/>
      <c r="BB34" s="24"/>
      <c r="BC34" s="43">
        <v>1</v>
      </c>
      <c r="BD34" s="33"/>
    </row>
    <row r="35" spans="1:56" x14ac:dyDescent="0.25">
      <c r="A35" s="35" t="s">
        <v>5</v>
      </c>
      <c r="B35" s="24"/>
      <c r="C35" s="24"/>
      <c r="D35" s="24"/>
      <c r="E35" s="36">
        <f t="shared" si="7"/>
        <v>-102.36799999999994</v>
      </c>
      <c r="F35" s="24"/>
      <c r="G35" s="24"/>
      <c r="H35" s="24"/>
      <c r="I35" s="36">
        <f t="shared" si="8"/>
        <v>-27.326999999999998</v>
      </c>
      <c r="J35" s="24"/>
      <c r="K35" s="36">
        <f t="shared" si="9"/>
        <v>-75.04099999999994</v>
      </c>
      <c r="L35" s="24"/>
      <c r="M35" s="24"/>
      <c r="N35" s="24"/>
      <c r="O35" s="36">
        <f t="shared" si="10"/>
        <v>-28.396000000000015</v>
      </c>
      <c r="P35" s="24"/>
      <c r="Q35" s="24"/>
      <c r="R35" s="24"/>
      <c r="S35" s="36">
        <f t="shared" si="11"/>
        <v>-6.9480000000000004</v>
      </c>
      <c r="T35" s="24"/>
      <c r="U35" s="36">
        <f t="shared" si="12"/>
        <v>-21.448000000000008</v>
      </c>
      <c r="V35" s="24"/>
      <c r="W35" s="24"/>
      <c r="X35" s="24"/>
      <c r="Y35" s="36">
        <f t="shared" si="13"/>
        <v>0</v>
      </c>
      <c r="Z35" s="24"/>
      <c r="AA35" s="24"/>
      <c r="AB35" s="24"/>
      <c r="AC35" s="36">
        <f t="shared" si="14"/>
        <v>0</v>
      </c>
      <c r="AD35" s="24"/>
      <c r="AE35" s="36">
        <f t="shared" si="15"/>
        <v>0</v>
      </c>
      <c r="AF35" s="24"/>
      <c r="AG35" s="24"/>
      <c r="AH35" s="24"/>
      <c r="AI35" s="36">
        <f t="shared" si="16"/>
        <v>0</v>
      </c>
      <c r="AJ35" s="24"/>
      <c r="AK35" s="24"/>
      <c r="AL35" s="24"/>
      <c r="AM35" s="36">
        <f t="shared" si="17"/>
        <v>0</v>
      </c>
      <c r="AN35" s="24"/>
      <c r="AO35" s="36">
        <f t="shared" si="18"/>
        <v>0</v>
      </c>
      <c r="AP35" s="36"/>
      <c r="AQ35" s="36"/>
      <c r="AR35" s="24"/>
      <c r="AS35" s="36">
        <f t="shared" si="19"/>
        <v>-130.7639999999999</v>
      </c>
      <c r="AT35" s="24"/>
      <c r="AU35" s="24"/>
      <c r="AV35" s="24"/>
      <c r="AW35" s="36">
        <f t="shared" si="20"/>
        <v>-34.274999999999999</v>
      </c>
      <c r="AX35" s="24"/>
      <c r="AY35" s="36">
        <f t="shared" si="21"/>
        <v>-96.489000000000033</v>
      </c>
      <c r="AZ35" s="24"/>
      <c r="BA35" s="24"/>
      <c r="BB35" s="24"/>
      <c r="BC35" s="43">
        <f>AS35/AS23</f>
        <v>-6.2209324452901948E-2</v>
      </c>
      <c r="BD35" s="33"/>
    </row>
    <row r="36" spans="1:56" x14ac:dyDescent="0.25">
      <c r="A36" s="35" t="s">
        <v>12</v>
      </c>
      <c r="B36" s="24"/>
      <c r="C36" s="24"/>
      <c r="D36" s="24"/>
      <c r="E36" s="36">
        <f t="shared" si="7"/>
        <v>-155.46499999999992</v>
      </c>
      <c r="F36" s="24"/>
      <c r="G36" s="24"/>
      <c r="H36" s="24"/>
      <c r="I36" s="36">
        <f t="shared" si="8"/>
        <v>-24.301000000000045</v>
      </c>
      <c r="J36" s="24"/>
      <c r="K36" s="36">
        <f t="shared" si="9"/>
        <v>-131.16399999999999</v>
      </c>
      <c r="L36" s="24"/>
      <c r="M36" s="24"/>
      <c r="N36" s="24"/>
      <c r="O36" s="36">
        <f t="shared" si="10"/>
        <v>11.910000000000025</v>
      </c>
      <c r="P36" s="24"/>
      <c r="Q36" s="24"/>
      <c r="R36" s="24"/>
      <c r="S36" s="36">
        <f t="shared" si="11"/>
        <v>3.1030000000000015</v>
      </c>
      <c r="T36" s="24"/>
      <c r="U36" s="36">
        <f t="shared" si="12"/>
        <v>8.8070000000000164</v>
      </c>
      <c r="V36" s="24"/>
      <c r="W36" s="24"/>
      <c r="X36" s="24"/>
      <c r="Y36" s="36">
        <f t="shared" si="13"/>
        <v>-41.958999999999946</v>
      </c>
      <c r="Z36" s="24"/>
      <c r="AA36" s="24"/>
      <c r="AB36" s="24"/>
      <c r="AC36" s="36">
        <f t="shared" si="14"/>
        <v>260.04399999999998</v>
      </c>
      <c r="AD36" s="24"/>
      <c r="AE36" s="36">
        <f t="shared" si="15"/>
        <v>-302.00299999999993</v>
      </c>
      <c r="AF36" s="24"/>
      <c r="AG36" s="24"/>
      <c r="AH36" s="24"/>
      <c r="AI36" s="36">
        <f t="shared" si="16"/>
        <v>0</v>
      </c>
      <c r="AJ36" s="24"/>
      <c r="AK36" s="24"/>
      <c r="AL36" s="24"/>
      <c r="AM36" s="36">
        <f t="shared" si="17"/>
        <v>0</v>
      </c>
      <c r="AN36" s="24"/>
      <c r="AO36" s="36">
        <f t="shared" si="18"/>
        <v>0</v>
      </c>
      <c r="AP36" s="36"/>
      <c r="AQ36" s="36"/>
      <c r="AR36" s="24"/>
      <c r="AS36" s="36">
        <f t="shared" si="19"/>
        <v>-185.51399999999967</v>
      </c>
      <c r="AT36" s="24"/>
      <c r="AU36" s="24"/>
      <c r="AV36" s="24"/>
      <c r="AW36" s="36">
        <f t="shared" si="20"/>
        <v>238.84599999999978</v>
      </c>
      <c r="AX36" s="24"/>
      <c r="AY36" s="36">
        <f t="shared" si="21"/>
        <v>-424.36000000000013</v>
      </c>
      <c r="AZ36" s="24"/>
      <c r="BA36" s="24"/>
      <c r="BB36" s="24"/>
      <c r="BC36" s="43">
        <f>AS36/AS24</f>
        <v>-5.8820190892784965E-2</v>
      </c>
      <c r="BD36" s="33"/>
    </row>
    <row r="37" spans="1:56" x14ac:dyDescent="0.25">
      <c r="A37" s="35" t="s">
        <v>11</v>
      </c>
      <c r="B37" s="24"/>
      <c r="C37" s="24"/>
      <c r="D37" s="24"/>
      <c r="E37" s="36">
        <f t="shared" si="7"/>
        <v>0</v>
      </c>
      <c r="F37" s="24"/>
      <c r="G37" s="24"/>
      <c r="H37" s="24"/>
      <c r="I37" s="36">
        <f t="shared" si="8"/>
        <v>0</v>
      </c>
      <c r="J37" s="24"/>
      <c r="K37" s="36">
        <f t="shared" si="9"/>
        <v>0</v>
      </c>
      <c r="L37" s="24"/>
      <c r="M37" s="24"/>
      <c r="N37" s="24"/>
      <c r="O37" s="36">
        <f t="shared" si="10"/>
        <v>0</v>
      </c>
      <c r="P37" s="24"/>
      <c r="Q37" s="24"/>
      <c r="R37" s="24"/>
      <c r="S37" s="36">
        <f t="shared" si="11"/>
        <v>0</v>
      </c>
      <c r="T37" s="24"/>
      <c r="U37" s="36">
        <f t="shared" si="12"/>
        <v>0</v>
      </c>
      <c r="V37" s="24"/>
      <c r="W37" s="24"/>
      <c r="X37" s="24"/>
      <c r="Y37" s="36">
        <f t="shared" si="13"/>
        <v>1905</v>
      </c>
      <c r="Z37" s="24"/>
      <c r="AA37" s="24"/>
      <c r="AB37" s="24"/>
      <c r="AC37" s="36">
        <f t="shared" si="14"/>
        <v>1905</v>
      </c>
      <c r="AD37" s="24"/>
      <c r="AE37" s="36">
        <f t="shared" si="15"/>
        <v>0</v>
      </c>
      <c r="AF37" s="24"/>
      <c r="AG37" s="24"/>
      <c r="AH37" s="24"/>
      <c r="AI37" s="36">
        <f t="shared" si="16"/>
        <v>0</v>
      </c>
      <c r="AJ37" s="24"/>
      <c r="AK37" s="24"/>
      <c r="AL37" s="24"/>
      <c r="AM37" s="36">
        <f t="shared" si="17"/>
        <v>0</v>
      </c>
      <c r="AN37" s="24"/>
      <c r="AO37" s="36">
        <f t="shared" si="18"/>
        <v>0</v>
      </c>
      <c r="AP37" s="36"/>
      <c r="AQ37" s="36"/>
      <c r="AR37" s="24"/>
      <c r="AS37" s="36">
        <f t="shared" si="19"/>
        <v>1905</v>
      </c>
      <c r="AT37" s="24"/>
      <c r="AU37" s="24"/>
      <c r="AV37" s="24"/>
      <c r="AW37" s="36">
        <f t="shared" si="20"/>
        <v>1905</v>
      </c>
      <c r="AX37" s="24"/>
      <c r="AY37" s="36">
        <f t="shared" si="21"/>
        <v>0</v>
      </c>
      <c r="AZ37" s="24"/>
      <c r="BA37" s="24"/>
      <c r="BB37" s="24"/>
      <c r="BC37" s="43">
        <v>1</v>
      </c>
      <c r="BD37" s="33"/>
    </row>
    <row r="38" spans="1:56" x14ac:dyDescent="0.25">
      <c r="A38" s="35" t="s">
        <v>20</v>
      </c>
      <c r="B38" s="24"/>
      <c r="C38" s="24"/>
      <c r="D38" s="24"/>
      <c r="E38" s="21">
        <f t="shared" si="7"/>
        <v>0</v>
      </c>
      <c r="F38" s="24"/>
      <c r="G38" s="24"/>
      <c r="H38" s="24"/>
      <c r="I38" s="21">
        <f t="shared" si="8"/>
        <v>0</v>
      </c>
      <c r="J38" s="24"/>
      <c r="K38" s="21">
        <f t="shared" si="9"/>
        <v>0</v>
      </c>
      <c r="L38" s="24"/>
      <c r="M38" s="24"/>
      <c r="N38" s="24"/>
      <c r="O38" s="21">
        <f t="shared" si="10"/>
        <v>0</v>
      </c>
      <c r="P38" s="24"/>
      <c r="Q38" s="24"/>
      <c r="R38" s="24"/>
      <c r="S38" s="21">
        <f t="shared" si="11"/>
        <v>0</v>
      </c>
      <c r="T38" s="24"/>
      <c r="U38" s="21">
        <f t="shared" si="12"/>
        <v>0</v>
      </c>
      <c r="V38" s="24"/>
      <c r="W38" s="24"/>
      <c r="X38" s="24"/>
      <c r="Y38" s="21">
        <f t="shared" si="13"/>
        <v>0</v>
      </c>
      <c r="Z38" s="24"/>
      <c r="AA38" s="24"/>
      <c r="AB38" s="24"/>
      <c r="AC38" s="21">
        <f t="shared" si="14"/>
        <v>0</v>
      </c>
      <c r="AD38" s="24"/>
      <c r="AE38" s="21">
        <f t="shared" si="15"/>
        <v>0</v>
      </c>
      <c r="AF38" s="24"/>
      <c r="AG38" s="24"/>
      <c r="AH38" s="24"/>
      <c r="AI38" s="21">
        <f t="shared" si="16"/>
        <v>490.22399999999999</v>
      </c>
      <c r="AJ38" s="24"/>
      <c r="AK38" s="24"/>
      <c r="AL38" s="24"/>
      <c r="AM38" s="21">
        <f t="shared" si="17"/>
        <v>0</v>
      </c>
      <c r="AN38" s="24"/>
      <c r="AO38" s="21">
        <f t="shared" si="18"/>
        <v>490.22399999999999</v>
      </c>
      <c r="AP38" s="36"/>
      <c r="AQ38" s="36"/>
      <c r="AR38" s="24"/>
      <c r="AS38" s="21">
        <f t="shared" si="19"/>
        <v>490.22399999999999</v>
      </c>
      <c r="AT38" s="24"/>
      <c r="AU38" s="24"/>
      <c r="AV38" s="24"/>
      <c r="AW38" s="21">
        <f t="shared" si="20"/>
        <v>0</v>
      </c>
      <c r="AX38" s="24"/>
      <c r="AY38" s="21">
        <f t="shared" si="21"/>
        <v>490.22399999999999</v>
      </c>
      <c r="AZ38" s="24"/>
      <c r="BA38" s="24"/>
      <c r="BB38" s="24"/>
      <c r="BC38" s="43">
        <v>1</v>
      </c>
      <c r="BD38" s="33"/>
    </row>
    <row r="39" spans="1:56" ht="13.8" thickBot="1" x14ac:dyDescent="0.3">
      <c r="A39" s="32" t="s">
        <v>13</v>
      </c>
      <c r="B39" s="24"/>
      <c r="C39" s="24"/>
      <c r="D39" s="24"/>
      <c r="E39" s="26">
        <f>SUM(E33:E38)</f>
        <v>208.33500000000026</v>
      </c>
      <c r="F39" s="24"/>
      <c r="G39" s="24"/>
      <c r="H39" s="24"/>
      <c r="I39" s="26">
        <f>SUM(I33:I38)</f>
        <v>-78.520000000000095</v>
      </c>
      <c r="J39" s="24"/>
      <c r="K39" s="26">
        <f>SUM(K33:K38)</f>
        <v>286.85500000000002</v>
      </c>
      <c r="L39" s="24"/>
      <c r="M39" s="36"/>
      <c r="N39" s="24"/>
      <c r="O39" s="26">
        <f>SUM(O33:O38)</f>
        <v>-159.03699999999981</v>
      </c>
      <c r="P39" s="24"/>
      <c r="Q39" s="24"/>
      <c r="R39" s="24"/>
      <c r="S39" s="26">
        <f>SUM(S33:S38)</f>
        <v>-142.48400000000001</v>
      </c>
      <c r="T39" s="24"/>
      <c r="U39" s="26">
        <f>SUM(U33:U38)</f>
        <v>-16.552999999999685</v>
      </c>
      <c r="V39" s="24"/>
      <c r="W39" s="34"/>
      <c r="X39" s="24"/>
      <c r="Y39" s="26">
        <f>SUM(Y33:Y38)</f>
        <v>1784.5750000000003</v>
      </c>
      <c r="Z39" s="24"/>
      <c r="AA39" s="24"/>
      <c r="AB39" s="24"/>
      <c r="AC39" s="26">
        <f>SUM(AC33:AC38)</f>
        <v>2087.3150000000001</v>
      </c>
      <c r="AD39" s="24"/>
      <c r="AE39" s="26">
        <f>SUM(AE33:AE38)</f>
        <v>-302.74</v>
      </c>
      <c r="AF39" s="24"/>
      <c r="AG39" s="36"/>
      <c r="AH39" s="24"/>
      <c r="AI39" s="26">
        <f>SUM(AI33:AI38)</f>
        <v>490.22399999999999</v>
      </c>
      <c r="AJ39" s="24"/>
      <c r="AK39" s="24"/>
      <c r="AL39" s="24"/>
      <c r="AM39" s="26">
        <f>SUM(AM33:AM38)</f>
        <v>0</v>
      </c>
      <c r="AN39" s="24"/>
      <c r="AO39" s="26">
        <f>SUM(AO33:AO38)</f>
        <v>490.22399999999999</v>
      </c>
      <c r="AP39" s="36"/>
      <c r="AQ39" s="36"/>
      <c r="AR39" s="24"/>
      <c r="AS39" s="26">
        <f>SUM(AS33:AS38)</f>
        <v>2324.0970000000011</v>
      </c>
      <c r="AT39" s="24"/>
      <c r="AU39" s="24"/>
      <c r="AV39" s="24"/>
      <c r="AW39" s="26">
        <f>SUM(AW33:AW38)</f>
        <v>1866.3110000000001</v>
      </c>
      <c r="AX39" s="24"/>
      <c r="AY39" s="26">
        <f>SUM(AY33:AY38)</f>
        <v>457.7860000000008</v>
      </c>
      <c r="AZ39" s="24"/>
      <c r="BA39" s="36"/>
      <c r="BB39" s="24"/>
      <c r="BC39" s="40">
        <f>AS39/AS27</f>
        <v>0.10603912799141396</v>
      </c>
      <c r="BD39" s="33"/>
    </row>
    <row r="40" spans="1:56" ht="14.4" thickTop="1" thickBot="1" x14ac:dyDescent="0.3">
      <c r="A40" s="37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9"/>
    </row>
    <row r="42" spans="1:56" x14ac:dyDescent="0.25">
      <c r="A42" s="1" t="s">
        <v>25</v>
      </c>
      <c r="B42" s="1"/>
    </row>
    <row r="43" spans="1:56" x14ac:dyDescent="0.25">
      <c r="A43" s="1" t="s">
        <v>32</v>
      </c>
      <c r="B43" s="1"/>
    </row>
    <row r="44" spans="1:56" x14ac:dyDescent="0.25">
      <c r="A44" s="45" t="s">
        <v>33</v>
      </c>
      <c r="B44" s="1"/>
    </row>
    <row r="45" spans="1:56" ht="21" customHeight="1" x14ac:dyDescent="0.25">
      <c r="A45" s="45"/>
      <c r="B45" s="1"/>
    </row>
    <row r="46" spans="1:56" x14ac:dyDescent="0.25">
      <c r="A46" s="45" t="s">
        <v>27</v>
      </c>
      <c r="E46" s="46">
        <v>3104.29</v>
      </c>
      <c r="F46" s="46"/>
      <c r="G46" s="46"/>
      <c r="H46" s="46"/>
      <c r="I46" s="46">
        <v>553.83799999999997</v>
      </c>
      <c r="J46" s="46"/>
      <c r="K46" s="46">
        <f>+E46-G46-I46</f>
        <v>2550.4520000000002</v>
      </c>
      <c r="L46" s="46"/>
      <c r="M46" s="1"/>
      <c r="N46" s="1"/>
      <c r="O46" s="47">
        <f>169.703-1</f>
        <v>168.703</v>
      </c>
      <c r="P46" s="48"/>
      <c r="Q46" s="49">
        <f>0</f>
        <v>0</v>
      </c>
      <c r="R46" s="48"/>
      <c r="S46" s="50">
        <f>0</f>
        <v>0</v>
      </c>
      <c r="T46" s="48" t="s">
        <v>6</v>
      </c>
      <c r="U46" s="46">
        <f>+O46-Q46-S46</f>
        <v>168.703</v>
      </c>
    </row>
    <row r="47" spans="1:56" x14ac:dyDescent="0.25">
      <c r="A47" s="45" t="s">
        <v>30</v>
      </c>
      <c r="E47" s="51">
        <v>3100</v>
      </c>
      <c r="F47" s="46"/>
      <c r="G47" s="51"/>
      <c r="H47" s="46"/>
      <c r="I47" s="51">
        <v>553</v>
      </c>
      <c r="J47" s="46"/>
      <c r="K47" s="46">
        <f>+E47-G47-I47</f>
        <v>2547</v>
      </c>
      <c r="L47" s="51"/>
      <c r="M47" s="52"/>
      <c r="N47" s="46"/>
      <c r="O47" s="51">
        <v>169</v>
      </c>
      <c r="P47" s="46"/>
      <c r="Q47" s="51"/>
      <c r="R47" s="46"/>
      <c r="S47" s="51">
        <f>0</f>
        <v>0</v>
      </c>
      <c r="T47" s="46"/>
      <c r="U47" s="51">
        <f>+O47-Q47-S47</f>
        <v>169</v>
      </c>
      <c r="V47" s="46"/>
    </row>
    <row r="48" spans="1:56" ht="21" customHeight="1" x14ac:dyDescent="0.25">
      <c r="A48" s="45"/>
      <c r="E48" s="51"/>
      <c r="F48" s="46"/>
      <c r="G48" s="51"/>
      <c r="H48" s="46"/>
      <c r="I48" s="51"/>
      <c r="J48" s="46"/>
      <c r="K48" s="46"/>
      <c r="L48" s="51"/>
      <c r="M48" s="52"/>
      <c r="N48" s="46"/>
      <c r="O48" s="51"/>
      <c r="P48" s="46"/>
      <c r="Q48" s="51"/>
      <c r="R48" s="46"/>
      <c r="S48" s="51"/>
      <c r="T48" s="46"/>
      <c r="U48" s="51"/>
      <c r="V48" s="46"/>
    </row>
    <row r="49" spans="1:1" x14ac:dyDescent="0.25">
      <c r="A49" s="53" t="str">
        <f ca="1">CELL("FILENAME")</f>
        <v>L:\O&amp;M\2001\Plan\[NNG_TWO&amp; M.xls]NNG</v>
      </c>
    </row>
    <row r="50" spans="1:1" x14ac:dyDescent="0.25">
      <c r="A50" s="54">
        <f ca="1">NOW()</f>
        <v>36770.506924074078</v>
      </c>
    </row>
  </sheetData>
  <mergeCells count="18">
    <mergeCell ref="A32:C32"/>
    <mergeCell ref="AI18:AQ18"/>
    <mergeCell ref="AI6:AQ6"/>
    <mergeCell ref="AI30:AQ30"/>
    <mergeCell ref="E6:M6"/>
    <mergeCell ref="O6:W6"/>
    <mergeCell ref="Y6:AG6"/>
    <mergeCell ref="E30:M30"/>
    <mergeCell ref="O30:W30"/>
    <mergeCell ref="Y30:AG30"/>
    <mergeCell ref="AS30:BA30"/>
    <mergeCell ref="AS6:BA6"/>
    <mergeCell ref="AS18:BA18"/>
    <mergeCell ref="A8:C8"/>
    <mergeCell ref="A20:C20"/>
    <mergeCell ref="E18:M18"/>
    <mergeCell ref="O18:W18"/>
    <mergeCell ref="Y18:AG18"/>
  </mergeCells>
  <printOptions horizontalCentered="1"/>
  <pageMargins left="0.32" right="0.33" top="0.94" bottom="0.51" header="0.68" footer="0.5"/>
  <pageSetup paperSize="5"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NNG</vt:lpstr>
      <vt:lpstr>Sheet3</vt:lpstr>
      <vt:lpstr>NNG!Print_Area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Havlíček Jan</cp:lastModifiedBy>
  <cp:lastPrinted>2000-09-01T16:52:20Z</cp:lastPrinted>
  <dcterms:created xsi:type="dcterms:W3CDTF">2000-08-09T20:21:24Z</dcterms:created>
  <dcterms:modified xsi:type="dcterms:W3CDTF">2023-09-10T15:12:22Z</dcterms:modified>
</cp:coreProperties>
</file>