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chartsheets/sheet1.xml" ContentType="application/vnd.openxmlformats-officedocument.spreadsheetml.chart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hartsheets/sheet2.xml" ContentType="application/vnd.openxmlformats-officedocument.spreadsheetml.chart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chartsheets/sheet3.xml" ContentType="application/vnd.openxmlformats-officedocument.spreadsheetml.chartsheet+xml"/>
  <Override PartName="/xl/worksheets/sheet12.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pivotCache/pivotCacheDefinition1.xml" ContentType="application/vnd.openxmlformats-officedocument.spreadsheetml.pivotCacheDefinitio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drawings/drawing3.xml" ContentType="application/vnd.openxmlformats-officedocument.drawing+xml"/>
  <Override PartName="/xl/charts/chart1.xml" ContentType="application/vnd.openxmlformats-officedocument.drawingml.chart+xml"/>
  <Override PartName="/xl/comments3.xml" ContentType="application/vnd.openxmlformats-officedocument.spreadsheetml.comments+xml"/>
  <Override PartName="/xl/pivotTables/pivotTable1.xml" ContentType="application/vnd.openxmlformats-officedocument.spreadsheetml.pivotTable+xml"/>
  <Override PartName="/xl/drawings/drawing4.xml" ContentType="application/vnd.openxmlformats-officedocument.drawing+xml"/>
  <Override PartName="/xl/ctrlProps/ctrlProp7.xml" ContentType="application/vnd.ms-excel.controlproperties+xml"/>
  <Override PartName="/xl/drawings/drawing5.xml" ContentType="application/vnd.openxmlformats-officedocument.drawing+xml"/>
  <Override PartName="/xl/charts/chart2.xml" ContentType="application/vnd.openxmlformats-officedocument.drawingml.chart+xml"/>
  <Override PartName="/xl/drawings/drawing6.xml" ContentType="application/vnd.openxmlformats-officedocument.drawing+xml"/>
  <Override PartName="/xl/charts/chart3.xml" ContentType="application/vnd.openxmlformats-officedocument.drawingml.chart+xml"/>
  <Override PartName="/xl/drawings/drawing7.xml" ContentType="application/vnd.openxmlformats-officedocument.drawing+xml"/>
  <Override PartName="/xl/ctrlProps/ctrlProp8.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240" yWindow="-60" windowWidth="14148" windowHeight="8100" tabRatio="941"/>
  </bookViews>
  <sheets>
    <sheet name="Deals" sheetId="6" r:id="rId1"/>
    <sheet name="Preschedule" sheetId="5" r:id="rId2"/>
    <sheet name="Chart3" sheetId="67" r:id="rId3"/>
    <sheet name="Fuel" sheetId="4" r:id="rId4"/>
    <sheet name="Economics" sheetId="2" r:id="rId5"/>
    <sheet name="Balancing" sheetId="1" r:id="rId6"/>
    <sheet name="Pivot" sheetId="3" r:id="rId7"/>
    <sheet name="Chart1" sheetId="11" r:id="rId8"/>
    <sheet name="spin reserve log sheet" sheetId="12" r:id="rId9"/>
    <sheet name="Unit Summary" sheetId="8" r:id="rId10"/>
    <sheet name="HeatRate" sheetId="9" r:id="rId11"/>
    <sheet name="TMMData" sheetId="15" r:id="rId12"/>
    <sheet name="EPEData" sheetId="25" r:id="rId13"/>
    <sheet name="Chart2" sheetId="44" r:id="rId14"/>
    <sheet name="Top" sheetId="13" r:id="rId15"/>
    <sheet name="dlgAddRows" sheetId="10" state="hidden" r:id="rId16"/>
  </sheets>
  <externalReferences>
    <externalReference r:id="rId17"/>
    <externalReference r:id="rId18"/>
    <externalReference r:id="rId19"/>
  </externalReferences>
  <definedNames>
    <definedName name="_xlnm._FilterDatabase" localSheetId="11" hidden="1">TMMData!$A$1:$AC$782</definedName>
    <definedName name="CBalancingVol">Balancing!$J$3</definedName>
    <definedName name="cCols" localSheetId="11">COUNTA(TMMData!$1:$1)</definedName>
    <definedName name="cCols">COUNTA(#REF!)</definedName>
    <definedName name="CISOBegDate">Deals!$D$96</definedName>
    <definedName name="CISOEndDate">Deals!$D$97</definedName>
    <definedName name="cRows" localSheetId="11">COUNTA(TMMData!$A:$A)</definedName>
    <definedName name="cRows">COUNTA(#REF!)</definedName>
    <definedName name="CurrDate">[1]Top!#REF!</definedName>
    <definedName name="DataAll">Deals!$A$2:$AF$229</definedName>
    <definedName name="DelPoint">Deals!$C$2:EndofDPoint</definedName>
    <definedName name="Dformulas">Deals!$AD$3</definedName>
    <definedName name="DFormulaTitles">Deals!$AD$2:$AF$2</definedName>
    <definedName name="DPrice">Deals!$D$2:$D$67</definedName>
    <definedName name="DType">Deals!$B$2:EndofDType</definedName>
    <definedName name="EndDt" localSheetId="14">Top!$E$5</definedName>
    <definedName name="EndofDPoint">Deals!$C$95</definedName>
    <definedName name="EndofDType">Deals!$B$95</definedName>
    <definedName name="fhydro">#REF!</definedName>
    <definedName name="fStart" localSheetId="11">TMMData!$A$1</definedName>
    <definedName name="fStart">#REF!</definedName>
    <definedName name="fstartPX">#REF!</definedName>
    <definedName name="FuelNames" localSheetId="3">Fuel!$B$12:$B$29</definedName>
    <definedName name="FuelNames">Fuel!$B$7:$B$29</definedName>
    <definedName name="FuelPriceTable" localSheetId="3">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_xlnm.Print_Area" localSheetId="0">Deals!$A$1:$AF$123</definedName>
    <definedName name="PriorDate">[1]Top!#REF!</definedName>
    <definedName name="PVBalancingVol">Balancing!$B$3</definedName>
    <definedName name="SPSBalancingVol">Balancing!$F$3</definedName>
    <definedName name="StartDt">Top!$E$4</definedName>
    <definedName name="TotData" localSheetId="11">OFFSET(TMMData!fStart,0,0,TMMData!cRows,TMMData!cCols)</definedName>
    <definedName name="TotHydro" localSheetId="14">OFFSET([0]!fhydro,0,0,[0]!cRows,[0]!cCols)</definedName>
    <definedName name="URL">#REF!</definedName>
  </definedNames>
  <calcPr calcId="0" calcMode="manual" fullCalcOnLoad="1"/>
  <pivotCaches>
    <pivotCache cacheId="0" r:id="rId20"/>
  </pivotCaches>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8" i="6"/>
  <c r="AE8" i="6"/>
  <c r="AF8" i="6"/>
  <c r="D11" i="6"/>
  <c r="AD11" i="6"/>
  <c r="AE11" i="6"/>
  <c r="AF11" i="6"/>
  <c r="D12" i="6"/>
  <c r="AD12" i="6"/>
  <c r="AE12" i="6"/>
  <c r="AF12" i="6"/>
  <c r="D13" i="6"/>
  <c r="AD13" i="6"/>
  <c r="AE13" i="6"/>
  <c r="AF13" i="6"/>
  <c r="D14" i="6"/>
  <c r="AD14" i="6"/>
  <c r="AE14" i="6"/>
  <c r="AF14" i="6"/>
  <c r="D15" i="6"/>
  <c r="AD15" i="6"/>
  <c r="AE15" i="6"/>
  <c r="AF15" i="6"/>
  <c r="D16" i="6"/>
  <c r="AD16" i="6"/>
  <c r="AE16" i="6"/>
  <c r="AF16" i="6"/>
  <c r="D17" i="6"/>
  <c r="AD17" i="6"/>
  <c r="AE17" i="6"/>
  <c r="AF17" i="6"/>
  <c r="D18" i="6"/>
  <c r="AD18" i="6"/>
  <c r="AE18" i="6"/>
  <c r="AF18" i="6"/>
  <c r="D19" i="6"/>
  <c r="AD19" i="6"/>
  <c r="AE19" i="6"/>
  <c r="AF19" i="6"/>
  <c r="D20" i="6"/>
  <c r="AD20" i="6"/>
  <c r="AE20" i="6"/>
  <c r="AF20"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AD35" i="6"/>
  <c r="AE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D44" i="6"/>
  <c r="AD44" i="6"/>
  <c r="AE44" i="6"/>
  <c r="AF44" i="6"/>
  <c r="D45" i="6"/>
  <c r="AD45" i="6"/>
  <c r="AE45" i="6"/>
  <c r="AF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AD60" i="6"/>
  <c r="AE60" i="6"/>
  <c r="AF60" i="6"/>
  <c r="AD61" i="6"/>
  <c r="AE61" i="6"/>
  <c r="AF61" i="6"/>
  <c r="AD62" i="6"/>
  <c r="AE62" i="6"/>
  <c r="AF62" i="6"/>
  <c r="AD63" i="6"/>
  <c r="AE63" i="6"/>
  <c r="AF63" i="6"/>
  <c r="AD64" i="6"/>
  <c r="AE64" i="6"/>
  <c r="AF64" i="6"/>
  <c r="AD65" i="6"/>
  <c r="AE65" i="6"/>
  <c r="AF65" i="6"/>
  <c r="AD66" i="6"/>
  <c r="AE66" i="6"/>
  <c r="AF66" i="6"/>
  <c r="AD67" i="6"/>
  <c r="AE67" i="6"/>
  <c r="AF67" i="6"/>
  <c r="AD68" i="6"/>
  <c r="AE68" i="6"/>
  <c r="AF68"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AD91" i="6"/>
  <c r="AE91" i="6"/>
  <c r="AF91" i="6"/>
  <c r="AD92" i="6"/>
  <c r="AE92" i="6"/>
  <c r="AD93" i="6"/>
  <c r="AE93" i="6"/>
  <c r="AD94" i="6"/>
  <c r="AE94" i="6"/>
  <c r="AF94" i="6"/>
  <c r="F100" i="6"/>
  <c r="G100" i="6"/>
  <c r="F101" i="6"/>
  <c r="G101" i="6"/>
  <c r="AD101" i="6"/>
  <c r="AE101" i="6"/>
  <c r="F102" i="6"/>
  <c r="G102" i="6"/>
  <c r="AD102" i="6"/>
  <c r="AE102" i="6"/>
  <c r="F103" i="6"/>
  <c r="G103" i="6"/>
  <c r="F104" i="6"/>
  <c r="G104" i="6"/>
  <c r="F105" i="6"/>
  <c r="G105" i="6"/>
  <c r="F106" i="6"/>
  <c r="G106" i="6"/>
  <c r="AD106" i="6"/>
  <c r="AE106" i="6"/>
  <c r="F107" i="6"/>
  <c r="G107" i="6"/>
  <c r="F108" i="6"/>
  <c r="G108" i="6"/>
  <c r="F109" i="6"/>
  <c r="G109" i="6"/>
  <c r="F110" i="6"/>
  <c r="G110" i="6"/>
  <c r="F111" i="6"/>
  <c r="G111" i="6"/>
  <c r="F112" i="6"/>
  <c r="G112" i="6"/>
  <c r="F113" i="6"/>
  <c r="G113" i="6"/>
  <c r="F114" i="6"/>
  <c r="G114" i="6"/>
  <c r="F115" i="6"/>
  <c r="G115" i="6"/>
  <c r="F116" i="6"/>
  <c r="G116" i="6"/>
  <c r="F117" i="6"/>
  <c r="G117" i="6"/>
  <c r="F118" i="6"/>
  <c r="G118" i="6"/>
  <c r="F119" i="6"/>
  <c r="G119" i="6"/>
  <c r="F120" i="6"/>
  <c r="G120" i="6"/>
  <c r="F121" i="6"/>
  <c r="G121" i="6"/>
  <c r="F122" i="6"/>
  <c r="G122" i="6"/>
  <c r="F123" i="6"/>
  <c r="G123" i="6"/>
  <c r="F124" i="6"/>
  <c r="G124" i="6"/>
  <c r="F130" i="6"/>
  <c r="G130" i="6"/>
  <c r="F131" i="6"/>
  <c r="G131" i="6"/>
  <c r="F132" i="6"/>
  <c r="G132" i="6"/>
  <c r="F133" i="6"/>
  <c r="G133" i="6"/>
  <c r="F134" i="6"/>
  <c r="G134" i="6"/>
  <c r="F135" i="6"/>
  <c r="G135" i="6"/>
  <c r="F136" i="6"/>
  <c r="G136" i="6"/>
  <c r="F137" i="6"/>
  <c r="G137" i="6"/>
  <c r="F138" i="6"/>
  <c r="G138" i="6"/>
  <c r="F139" i="6"/>
  <c r="G139" i="6"/>
  <c r="F140" i="6"/>
  <c r="G140" i="6"/>
  <c r="F141" i="6"/>
  <c r="G141" i="6"/>
  <c r="F142" i="6"/>
  <c r="G142" i="6"/>
  <c r="F143" i="6"/>
  <c r="G143" i="6"/>
  <c r="F144" i="6"/>
  <c r="G144" i="6"/>
  <c r="F145" i="6"/>
  <c r="G145" i="6"/>
  <c r="F146" i="6"/>
  <c r="G146" i="6"/>
  <c r="F147" i="6"/>
  <c r="G147" i="6"/>
  <c r="F148" i="6"/>
  <c r="G148" i="6"/>
  <c r="F149" i="6"/>
  <c r="G149" i="6"/>
  <c r="F150" i="6"/>
  <c r="G150" i="6"/>
  <c r="F151" i="6"/>
  <c r="G151" i="6"/>
  <c r="F152" i="6"/>
  <c r="G152" i="6"/>
  <c r="F153" i="6"/>
  <c r="G153" i="6"/>
  <c r="F154" i="6"/>
  <c r="G154"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D5" i="5"/>
  <c r="E5" i="5"/>
  <c r="F5" i="5"/>
  <c r="G5" i="5"/>
  <c r="H5" i="5"/>
  <c r="I5" i="5"/>
  <c r="J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0" i="5"/>
  <c r="B10" i="5" a="1"/>
  <c r="C10" i="5"/>
  <c r="C10" i="5" a="1"/>
  <c r="D10" i="5"/>
  <c r="D10" i="5" a="1"/>
  <c r="E10" i="5"/>
  <c r="E10" i="5" a="1"/>
  <c r="F10" i="5"/>
  <c r="F10" i="5" a="1"/>
  <c r="G10" i="5"/>
  <c r="G10" i="5" a="1"/>
  <c r="H10" i="5"/>
  <c r="H10" i="5" a="1"/>
  <c r="I10" i="5"/>
  <c r="I10" i="5" a="1"/>
  <c r="J10" i="5"/>
  <c r="J10" i="5" a="1"/>
  <c r="K10" i="5"/>
  <c r="K10" i="5" a="1"/>
  <c r="L10" i="5"/>
  <c r="L10" i="5" a="1"/>
  <c r="M10" i="5"/>
  <c r="M10" i="5" a="1"/>
  <c r="N10" i="5"/>
  <c r="N10" i="5" a="1"/>
  <c r="O10" i="5"/>
  <c r="O10" i="5" a="1"/>
  <c r="P10" i="5"/>
  <c r="P10" i="5" a="1"/>
  <c r="Q10" i="5"/>
  <c r="Q10" i="5" a="1"/>
  <c r="R10" i="5"/>
  <c r="R10" i="5" a="1"/>
  <c r="S10" i="5"/>
  <c r="S10" i="5" a="1"/>
  <c r="T10" i="5"/>
  <c r="T10" i="5" a="1"/>
  <c r="U10" i="5"/>
  <c r="U10" i="5" a="1"/>
  <c r="V10" i="5"/>
  <c r="V10" i="5" a="1"/>
  <c r="W10" i="5"/>
  <c r="W10" i="5" a="1"/>
  <c r="X10" i="5"/>
  <c r="X10" i="5" a="1"/>
  <c r="Y10" i="5"/>
  <c r="Y10" i="5" a="1"/>
  <c r="B11" i="5"/>
  <c r="B11" i="5" a="1"/>
  <c r="C11" i="5"/>
  <c r="C11" i="5" a="1"/>
  <c r="D11" i="5"/>
  <c r="D11" i="5" a="1"/>
  <c r="E11" i="5"/>
  <c r="E11" i="5" a="1"/>
  <c r="F11" i="5"/>
  <c r="F11" i="5" a="1"/>
  <c r="G11" i="5"/>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B13" i="5"/>
  <c r="C13" i="5"/>
  <c r="D13" i="5"/>
  <c r="E13" i="5"/>
  <c r="F13" i="5"/>
  <c r="G13" i="5"/>
  <c r="H13" i="5"/>
  <c r="I13" i="5"/>
  <c r="J13" i="5"/>
  <c r="K13" i="5"/>
  <c r="L13" i="5"/>
  <c r="M13" i="5"/>
  <c r="N13" i="5"/>
  <c r="O13" i="5"/>
  <c r="P13" i="5"/>
  <c r="Q13" i="5"/>
  <c r="R13" i="5"/>
  <c r="S13" i="5"/>
  <c r="T13" i="5"/>
  <c r="U13" i="5"/>
  <c r="V13" i="5"/>
  <c r="W13" i="5"/>
  <c r="X13" i="5"/>
  <c r="Y13" i="5"/>
  <c r="B14" i="5"/>
  <c r="B14" i="5" a="1"/>
  <c r="C14" i="5"/>
  <c r="C14" i="5" a="1"/>
  <c r="D14" i="5"/>
  <c r="D14" i="5" a="1"/>
  <c r="E14" i="5"/>
  <c r="E14" i="5" a="1"/>
  <c r="F14" i="5"/>
  <c r="F14" i="5" a="1"/>
  <c r="G14" i="5"/>
  <c r="G14" i="5" a="1"/>
  <c r="H14" i="5"/>
  <c r="H14" i="5" a="1"/>
  <c r="I14" i="5"/>
  <c r="I14" i="5" a="1"/>
  <c r="J14" i="5"/>
  <c r="J14" i="5" a="1"/>
  <c r="K14" i="5"/>
  <c r="K14" i="5" a="1"/>
  <c r="L14" i="5"/>
  <c r="L14" i="5" a="1"/>
  <c r="M14" i="5"/>
  <c r="M14" i="5" a="1"/>
  <c r="N14" i="5"/>
  <c r="N14" i="5" a="1"/>
  <c r="O14" i="5"/>
  <c r="O14" i="5" a="1"/>
  <c r="P14" i="5"/>
  <c r="P14" i="5" a="1"/>
  <c r="Q14" i="5"/>
  <c r="Q14" i="5" a="1"/>
  <c r="R14" i="5"/>
  <c r="R14" i="5" a="1"/>
  <c r="S14" i="5"/>
  <c r="S14" i="5" a="1"/>
  <c r="T14" i="5"/>
  <c r="T14" i="5" a="1"/>
  <c r="U14" i="5"/>
  <c r="U14" i="5" a="1"/>
  <c r="V14" i="5"/>
  <c r="V14" i="5" a="1"/>
  <c r="W14" i="5"/>
  <c r="W14" i="5" a="1"/>
  <c r="X14" i="5"/>
  <c r="X14" i="5" a="1"/>
  <c r="Y14" i="5"/>
  <c r="Y14" i="5" a="1"/>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1" i="5"/>
  <c r="B21" i="5" a="1"/>
  <c r="C21" i="5"/>
  <c r="C21" i="5" a="1"/>
  <c r="D21" i="5"/>
  <c r="D21" i="5" a="1"/>
  <c r="E21" i="5"/>
  <c r="E21" i="5" a="1"/>
  <c r="F21" i="5"/>
  <c r="F21" i="5" a="1"/>
  <c r="G21" i="5"/>
  <c r="G21" i="5" a="1"/>
  <c r="H21" i="5"/>
  <c r="H21" i="5" a="1"/>
  <c r="I21" i="5"/>
  <c r="I21" i="5" a="1"/>
  <c r="J21" i="5"/>
  <c r="J21" i="5" a="1"/>
  <c r="K21" i="5"/>
  <c r="K21" i="5" a="1"/>
  <c r="L21" i="5"/>
  <c r="L21" i="5" a="1"/>
  <c r="M21" i="5"/>
  <c r="M21" i="5" a="1"/>
  <c r="N21" i="5"/>
  <c r="N21" i="5" a="1"/>
  <c r="R21" i="5"/>
  <c r="R21" i="5" a="1"/>
  <c r="S21" i="5"/>
  <c r="S21" i="5" a="1"/>
  <c r="T21" i="5"/>
  <c r="T21" i="5" a="1"/>
  <c r="U21" i="5"/>
  <c r="U21" i="5" a="1"/>
  <c r="V21" i="5"/>
  <c r="V21" i="5" a="1"/>
  <c r="W21" i="5"/>
  <c r="W21" i="5" a="1"/>
  <c r="X21" i="5"/>
  <c r="X21" i="5" a="1"/>
  <c r="Y21" i="5"/>
  <c r="Y21" i="5" a="1"/>
  <c r="B23" i="5"/>
  <c r="C23" i="5"/>
  <c r="D23" i="5"/>
  <c r="E23" i="5"/>
  <c r="F23" i="5"/>
  <c r="G23" i="5"/>
  <c r="H23" i="5"/>
  <c r="I23" i="5"/>
  <c r="J23" i="5"/>
  <c r="K23" i="5"/>
  <c r="L23" i="5"/>
  <c r="M23" i="5"/>
  <c r="N23" i="5"/>
  <c r="O23" i="5"/>
  <c r="P23" i="5"/>
  <c r="Q23" i="5"/>
  <c r="R23" i="5"/>
  <c r="S23" i="5"/>
  <c r="T23" i="5"/>
  <c r="U23" i="5"/>
  <c r="V23" i="5"/>
  <c r="W23" i="5"/>
  <c r="X23" i="5"/>
  <c r="Y23" i="5"/>
  <c r="B24" i="5"/>
  <c r="C24" i="5"/>
  <c r="D24" i="5"/>
  <c r="E24" i="5"/>
  <c r="F24" i="5"/>
  <c r="G24" i="5"/>
  <c r="H24" i="5"/>
  <c r="I24" i="5"/>
  <c r="J24" i="5"/>
  <c r="K24" i="5"/>
  <c r="L24" i="5"/>
  <c r="M24" i="5"/>
  <c r="N24" i="5"/>
  <c r="O24" i="5"/>
  <c r="P24" i="5"/>
  <c r="Q24" i="5"/>
  <c r="R24" i="5"/>
  <c r="S24" i="5"/>
  <c r="T24" i="5"/>
  <c r="U24" i="5"/>
  <c r="V24" i="5"/>
  <c r="W24" i="5"/>
  <c r="X24" i="5"/>
  <c r="Y24" i="5"/>
  <c r="B26" i="5"/>
  <c r="B26" i="5" a="1"/>
  <c r="C26" i="5"/>
  <c r="C26" i="5" a="1"/>
  <c r="D26" i="5"/>
  <c r="D26" i="5" a="1"/>
  <c r="E26" i="5"/>
  <c r="E26" i="5" a="1"/>
  <c r="F26" i="5"/>
  <c r="F26" i="5" a="1"/>
  <c r="G26" i="5"/>
  <c r="G26" i="5" a="1"/>
  <c r="H26" i="5"/>
  <c r="H26" i="5" a="1"/>
  <c r="I26" i="5"/>
  <c r="I26" i="5" a="1"/>
  <c r="J26" i="5"/>
  <c r="J26" i="5" a="1"/>
  <c r="K26" i="5"/>
  <c r="K26" i="5" a="1"/>
  <c r="L26" i="5"/>
  <c r="L26" i="5" a="1"/>
  <c r="M26" i="5"/>
  <c r="M26" i="5" a="1"/>
  <c r="N26" i="5"/>
  <c r="N26" i="5" a="1"/>
  <c r="O26" i="5"/>
  <c r="O26" i="5" a="1"/>
  <c r="P26" i="5"/>
  <c r="P26" i="5" a="1"/>
  <c r="Q26" i="5"/>
  <c r="Q26" i="5" a="1"/>
  <c r="R26" i="5"/>
  <c r="R26" i="5" a="1"/>
  <c r="S26" i="5"/>
  <c r="S26" i="5" a="1"/>
  <c r="T26" i="5"/>
  <c r="T26" i="5" a="1"/>
  <c r="U26" i="5"/>
  <c r="U26" i="5" a="1"/>
  <c r="V26" i="5"/>
  <c r="V26" i="5" a="1"/>
  <c r="W26" i="5"/>
  <c r="W26" i="5" a="1"/>
  <c r="X26" i="5"/>
  <c r="X26" i="5" a="1"/>
  <c r="Y26" i="5"/>
  <c r="Y26" i="5" a="1"/>
  <c r="B27" i="5"/>
  <c r="C27" i="5"/>
  <c r="D27" i="5"/>
  <c r="E27" i="5"/>
  <c r="F27" i="5"/>
  <c r="G27" i="5"/>
  <c r="H27" i="5"/>
  <c r="I27" i="5"/>
  <c r="J27" i="5"/>
  <c r="K27" i="5"/>
  <c r="L27" i="5"/>
  <c r="M27" i="5"/>
  <c r="N27" i="5"/>
  <c r="O27" i="5"/>
  <c r="P27" i="5"/>
  <c r="Q27" i="5"/>
  <c r="R27" i="5"/>
  <c r="S27" i="5"/>
  <c r="T27" i="5"/>
  <c r="U27" i="5"/>
  <c r="V27" i="5"/>
  <c r="W27" i="5"/>
  <c r="X27" i="5"/>
  <c r="Y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I30" i="5" a="1"/>
  <c r="J30" i="5"/>
  <c r="K30" i="5"/>
  <c r="L30" i="5"/>
  <c r="M30" i="5"/>
  <c r="N30" i="5"/>
  <c r="O30" i="5"/>
  <c r="P30" i="5"/>
  <c r="Q30" i="5"/>
  <c r="R30" i="5"/>
  <c r="S30" i="5"/>
  <c r="T30" i="5"/>
  <c r="U30" i="5"/>
  <c r="V30" i="5"/>
  <c r="W30" i="5"/>
  <c r="X30" i="5"/>
  <c r="Y30" i="5"/>
  <c r="B31" i="5"/>
  <c r="B31" i="5" a="1"/>
  <c r="C31" i="5"/>
  <c r="C31" i="5" a="1"/>
  <c r="D31" i="5"/>
  <c r="D31" i="5" a="1"/>
  <c r="E31" i="5"/>
  <c r="E31" i="5" a="1"/>
  <c r="F31" i="5"/>
  <c r="F31" i="5" a="1"/>
  <c r="G31" i="5"/>
  <c r="G31" i="5" a="1"/>
  <c r="H31" i="5"/>
  <c r="H31" i="5" a="1"/>
  <c r="I31" i="5"/>
  <c r="I31" i="5" a="1"/>
  <c r="J31" i="5"/>
  <c r="J31" i="5" a="1"/>
  <c r="K31" i="5"/>
  <c r="K31" i="5" a="1"/>
  <c r="L31" i="5"/>
  <c r="L31" i="5" a="1"/>
  <c r="M31" i="5"/>
  <c r="M31" i="5" a="1"/>
  <c r="N31" i="5"/>
  <c r="N31" i="5" a="1"/>
  <c r="O31" i="5"/>
  <c r="O31" i="5" a="1"/>
  <c r="P31" i="5"/>
  <c r="P31" i="5" a="1"/>
  <c r="Q31" i="5"/>
  <c r="Q31" i="5" a="1"/>
  <c r="R31" i="5"/>
  <c r="R31" i="5" a="1"/>
  <c r="S31" i="5"/>
  <c r="S31" i="5" a="1"/>
  <c r="T31" i="5"/>
  <c r="T31" i="5" a="1"/>
  <c r="U31" i="5"/>
  <c r="U31" i="5" a="1"/>
  <c r="V31" i="5"/>
  <c r="V31" i="5" a="1"/>
  <c r="W31" i="5"/>
  <c r="W31" i="5" a="1"/>
  <c r="X31" i="5"/>
  <c r="X31" i="5" a="1"/>
  <c r="Y31" i="5"/>
  <c r="Y31" i="5" a="1"/>
  <c r="B32" i="5"/>
  <c r="B32" i="5" a="1"/>
  <c r="C32" i="5"/>
  <c r="C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L37" i="5"/>
  <c r="M37" i="5"/>
  <c r="M37" i="5" a="1"/>
  <c r="N37" i="5"/>
  <c r="N37" i="5" a="1"/>
  <c r="O37" i="5"/>
  <c r="O37" i="5" a="1"/>
  <c r="P37" i="5"/>
  <c r="P37" i="5" a="1"/>
  <c r="Q37" i="5"/>
  <c r="Q37" i="5" a="1"/>
  <c r="R37" i="5"/>
  <c r="R37" i="5" a="1"/>
  <c r="S37" i="5"/>
  <c r="S37" i="5" a="1"/>
  <c r="T37" i="5"/>
  <c r="T37" i="5" a="1"/>
  <c r="U37" i="5"/>
  <c r="U37" i="5" a="1"/>
  <c r="V37" i="5"/>
  <c r="V37" i="5" a="1"/>
  <c r="W37" i="5"/>
  <c r="W37" i="5" a="1"/>
  <c r="X37" i="5"/>
  <c r="X37" i="5" a="1"/>
  <c r="Y37" i="5"/>
  <c r="Y37" i="5" a="1"/>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N67" i="5"/>
  <c r="N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LHarasin</author>
    <author>m guzman</author>
  </authors>
  <commentList>
    <comment ref="N3" authorId="0" shapeId="0">
      <text>
        <r>
          <rPr>
            <b/>
            <sz val="10"/>
            <color indexed="81"/>
            <rFont val="Tahoma"/>
            <family val="2"/>
          </rPr>
          <t>LHarasin:</t>
        </r>
        <r>
          <rPr>
            <sz val="10"/>
            <color indexed="81"/>
            <rFont val="Tahoma"/>
            <family val="2"/>
          </rPr>
          <t xml:space="preserve">
IID  claims we sent them a 95 HE 9 in the scrape it is an 85</t>
        </r>
      </text>
    </comment>
    <comment ref="F36" authorId="1" shapeId="0">
      <text>
        <r>
          <rPr>
            <b/>
            <sz val="8"/>
            <color indexed="81"/>
            <rFont val="Tahoma"/>
          </rPr>
          <t>m guzman:</t>
        </r>
        <r>
          <rPr>
            <sz val="8"/>
            <color indexed="81"/>
            <rFont val="Tahoma"/>
          </rPr>
          <t xml:space="preserve">
Cut by 1MQ PX time removal</t>
        </r>
      </text>
    </comment>
    <comment ref="F88" authorId="1" shapeId="0">
      <text>
        <r>
          <rPr>
            <b/>
            <sz val="8"/>
            <color indexed="81"/>
            <rFont val="Tahoma"/>
          </rPr>
          <t>m guzman:</t>
        </r>
        <r>
          <rPr>
            <sz val="8"/>
            <color indexed="81"/>
            <rFont val="Tahoma"/>
          </rPr>
          <t xml:space="preserve">
PX Cut 1MW</t>
        </r>
      </text>
    </comment>
  </commentList>
</comments>
</file>

<file path=xl/comments2.xml><?xml version="1.0" encoding="utf-8"?>
<comments xmlns="http://schemas.openxmlformats.org/spreadsheetml/2006/main">
  <authors>
    <author>m guzman</author>
    <author>gsolberg</author>
    <author>A satisfied Microsoft Office user</author>
  </authors>
  <commentList>
    <comment ref="B58" authorId="0" shapeId="0">
      <text>
        <r>
          <rPr>
            <b/>
            <sz val="8"/>
            <color indexed="81"/>
            <rFont val="Tahoma"/>
          </rPr>
          <t>m guzman:</t>
        </r>
        <r>
          <rPr>
            <sz val="8"/>
            <color indexed="81"/>
            <rFont val="Tahoma"/>
          </rPr>
          <t xml:space="preserve">
bought  30 MW Spin</t>
        </r>
      </text>
    </comment>
    <comment ref="R58" authorId="1" shapeId="0">
      <text>
        <r>
          <rPr>
            <sz val="12"/>
            <color indexed="81"/>
            <rFont val="Tahoma"/>
            <family val="2"/>
          </rPr>
          <t>Porter: Dispatcher sent 25 MW to PAC even though Roger and I both told him that it was going to zero.</t>
        </r>
        <r>
          <rPr>
            <sz val="8"/>
            <color indexed="81"/>
            <rFont val="Tahoma"/>
          </rPr>
          <t xml:space="preserve">
</t>
        </r>
      </text>
    </comment>
    <comment ref="A167" authorId="2" shapeId="0">
      <text>
        <r>
          <rPr>
            <sz val="8"/>
            <color indexed="81"/>
            <rFont val="Tahoma"/>
          </rPr>
          <t xml:space="preserve">TELLS ME HOW MANY MEGAWATTS THEY SHOULD CUT BACK </t>
        </r>
      </text>
    </comment>
    <comment ref="A168" authorId="2" shapeId="0">
      <text>
        <r>
          <rPr>
            <sz val="8"/>
            <color indexed="81"/>
            <rFont val="Tahoma"/>
          </rPr>
          <t>TELLS ME HOW LONG OR SHORT I AM WITH RESPECT TO THE IDEAL POSITION</t>
        </r>
      </text>
    </comment>
    <comment ref="Z169" authorId="2"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<sst xmlns="http://schemas.openxmlformats.org/spreadsheetml/2006/main" count="980" uniqueCount="434">
  <si>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</si>
  <si>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</si>
  <si>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</si>
  <si>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</si>
  <si>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</si>
  <si>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</si>
  <si>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</si>
  <si>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</si>
  <si>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</si>
  <si>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</si>
  <si>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</si>
  <si>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</si>
  <si>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</si>
  <si>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</si>
  <si>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</si>
  <si>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</si>
  <si>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</si>
  <si>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</si>
  <si>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</si>
  <si>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</si>
  <si>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</si>
  <si>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</si>
  <si>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</si>
  <si>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</si>
  <si>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</si>
  <si>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</si>
  <si>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</si>
  <si>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</si>
  <si>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</si>
  <si>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</si>
  <si>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</si>
  <si>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</si>
  <si>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</si>
  <si>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</si>
  <si>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</si>
  <si>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</si>
  <si>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</si>
  <si>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</si>
  <si>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</si>
  <si>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</si>
  <si>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</si>
  <si>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</si>
  <si>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</si>
  <si>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</si>
  <si>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</si>
  <si>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</si>
  <si>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</si>
  <si>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</si>
  <si>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</si>
  <si>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</si>
  <si>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</si>
  <si>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</si>
  <si>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</si>
  <si>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</si>
  <si>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</si>
  <si>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</si>
  <si>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</si>
  <si>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</si>
  <si>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</si>
  <si>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(All)</t>
  </si>
  <si>
    <t>Type</t>
  </si>
  <si>
    <t>Counter Party</t>
  </si>
  <si>
    <t>Data</t>
  </si>
  <si>
    <t>Cont</t>
  </si>
  <si>
    <t>FirmT</t>
  </si>
  <si>
    <t>Grand Total</t>
  </si>
  <si>
    <t>IID</t>
  </si>
  <si>
    <t>sell</t>
  </si>
  <si>
    <t>Billing ($)</t>
  </si>
  <si>
    <t>PNM</t>
  </si>
  <si>
    <t>buy</t>
  </si>
  <si>
    <t>TNP</t>
  </si>
  <si>
    <t>SRP</t>
  </si>
  <si>
    <t>PAC</t>
  </si>
  <si>
    <t>LADWP</t>
  </si>
  <si>
    <t>Total Billing ($)</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</si>
  <si>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</si>
  <si>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</si>
  <si>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</si>
  <si>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</si>
  <si>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</si>
  <si>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</si>
  <si>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</si>
  <si>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</si>
  <si>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</si>
  <si>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</si>
  <si>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</si>
  <si>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</si>
  <si>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</si>
  <si>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</si>
  <si>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</si>
  <si>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</si>
  <si>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</si>
  <si>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</si>
  <si>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</si>
  <si>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</si>
  <si>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</si>
  <si>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</si>
  <si>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</si>
  <si>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</si>
  <si>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</si>
  <si>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</si>
  <si>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</si>
  <si>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</si>
  <si>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</si>
  <si>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</si>
  <si>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</si>
  <si>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</si>
  <si>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</si>
  <si>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</si>
  <si>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</si>
  <si>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</si>
  <si>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</si>
  <si>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</si>
  <si>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</si>
  <si>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</si>
  <si>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</si>
  <si>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</si>
  <si>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</si>
  <si>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</si>
  <si>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</si>
  <si>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</si>
  <si>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</si>
  <si>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</si>
  <si>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</si>
  <si>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</si>
  <si>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</si>
  <si>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</si>
  <si>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</si>
  <si>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</si>
  <si>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</si>
  <si>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</si>
  <si>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</si>
  <si>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</si>
  <si>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</si>
  <si>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</si>
  <si>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</si>
  <si>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</si>
  <si>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</si>
  <si>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</si>
  <si>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</si>
  <si>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</si>
  <si>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</si>
  <si>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</si>
  <si>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</si>
  <si>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</si>
  <si>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</si>
  <si>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</si>
  <si>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</si>
  <si>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</si>
  <si>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</si>
  <si>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</si>
  <si>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</si>
  <si>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</si>
  <si>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</si>
  <si>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</si>
  <si>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</si>
  <si>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</si>
  <si>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</si>
  <si>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</si>
  <si>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</si>
  <si>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</si>
  <si>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</si>
  <si>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</si>
  <si>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</si>
  <si>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</si>
  <si>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</si>
  <si>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</si>
  <si>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</si>
  <si>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</si>
  <si>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</si>
  <si>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</si>
  <si>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</si>
  <si>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</si>
  <si>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</si>
  <si>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</si>
  <si>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</si>
  <si>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</si>
  <si>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</si>
  <si>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</si>
  <si>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</si>
  <si>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</si>
  <si>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</si>
  <si>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</si>
  <si>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</si>
  <si>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</si>
  <si>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</si>
  <si>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</si>
  <si>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</si>
  <si>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</si>
  <si>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</si>
  <si>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</si>
  <si>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</si>
  <si>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</si>
  <si>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</si>
  <si>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</si>
  <si>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</si>
  <si>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</si>
  <si>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</si>
  <si>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</si>
  <si>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</si>
  <si>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</si>
  <si>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</si>
  <si>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</si>
  <si>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</si>
  <si>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</si>
  <si>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</si>
  <si>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</si>
  <si>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</si>
  <si>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</si>
  <si>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</si>
  <si>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</si>
  <si>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</si>
  <si>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</si>
  <si>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</si>
  <si>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</si>
  <si>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</si>
  <si>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</si>
  <si>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</si>
  <si>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</si>
  <si>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</si>
  <si>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</si>
  <si>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</si>
  <si>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</si>
  <si>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</si>
  <si>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</si>
  <si>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</si>
  <si>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</si>
  <si>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</si>
  <si>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</si>
  <si>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</si>
  <si>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</si>
  <si>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</si>
  <si>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</si>
  <si>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</si>
  <si>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</si>
  <si>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</si>
  <si>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</si>
  <si>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</si>
  <si>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</si>
  <si>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</si>
  <si>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</si>
  <si>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</si>
  <si>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</si>
  <si>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</si>
  <si>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</si>
  <si>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</si>
  <si>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</si>
  <si>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</si>
  <si>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(blank)</t>
  </si>
  <si>
    <t>Peak</t>
  </si>
  <si>
    <t>econ</t>
  </si>
  <si>
    <t>AZ3</t>
  </si>
  <si>
    <t>AZ2</t>
  </si>
  <si>
    <t>PST</t>
  </si>
  <si>
    <t>MST</t>
  </si>
  <si>
    <t>CISO</t>
  </si>
  <si>
    <t>AEP</t>
  </si>
  <si>
    <t>Firm</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</si>
  <si>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</si>
  <si>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</si>
  <si>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</si>
  <si>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</si>
  <si>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</si>
  <si>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</si>
  <si>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</si>
  <si>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</si>
  <si>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</si>
  <si>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</si>
  <si>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</si>
  <si>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</si>
  <si>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</si>
  <si>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</si>
  <si>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</si>
  <si>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</si>
  <si>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</si>
  <si>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</si>
  <si>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</si>
  <si>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</si>
  <si>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</si>
  <si>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</si>
  <si>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</si>
  <si>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</si>
  <si>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</si>
  <si>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Index</t>
  </si>
  <si>
    <t>Date</t>
  </si>
  <si>
    <t>OffPeak</t>
  </si>
  <si>
    <t>El Paso Spreadsheet</t>
  </si>
  <si>
    <t>SP15</t>
  </si>
  <si>
    <t>Region</t>
  </si>
  <si>
    <t>Total Price</t>
  </si>
  <si>
    <t>36228AZ2SP15</t>
  </si>
  <si>
    <t>36228AZ3SP15</t>
  </si>
  <si>
    <t>36229AZ2SP15</t>
  </si>
  <si>
    <t>36229AZ3SP15</t>
  </si>
  <si>
    <t>Settlement Adder thru March 31, 1999</t>
  </si>
  <si>
    <t>a</t>
  </si>
  <si>
    <t>Predicted Final Price</t>
  </si>
  <si>
    <t>Intertie</t>
  </si>
  <si>
    <t>NB: March 13, 1999 Max Settlement charge will rise to 5.3%+4% for a total of 9.3%.</t>
  </si>
  <si>
    <t>Artesia Direct Bill</t>
  </si>
  <si>
    <t>TNP     ,LOSS    ,  -2</t>
  </si>
  <si>
    <t>WAPA    ,PASS    ,  -2</t>
  </si>
  <si>
    <t>CALPX</t>
  </si>
  <si>
    <t>TNP     ,FIRM    ,HI,  ,  25,  25</t>
  </si>
  <si>
    <t>CALPX   ,FIRM    ,PV,  ,  25,  25</t>
  </si>
  <si>
    <t>CISO    ,FIRM    ,PV,  ,  90,  90</t>
  </si>
  <si>
    <t>APS     ,STRT    ,FC,  ,   2,   2</t>
  </si>
  <si>
    <t>PNM     ,CNTG    ,LC,  ,  54,  54</t>
  </si>
  <si>
    <t>TNP     ,ECON    ,HI,  ,  15,  15</t>
  </si>
  <si>
    <t>LDWP    ,HRFIRM  ,PV,  , -50, -50</t>
  </si>
  <si>
    <t>IID     ,FIRM    ,PV,  ,  70,  90</t>
  </si>
  <si>
    <t>PGT     ,LOSS    ,LC,  ,  -1,  -1</t>
  </si>
  <si>
    <t>LC</t>
  </si>
  <si>
    <t>4C</t>
  </si>
  <si>
    <t>ANCILLARY SERVICES</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</si>
  <si>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</si>
  <si>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</si>
  <si>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</si>
  <si>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</si>
  <si>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</si>
  <si>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</si>
  <si>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</si>
  <si>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</si>
  <si>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</si>
  <si>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</si>
  <si>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</si>
  <si>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</si>
  <si>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</si>
  <si>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</si>
  <si>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</si>
  <si>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</si>
  <si>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</si>
  <si>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</si>
  <si>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</si>
  <si>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</si>
  <si>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</si>
  <si>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</si>
  <si>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NEWMN/GT1,UNAV,  0  , 60  , 18  , 60  ,  0  ,1</t>
  </si>
  <si>
    <t>NM/GT1+ST,UNAV,  0  , 99  , 47  ,107  ,  0  ,1</t>
  </si>
  <si>
    <t>NEWMAN 4 ,UNAV,  0  ,204  , 86  ,214  ,  0  ,1</t>
  </si>
  <si>
    <t>Brian</t>
  </si>
  <si>
    <t xml:space="preserve"> ~23:25 just a minute of 40spin and 0 non spin.  We were running tight, Phil told me to relax, it will average out OK, and our next hour was looking fine.</t>
  </si>
  <si>
    <t>PV Direct Bill</t>
  </si>
  <si>
    <t>NEWMAN 3 ,UNAV,  0  ,100  , -1  ,103  ,  0  ,1</t>
  </si>
  <si>
    <t>NEWMN/GT2,AVAL,  0  , 60  , 18  , 60  ,  0  ,1</t>
  </si>
  <si>
    <t xml:space="preserve">NEWMAN   ,, 233 ,  246,  144, 272 ,  13 , </t>
  </si>
  <si>
    <t>NEWMAN 1 ,ECON, 62  , 66  , 38  , 82  ,  4  ,1</t>
  </si>
  <si>
    <t>NEWMAN 2 ,ECON, 73  , 77  , 38  , 83  ,  4  ,1</t>
  </si>
  <si>
    <t>NM/GT2+ST,ECON, 97  ,103  , 68  ,107  ,  5  ,1</t>
  </si>
  <si>
    <t>COPPER   ,MANL, 38  , 69  , 10  , 70  ,  0  ,1</t>
  </si>
  <si>
    <t>RIOGRAN 6,ECON, 31  , 36  , 28  , 49  ,  5  ,1</t>
  </si>
  <si>
    <t>RIOGRAN 7,MANL, 40  , 36  , 25  , 49  ,  0  ,1</t>
  </si>
  <si>
    <t>RIOGRAN 8,MANL,134  ,135  , 60  ,151  ,  0  ,1</t>
  </si>
  <si>
    <t xml:space="preserve">RIOGRANDE,, 205 ,  207,  113, 249 ,   5 , </t>
  </si>
  <si>
    <t>PALOVERDE,MANL,599  ,599  ,599  ,600  ,  0  ,1</t>
  </si>
  <si>
    <t>FOURCRNRS,MANL, 97  , 97  , 97  ,104  ,  0  ,1</t>
  </si>
  <si>
    <t>LAMBDA, 43.21, 1064, 1138,   83,    3,   75,24092,44</t>
  </si>
  <si>
    <t>PNM     ,LOSS    ,WM,  ,   4,   4</t>
  </si>
  <si>
    <t>TNP     ,LOSS    ,AM,  ,  -5,  -5</t>
  </si>
  <si>
    <t>WAPA    ,PASS    ,WM,HO,  -1,  -1</t>
  </si>
  <si>
    <t>LOAD (Incl,RGC,CFE)</t>
  </si>
  <si>
    <t>SRP     ,LOSS    ,PV,  ,  -1,  -1</t>
  </si>
  <si>
    <t>PNM (56 MW)</t>
  </si>
  <si>
    <t>SRP     ,LOSS    ,PV,  ,   2,   2</t>
  </si>
  <si>
    <t>APS     ,FIRM    ,PV,  ,  25,  25</t>
  </si>
  <si>
    <t>SPS     ,FIRM    ,ED,  , -90, -90</t>
  </si>
  <si>
    <t>IID     ,FIRM    ,PV,  ,  60,  90</t>
  </si>
  <si>
    <t>PGT     ,LOSS    ,LC,  ,  -1,  -2</t>
  </si>
  <si>
    <t>PNM     ,CNTG    ,LC,  ,  10,  35</t>
  </si>
  <si>
    <t>TNP     ,BLOK    ,HI,  ,   4,   5</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</si>
  <si>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</si>
  <si>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</si>
  <si>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</si>
  <si>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</si>
  <si>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</si>
  <si>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</si>
  <si>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</si>
  <si>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</si>
  <si>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</si>
  <si>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</si>
  <si>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</si>
  <si>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</si>
  <si>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</si>
  <si>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</si>
  <si>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</si>
  <si>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</si>
  <si>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</si>
  <si>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</si>
  <si>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</si>
  <si>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</si>
  <si>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</si>
  <si>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</si>
  <si>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</si>
  <si>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</si>
  <si>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</si>
  <si>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LDWP</t>
  </si>
  <si>
    <t>ECON</t>
  </si>
  <si>
    <t>MANL</t>
  </si>
  <si>
    <t>UNAV</t>
  </si>
  <si>
    <t>AVAL</t>
  </si>
  <si>
    <t>RIOGRAN 6,UNAV,  0  , 40  , 28  , 49  ,  0  ,1</t>
  </si>
  <si>
    <t>HE 19 for about 15 minutes</t>
  </si>
  <si>
    <t>Leaf to Ward</t>
  </si>
  <si>
    <t>Load jumped a bit and spin dipped to 30 came back up to 54 later in the hour bought from IID to avoid further mishaps.</t>
  </si>
  <si>
    <t>NM/GT1+ST,UNAV,  0  ,100  , 61  ,107  ,  0  ,1</t>
  </si>
  <si>
    <t>NM/GT2+ST,UNAV,  0  ,100  , 68  ,107  ,  0  ,1</t>
  </si>
  <si>
    <t>NEWMAN 3 ,UNAV, -0  ,100  ,  7  ,103  ,  0  ,1</t>
  </si>
  <si>
    <t>NEWMN/GT2,UNAV,  0  , 60  , 18  , 60  ,  0  ,1</t>
  </si>
  <si>
    <t xml:space="preserve">                            </t>
  </si>
  <si>
    <t>HE 7 last twenty minutes</t>
  </si>
  <si>
    <t>We were good the first half of the hour then we started to slip. Since we were going to be fat in HE 8 I didn't want to cut the schedules</t>
  </si>
  <si>
    <t xml:space="preserve">CAL PX </t>
  </si>
  <si>
    <t>CAOOM</t>
  </si>
  <si>
    <t>RPLCMT</t>
  </si>
  <si>
    <t>HE 7</t>
  </si>
  <si>
    <t>Guzman and Thomas</t>
  </si>
  <si>
    <t>Could not close breaker on Copper, bought 50 mws from LDWP to cover at $225, naturally they got the breaker closed as we ramped into the next hour.</t>
  </si>
  <si>
    <t xml:space="preserve">  </t>
  </si>
  <si>
    <t>COPPER   ,UNAV, -0  , 69  , 15  , 69  ,  0  ,1</t>
  </si>
  <si>
    <t>x</t>
  </si>
  <si>
    <t>RIOGRAN 8,UNAV,  0  ,115  , 36  ,151  ,  0  ,1</t>
  </si>
  <si>
    <t>CalPX</t>
  </si>
  <si>
    <t>IPC</t>
  </si>
  <si>
    <t>Econ</t>
  </si>
  <si>
    <t>PX Time Rm</t>
  </si>
  <si>
    <t>FOURCRNRS,MANL,103  ,103  ,103  ,104  ,  0  ,1</t>
  </si>
  <si>
    <t>RIOGRAN 7,MANL, 32  , 32  , 30  , 49  ,  0  ,1</t>
  </si>
  <si>
    <t xml:space="preserve">RIOGRANDE,,  32 ,   32,   30,  49 ,   0 , </t>
  </si>
  <si>
    <t>NEWMAN 1 ,MANL, 32  , 66  , 30  , 82  ,  0  ,1</t>
  </si>
  <si>
    <t>NEWMAN 2 ,ECON, 36  , 70  , 35  , 83  , 35  ,1</t>
  </si>
  <si>
    <t>NEWMAN 4 ,ECON,142  ,204  , 86  ,214  , 62  ,1</t>
  </si>
  <si>
    <t xml:space="preserve">NEWMAN   ,, 209 ,  340,  151, 379 ,  96 , </t>
  </si>
  <si>
    <t>LAMBDA, 15.26,  663,  665,  150,   -7,    0, 9512,0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</si>
</sst>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2">
    <numFmt numFmtId="6" formatCode="&quot;$&quot;#,##0_);[Red]\(&quot;$&quot;#,##0\)"/>
    <numFmt numFmtId="7" formatCode="&quot;$&quot;#,##0.00_);\(&quot;$&quot;#,##0.00\)"/>
    <numFmt numFmtId="44" formatCode="_(&quot;$&quot;* #,##0.00_);_(&quot;$&quot;* \(#,##0.00\);_(&quot;$&quot;* &quot;-&quot;??_);_(@_)"/>
    <numFmt numFmtId="43" formatCode="_(* #,##0.00_);_(* \(#,##0.00\);_(* &quot;-&quot;??_);_(@_)"/>
    <numFmt numFmtId="164" formatCode="_(* #,##0.0_);_(* \(#,##0.0\);_(* &quot;-&quot;??_);_(@_)"/>
    <numFmt numFmtId="165" formatCode="_(* #,##0_);_(* \(#,##0\);_(* &quot;-&quot;??_);_(@_)"/>
    <numFmt numFmtId="166" formatCode="_(* #,##0.000_);_(* \(#,##0.000\);_(* &quot;-&quot;??_);_(@_)"/>
    <numFmt numFmtId="185" formatCode="mmmm\ d\,\ yyyy"/>
    <numFmt numFmtId="198" formatCode="0.000"/>
    <numFmt numFmtId="199" formatCode="_(&quot;$&quot;* #,##0.0000_);_(&quot;$&quot;* \(#,##0.0000\);_(&quot;$&quot;* &quot;-&quot;??_);_(@_)"/>
    <numFmt numFmtId="200" formatCode="_(&quot;$&quot;* #,##0.000_);_(&quot;$&quot;* \(#,##0.000\);_(&quot;$&quot;* &quot;-&quot;??_);_(@_)"/>
    <numFmt numFmtId="201" formatCode="&quot;$&quot;#,##0.00"/>
    <numFmt numFmtId="203" formatCode="0.0000"/>
    <numFmt numFmtId="206" formatCode="0;\-0;;"/>
    <numFmt numFmtId="207" formatCode="0;\-0;"/>
    <numFmt numFmtId="208" formatCode="#,##0.00;#,##0.00;"/>
    <numFmt numFmtId="210" formatCode="&quot;Fuel Cost:&quot;\ 0.00"/>
    <numFmt numFmtId="211" formatCode="0.00_);[Red]\(0.00\);;"/>
    <numFmt numFmtId="212" formatCode="0.00;;"/>
    <numFmt numFmtId="214" formatCode="0_);[Red]\(0\);;"/>
    <numFmt numFmtId="215" formatCode="_(&quot;$&quot;* #,##0_);[Red]_(&quot;$&quot;* \(#,##0\);_(&quot;$&quot;* &quot;-&quot;_);_(@_)"/>
    <numFmt numFmtId="241" formatCode="dd\-mmm\-yy"/>
  </numFmts>
  <fonts count="79"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10"/>
      <color indexed="10"/>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sz val="9.5"/>
      <name val="Arial"/>
    </font>
    <font>
      <sz val="9.5"/>
      <name val="Arial"/>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9.5"/>
      <name val="Arial"/>
    </font>
    <font>
      <sz val="9.5"/>
      <name val="Arial"/>
    </font>
    <font>
      <sz val="10"/>
      <color indexed="62"/>
      <name val="Arial"/>
      <family val="2"/>
    </font>
    <font>
      <sz val="14"/>
      <name val="Arial"/>
      <family val="2"/>
    </font>
    <font>
      <sz val="9.5"/>
      <name val="Arial"/>
    </font>
    <font>
      <sz val="9.5"/>
      <name val="Arial"/>
    </font>
    <font>
      <sz val="12"/>
      <color indexed="81"/>
      <name val="Tahoma"/>
      <family val="2"/>
    </font>
    <font>
      <b/>
      <sz val="10"/>
      <color indexed="81"/>
      <name val="Tahoma"/>
      <family val="2"/>
    </font>
    <font>
      <sz val="10"/>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2"/>
        <bgColor indexed="64"/>
      </patternFill>
    </fill>
    <fill>
      <patternFill patternType="solid">
        <fgColor indexed="49"/>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35"/>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s>
  <borders count="152">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indexed="8"/>
      </left>
      <right/>
      <top style="thin">
        <color indexed="8"/>
      </top>
      <bottom/>
      <diagonal/>
    </border>
    <border>
      <left style="thin">
        <color indexed="8"/>
      </left>
      <right/>
      <top/>
      <bottom/>
      <diagonal/>
    </border>
    <border>
      <left style="thin">
        <color indexed="8"/>
      </left>
      <right/>
      <top style="thin">
        <color indexed="8"/>
      </top>
      <bottom style="thin">
        <color indexed="8"/>
      </bottom>
      <diagonal/>
    </border>
    <border>
      <left/>
      <right/>
      <top style="thin">
        <color indexed="8"/>
      </top>
      <bottom/>
      <diagonal/>
    </border>
    <border>
      <left/>
      <right style="thin">
        <color indexed="8"/>
      </right>
      <top style="thin">
        <color indexed="8"/>
      </top>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n">
        <color indexed="65"/>
      </left>
      <right/>
      <top style="thin">
        <color indexed="8"/>
      </top>
      <bottom/>
      <diagonal/>
    </border>
    <border>
      <left style="thin">
        <color indexed="8"/>
      </left>
      <right/>
      <top style="thin">
        <color indexed="65"/>
      </top>
      <bottom/>
      <diagonal/>
    </border>
    <border>
      <left style="thin">
        <color indexed="65"/>
      </left>
      <right/>
      <top style="thin">
        <color indexed="8"/>
      </top>
      <bottom style="thin">
        <color indexed="8"/>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n">
        <color indexed="8"/>
      </left>
      <right style="thin">
        <color indexed="8"/>
      </right>
      <top style="thin">
        <color indexed="8"/>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thin">
        <color indexed="8"/>
      </left>
      <right style="thin">
        <color indexed="8"/>
      </right>
      <top/>
      <bottom/>
      <diagonal/>
    </border>
    <border>
      <left/>
      <right/>
      <top style="thin">
        <color indexed="8"/>
      </top>
      <bottom style="thin">
        <color indexed="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style="thick">
        <color indexed="62"/>
      </left>
      <right/>
      <top/>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right style="medium">
        <color indexed="64"/>
      </right>
      <top/>
      <bottom/>
      <diagonal/>
    </border>
    <border>
      <left style="hair">
        <color indexed="8"/>
      </left>
      <right style="hair">
        <color indexed="8"/>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style="hair">
        <color indexed="8"/>
      </left>
      <right style="hair">
        <color indexed="8"/>
      </right>
      <top style="thin">
        <color indexed="64"/>
      </top>
      <bottom/>
      <diagonal/>
    </border>
    <border>
      <left style="hair">
        <color indexed="8"/>
      </left>
      <right style="thin">
        <color indexed="8"/>
      </right>
      <top style="thin">
        <color indexed="64"/>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hair">
        <color indexed="8"/>
      </left>
      <right style="thin">
        <color indexed="8"/>
      </right>
      <top style="thin">
        <color indexed="64"/>
      </top>
      <bottom/>
      <diagonal/>
    </border>
    <border>
      <left style="medium">
        <color indexed="64"/>
      </left>
      <right/>
      <top style="thin">
        <color indexed="64"/>
      </top>
      <bottom style="thin">
        <color indexed="64"/>
      </bottom>
      <diagonal/>
    </border>
    <border>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style="thick">
        <color indexed="62"/>
      </top>
      <bottom/>
      <diagonal/>
    </border>
    <border>
      <left/>
      <right style="thick">
        <color indexed="62"/>
      </right>
      <top style="thick">
        <color indexed="62"/>
      </top>
      <bottom/>
      <diagonal/>
    </border>
    <border>
      <left style="thick">
        <color indexed="62"/>
      </left>
      <right style="medium">
        <color indexed="64"/>
      </right>
      <top style="medium">
        <color indexed="64"/>
      </top>
      <bottom style="medium">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18"/>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style="thick">
        <color indexed="62"/>
      </right>
      <top/>
      <bottom/>
      <diagonal/>
    </border>
    <border>
      <left style="medium">
        <color indexed="64"/>
      </left>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thick">
        <color indexed="62"/>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18"/>
      </top>
      <bottom style="medium">
        <color indexed="64"/>
      </bottom>
      <diagonal/>
    </border>
    <border>
      <left/>
      <right style="hair">
        <color indexed="8"/>
      </right>
      <top style="thin">
        <color indexed="64"/>
      </top>
      <bottom/>
      <diagonal/>
    </border>
    <border>
      <left style="thin">
        <color indexed="64"/>
      </left>
      <right style="hair">
        <color indexed="64"/>
      </right>
      <top style="medium">
        <color indexed="62"/>
      </top>
      <bottom style="medium">
        <color indexed="62"/>
      </bottom>
      <diagonal/>
    </border>
    <border>
      <left style="thin">
        <color indexed="64"/>
      </left>
      <right style="hair">
        <color indexed="8"/>
      </right>
      <top style="thin">
        <color indexed="64"/>
      </top>
      <bottom style="thin">
        <color indexed="64"/>
      </bottom>
      <diagonal/>
    </border>
    <border>
      <left style="thick">
        <color indexed="62"/>
      </left>
      <right/>
      <top style="thin">
        <color indexed="64"/>
      </top>
      <bottom/>
      <diagonal/>
    </border>
    <border>
      <left style="thick">
        <color indexed="62"/>
      </left>
      <right style="medium">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thin">
        <color indexed="64"/>
      </left>
      <right style="medium">
        <color indexed="64"/>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thin">
        <color indexed="64"/>
      </left>
      <right style="medium">
        <color indexed="64"/>
      </right>
      <top style="medium">
        <color indexed="62"/>
      </top>
      <bottom style="medium">
        <color indexed="64"/>
      </bottom>
      <diagonal/>
    </border>
    <border>
      <left/>
      <right style="thin">
        <color indexed="8"/>
      </right>
      <top style="thin">
        <color indexed="64"/>
      </top>
      <bottom style="thin">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60" fillId="0" borderId="0" applyNumberFormat="0" applyFill="0" applyBorder="0" applyAlignment="0" applyProtection="0">
      <alignment vertical="top"/>
      <protection locked="0"/>
    </xf>
    <xf numFmtId="0" fontId="42" fillId="0" borderId="0"/>
    <xf numFmtId="9" fontId="3" fillId="0" borderId="0" applyFont="0" applyFill="0" applyBorder="0" applyAlignment="0" applyProtection="0"/>
  </cellStyleXfs>
  <cellXfs count="726">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5" fontId="0" fillId="2" borderId="0" xfId="0" applyNumberFormat="1" applyFill="1"/>
    <xf numFmtId="0" fontId="0" fillId="2" borderId="1" xfId="0" applyFill="1" applyBorder="1" applyAlignment="1">
      <alignment horizontal="center"/>
    </xf>
    <xf numFmtId="165"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5" fontId="4" fillId="2" borderId="0" xfId="1" applyNumberFormat="1" applyFont="1" applyFill="1"/>
    <xf numFmtId="0" fontId="4" fillId="2" borderId="0" xfId="0" applyFont="1" applyFill="1"/>
    <xf numFmtId="165"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98" fontId="1" fillId="2" borderId="0" xfId="0" applyNumberFormat="1" applyFont="1" applyFill="1" applyAlignment="1">
      <alignment horizontal="right" wrapText="1"/>
    </xf>
    <xf numFmtId="0" fontId="0" fillId="2" borderId="0" xfId="0" applyFill="1" applyAlignment="1">
      <alignment horizontal="left"/>
    </xf>
    <xf numFmtId="199" fontId="6" fillId="2" borderId="0" xfId="2" applyNumberFormat="1" applyFont="1" applyFill="1"/>
    <xf numFmtId="200"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5" fontId="3" fillId="2" borderId="0" xfId="1" applyNumberFormat="1" applyFont="1" applyFill="1" applyAlignment="1"/>
    <xf numFmtId="165"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203" fontId="0" fillId="0" borderId="0" xfId="0" applyNumberFormat="1"/>
    <xf numFmtId="43" fontId="3" fillId="2" borderId="0" xfId="1" applyFill="1"/>
    <xf numFmtId="165" fontId="3" fillId="2" borderId="0" xfId="1" applyNumberFormat="1" applyFill="1"/>
    <xf numFmtId="166" fontId="3" fillId="2" borderId="0" xfId="1" applyNumberFormat="1" applyFill="1"/>
    <xf numFmtId="165" fontId="3" fillId="2" borderId="3" xfId="1" applyNumberFormat="1" applyFill="1" applyBorder="1"/>
    <xf numFmtId="166"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0" fillId="0" borderId="4" xfId="0" pivotButton="1" applyBorder="1"/>
    <xf numFmtId="0" fontId="0" fillId="0" borderId="5" xfId="0" applyBorder="1"/>
    <xf numFmtId="0" fontId="0" fillId="0" borderId="6" xfId="0" applyBorder="1"/>
    <xf numFmtId="0" fontId="0" fillId="0" borderId="7" xfId="0" applyBorder="1"/>
    <xf numFmtId="0" fontId="0" fillId="0" borderId="4" xfId="0" applyBorder="1"/>
    <xf numFmtId="0" fontId="0" fillId="0" borderId="8" xfId="0" applyBorder="1"/>
    <xf numFmtId="0" fontId="0" fillId="0" borderId="5" xfId="0" applyNumberFormat="1" applyBorder="1"/>
    <xf numFmtId="0" fontId="0" fillId="0" borderId="9" xfId="0" applyBorder="1"/>
    <xf numFmtId="0" fontId="10" fillId="3" borderId="10" xfId="0" applyFont="1" applyFill="1" applyBorder="1" applyAlignment="1">
      <alignment horizontal="left"/>
    </xf>
    <xf numFmtId="0" fontId="13" fillId="3" borderId="11" xfId="0" applyFont="1" applyFill="1" applyBorder="1" applyAlignment="1">
      <alignment horizontal="center"/>
    </xf>
    <xf numFmtId="0" fontId="10" fillId="3" borderId="12" xfId="0" applyFont="1" applyFill="1" applyBorder="1" applyAlignment="1">
      <alignment horizontal="left"/>
    </xf>
    <xf numFmtId="0" fontId="11" fillId="3" borderId="12" xfId="0" applyFont="1" applyFill="1" applyBorder="1" applyAlignment="1">
      <alignment horizontal="left"/>
    </xf>
    <xf numFmtId="0" fontId="8" fillId="3" borderId="0" xfId="0" applyFont="1" applyFill="1" applyBorder="1" applyAlignment="1"/>
    <xf numFmtId="0" fontId="12" fillId="3" borderId="12" xfId="0" applyFont="1" applyFill="1" applyBorder="1" applyAlignment="1">
      <alignment horizontal="left"/>
    </xf>
    <xf numFmtId="0" fontId="14" fillId="4" borderId="13" xfId="0" applyFont="1" applyFill="1" applyBorder="1" applyAlignment="1">
      <alignment horizontal="centerContinuous"/>
    </xf>
    <xf numFmtId="0" fontId="0" fillId="4" borderId="14" xfId="0" applyFill="1" applyBorder="1" applyAlignment="1">
      <alignment horizontal="centerContinuous"/>
    </xf>
    <xf numFmtId="0" fontId="0" fillId="4" borderId="15" xfId="0" applyFill="1" applyBorder="1" applyAlignment="1">
      <alignment horizontal="centerContinuous"/>
    </xf>
    <xf numFmtId="0" fontId="13" fillId="3" borderId="16" xfId="0" applyFont="1" applyFill="1" applyBorder="1" applyAlignment="1">
      <alignment horizontal="center"/>
    </xf>
    <xf numFmtId="0" fontId="12" fillId="3" borderId="17" xfId="0" applyFont="1" applyFill="1" applyBorder="1" applyAlignment="1">
      <alignment horizontal="left"/>
    </xf>
    <xf numFmtId="0" fontId="8" fillId="3" borderId="18" xfId="0" applyFont="1" applyFill="1" applyBorder="1" applyAlignment="1"/>
    <xf numFmtId="0" fontId="8" fillId="3" borderId="19" xfId="0" applyFont="1" applyFill="1" applyBorder="1" applyAlignment="1" applyProtection="1">
      <protection locked="0"/>
    </xf>
    <xf numFmtId="44" fontId="8" fillId="3" borderId="20" xfId="2" applyFont="1" applyFill="1" applyBorder="1" applyAlignment="1" applyProtection="1">
      <protection locked="0"/>
    </xf>
    <xf numFmtId="0" fontId="8" fillId="3" borderId="21" xfId="0" applyFont="1" applyFill="1" applyBorder="1" applyAlignment="1" applyProtection="1">
      <protection locked="0"/>
    </xf>
    <xf numFmtId="44" fontId="8" fillId="3" borderId="22" xfId="2" applyFont="1" applyFill="1" applyBorder="1" applyAlignment="1" applyProtection="1">
      <protection locked="0"/>
    </xf>
    <xf numFmtId="0" fontId="8" fillId="3" borderId="23" xfId="0" applyFont="1" applyFill="1" applyBorder="1" applyAlignment="1" applyProtection="1">
      <alignment horizontal="center"/>
      <protection locked="0"/>
    </xf>
    <xf numFmtId="44" fontId="8" fillId="3" borderId="24" xfId="0" applyNumberFormat="1" applyFont="1" applyFill="1" applyBorder="1" applyAlignment="1" applyProtection="1">
      <protection locked="0"/>
    </xf>
    <xf numFmtId="0" fontId="0" fillId="0" borderId="25" xfId="0" applyBorder="1"/>
    <xf numFmtId="0" fontId="0" fillId="0" borderId="26" xfId="0" applyBorder="1"/>
    <xf numFmtId="0" fontId="0" fillId="0" borderId="27" xfId="0" applyBorder="1"/>
    <xf numFmtId="0" fontId="8" fillId="5" borderId="0" xfId="0" applyFont="1" applyFill="1" applyBorder="1" applyAlignment="1"/>
    <xf numFmtId="0" fontId="17" fillId="5" borderId="11" xfId="0" applyFont="1" applyFill="1" applyBorder="1" applyAlignment="1">
      <alignment horizontal="center"/>
    </xf>
    <xf numFmtId="0" fontId="17" fillId="5" borderId="0" xfId="0" applyFont="1" applyFill="1" applyBorder="1" applyAlignment="1">
      <alignment horizontal="center" wrapText="1"/>
    </xf>
    <xf numFmtId="0" fontId="15" fillId="5" borderId="13" xfId="0" applyFont="1" applyFill="1" applyBorder="1" applyAlignment="1">
      <alignment horizontal="centerContinuous"/>
    </xf>
    <xf numFmtId="0" fontId="17" fillId="5" borderId="14" xfId="0" applyFont="1" applyFill="1" applyBorder="1" applyAlignment="1">
      <alignment horizontal="centerContinuous"/>
    </xf>
    <xf numFmtId="0" fontId="17" fillId="5" borderId="15" xfId="0" applyFont="1" applyFill="1" applyBorder="1" applyAlignment="1">
      <alignment horizontal="centerContinuous"/>
    </xf>
    <xf numFmtId="0" fontId="15" fillId="5" borderId="28" xfId="0" applyFont="1" applyFill="1" applyBorder="1" applyAlignment="1">
      <alignment horizontal="left" wrapText="1"/>
    </xf>
    <xf numFmtId="0" fontId="17" fillId="5" borderId="29" xfId="0" applyFont="1" applyFill="1" applyBorder="1" applyAlignment="1">
      <alignment horizontal="center" wrapText="1"/>
    </xf>
    <xf numFmtId="0" fontId="16" fillId="5" borderId="28" xfId="0" applyFont="1" applyFill="1" applyBorder="1" applyAlignment="1">
      <alignment horizontal="left"/>
    </xf>
    <xf numFmtId="0" fontId="18" fillId="5" borderId="30" xfId="0" applyFont="1" applyFill="1" applyBorder="1" applyAlignment="1">
      <alignment horizontal="left"/>
    </xf>
    <xf numFmtId="0" fontId="8" fillId="5" borderId="18" xfId="0" applyFont="1" applyFill="1" applyBorder="1" applyAlignment="1"/>
    <xf numFmtId="0" fontId="8" fillId="5" borderId="31" xfId="0" applyFont="1" applyFill="1" applyBorder="1" applyAlignment="1"/>
    <xf numFmtId="0" fontId="8" fillId="5" borderId="20" xfId="0" applyFont="1" applyFill="1" applyBorder="1" applyAlignment="1" applyProtection="1">
      <protection locked="0"/>
    </xf>
    <xf numFmtId="0" fontId="8" fillId="5" borderId="22" xfId="0" applyFont="1" applyFill="1" applyBorder="1" applyAlignment="1" applyProtection="1">
      <protection locked="0"/>
    </xf>
    <xf numFmtId="0" fontId="8" fillId="5" borderId="24" xfId="0" applyFont="1" applyFill="1" applyBorder="1" applyAlignment="1" applyProtection="1">
      <protection locked="0"/>
    </xf>
    <xf numFmtId="0" fontId="8" fillId="5" borderId="29" xfId="0" applyFont="1" applyFill="1" applyBorder="1" applyAlignment="1" applyProtection="1">
      <protection locked="0"/>
    </xf>
    <xf numFmtId="0" fontId="15" fillId="5" borderId="32" xfId="0" applyFont="1" applyFill="1" applyBorder="1" applyAlignment="1">
      <alignment horizontal="left"/>
    </xf>
    <xf numFmtId="0" fontId="17" fillId="5" borderId="16" xfId="0" applyFont="1" applyFill="1" applyBorder="1" applyAlignment="1">
      <alignment horizontal="center"/>
    </xf>
    <xf numFmtId="0" fontId="0" fillId="0" borderId="8" xfId="0" applyNumberFormat="1" applyBorder="1"/>
    <xf numFmtId="0" fontId="0" fillId="0" borderId="33" xfId="0" applyBorder="1"/>
    <xf numFmtId="0" fontId="0" fillId="0" borderId="33" xfId="0" applyNumberFormat="1" applyBorder="1"/>
    <xf numFmtId="208" fontId="8" fillId="3" borderId="29" xfId="0" applyNumberFormat="1" applyFont="1" applyFill="1" applyBorder="1" applyAlignment="1"/>
    <xf numFmtId="208" fontId="8" fillId="3" borderId="31" xfId="0" applyNumberFormat="1" applyFont="1" applyFill="1" applyBorder="1" applyAlignment="1"/>
    <xf numFmtId="0" fontId="20" fillId="0" borderId="0" xfId="0" applyFont="1"/>
    <xf numFmtId="0" fontId="21" fillId="4" borderId="34" xfId="0" applyFont="1" applyFill="1" applyBorder="1"/>
    <xf numFmtId="39" fontId="20" fillId="4" borderId="35" xfId="0" applyNumberFormat="1" applyFont="1" applyFill="1" applyBorder="1"/>
    <xf numFmtId="0" fontId="24" fillId="6" borderId="34" xfId="0" applyFont="1" applyFill="1" applyBorder="1"/>
    <xf numFmtId="0" fontId="25" fillId="4" borderId="34" xfId="0" applyFont="1" applyFill="1" applyBorder="1"/>
    <xf numFmtId="0" fontId="24" fillId="7" borderId="34" xfId="0" applyFont="1" applyFill="1" applyBorder="1"/>
    <xf numFmtId="0" fontId="24" fillId="4" borderId="34" xfId="0" applyFont="1" applyFill="1" applyBorder="1"/>
    <xf numFmtId="0" fontId="24" fillId="8" borderId="34" xfId="0" applyFont="1" applyFill="1" applyBorder="1"/>
    <xf numFmtId="0" fontId="13" fillId="5" borderId="11" xfId="0" applyFont="1" applyFill="1" applyBorder="1" applyAlignment="1">
      <alignment horizontal="center"/>
    </xf>
    <xf numFmtId="0" fontId="13" fillId="5" borderId="36" xfId="0" applyFont="1" applyFill="1" applyBorder="1" applyAlignment="1">
      <alignment horizontal="center"/>
    </xf>
    <xf numFmtId="0" fontId="11" fillId="5" borderId="12" xfId="0" applyFont="1" applyFill="1" applyBorder="1" applyAlignment="1">
      <alignment horizontal="left"/>
    </xf>
    <xf numFmtId="0" fontId="8" fillId="5" borderId="19" xfId="0" applyFont="1" applyFill="1" applyBorder="1" applyAlignment="1" applyProtection="1">
      <alignment horizontal="center"/>
      <protection locked="0"/>
    </xf>
    <xf numFmtId="44" fontId="8" fillId="5" borderId="20" xfId="2" applyFont="1" applyFill="1" applyBorder="1" applyAlignment="1" applyProtection="1">
      <protection locked="0"/>
    </xf>
    <xf numFmtId="208" fontId="8" fillId="5" borderId="37" xfId="0" applyNumberFormat="1" applyFont="1" applyFill="1" applyBorder="1" applyAlignment="1"/>
    <xf numFmtId="0" fontId="8" fillId="5" borderId="21" xfId="0" applyFont="1" applyFill="1" applyBorder="1" applyAlignment="1" applyProtection="1">
      <alignment horizontal="center"/>
      <protection locked="0"/>
    </xf>
    <xf numFmtId="44" fontId="8" fillId="5" borderId="22" xfId="2" applyFont="1" applyFill="1" applyBorder="1" applyAlignment="1" applyProtection="1">
      <protection locked="0"/>
    </xf>
    <xf numFmtId="0" fontId="8" fillId="5" borderId="23" xfId="0" applyFont="1" applyFill="1" applyBorder="1" applyAlignment="1" applyProtection="1">
      <alignment horizontal="center"/>
      <protection locked="0"/>
    </xf>
    <xf numFmtId="44" fontId="8" fillId="5" borderId="24" xfId="0" applyNumberFormat="1" applyFont="1" applyFill="1" applyBorder="1" applyAlignment="1" applyProtection="1">
      <protection locked="0"/>
    </xf>
    <xf numFmtId="0" fontId="12" fillId="5" borderId="12" xfId="0" applyFont="1" applyFill="1" applyBorder="1" applyAlignment="1">
      <alignment horizontal="left"/>
    </xf>
    <xf numFmtId="0" fontId="12" fillId="5" borderId="17" xfId="0" applyFont="1" applyFill="1" applyBorder="1" applyAlignment="1">
      <alignment horizontal="left"/>
    </xf>
    <xf numFmtId="208" fontId="8" fillId="5" borderId="38" xfId="0" applyNumberFormat="1" applyFont="1" applyFill="1" applyBorder="1" applyAlignment="1"/>
    <xf numFmtId="0" fontId="13" fillId="9" borderId="11" xfId="0" applyFont="1" applyFill="1" applyBorder="1" applyAlignment="1">
      <alignment horizontal="center"/>
    </xf>
    <xf numFmtId="0" fontId="13" fillId="9" borderId="36" xfId="0" applyFont="1" applyFill="1" applyBorder="1" applyAlignment="1">
      <alignment horizontal="center"/>
    </xf>
    <xf numFmtId="0" fontId="11" fillId="9" borderId="28" xfId="0" applyFont="1" applyFill="1" applyBorder="1" applyAlignment="1">
      <alignment horizontal="left"/>
    </xf>
    <xf numFmtId="208" fontId="8" fillId="9" borderId="37" xfId="0" applyNumberFormat="1" applyFont="1" applyFill="1" applyBorder="1" applyAlignment="1"/>
    <xf numFmtId="0" fontId="8" fillId="9" borderId="0" xfId="0" applyFont="1" applyFill="1" applyBorder="1" applyAlignment="1"/>
    <xf numFmtId="0" fontId="12" fillId="9" borderId="28" xfId="0" applyFont="1" applyFill="1" applyBorder="1" applyAlignment="1">
      <alignment horizontal="left"/>
    </xf>
    <xf numFmtId="0" fontId="12" fillId="9" borderId="30" xfId="0" applyFont="1" applyFill="1" applyBorder="1" applyAlignment="1">
      <alignment horizontal="left"/>
    </xf>
    <xf numFmtId="0" fontId="8" fillId="9" borderId="18" xfId="0" applyFont="1" applyFill="1" applyBorder="1" applyAlignment="1"/>
    <xf numFmtId="208" fontId="8" fillId="9" borderId="38" xfId="0" applyNumberFormat="1" applyFont="1" applyFill="1" applyBorder="1" applyAlignment="1"/>
    <xf numFmtId="0" fontId="20" fillId="4" borderId="39" xfId="0" applyFont="1" applyFill="1" applyBorder="1" applyAlignment="1">
      <alignment wrapText="1"/>
    </xf>
    <xf numFmtId="40" fontId="21" fillId="4" borderId="40" xfId="0" applyNumberFormat="1" applyFont="1" applyFill="1" applyBorder="1" applyAlignment="1">
      <alignment horizontal="center" wrapText="1"/>
    </xf>
    <xf numFmtId="3" fontId="21" fillId="4" borderId="40" xfId="0" applyNumberFormat="1" applyFont="1" applyFill="1" applyBorder="1" applyAlignment="1">
      <alignment horizontal="center" wrapText="1"/>
    </xf>
    <xf numFmtId="40" fontId="21" fillId="4" borderId="41" xfId="0" applyNumberFormat="1" applyFont="1" applyFill="1" applyBorder="1" applyAlignment="1">
      <alignment horizontal="center" wrapText="1"/>
    </xf>
    <xf numFmtId="198" fontId="20" fillId="0" borderId="0" xfId="0" applyNumberFormat="1" applyFont="1" applyAlignment="1">
      <alignment wrapText="1"/>
    </xf>
    <xf numFmtId="0" fontId="20" fillId="0" borderId="0" xfId="0" applyFont="1" applyAlignment="1">
      <alignment wrapText="1"/>
    </xf>
    <xf numFmtId="40" fontId="20" fillId="4" borderId="3" xfId="0" applyNumberFormat="1" applyFont="1" applyFill="1" applyBorder="1"/>
    <xf numFmtId="3" fontId="20" fillId="4" borderId="3" xfId="0" applyNumberFormat="1" applyFont="1" applyFill="1" applyBorder="1"/>
    <xf numFmtId="40" fontId="20" fillId="4" borderId="35" xfId="0" applyNumberFormat="1" applyFont="1" applyFill="1" applyBorder="1"/>
    <xf numFmtId="198" fontId="20" fillId="0" borderId="0" xfId="0" applyNumberFormat="1" applyFont="1"/>
    <xf numFmtId="39" fontId="20" fillId="6" borderId="3" xfId="0" applyNumberFormat="1" applyFont="1" applyFill="1" applyBorder="1"/>
    <xf numFmtId="3" fontId="20" fillId="6" borderId="3" xfId="0" applyNumberFormat="1" applyFont="1" applyFill="1" applyBorder="1"/>
    <xf numFmtId="39" fontId="20" fillId="6" borderId="35" xfId="0" applyNumberFormat="1" applyFont="1" applyFill="1" applyBorder="1"/>
    <xf numFmtId="39" fontId="20" fillId="4" borderId="3" xfId="0" applyNumberFormat="1" applyFont="1" applyFill="1" applyBorder="1"/>
    <xf numFmtId="39" fontId="20" fillId="7" borderId="3" xfId="0" applyNumberFormat="1" applyFont="1" applyFill="1" applyBorder="1"/>
    <xf numFmtId="3" fontId="20" fillId="7" borderId="3" xfId="0" applyNumberFormat="1" applyFont="1" applyFill="1" applyBorder="1"/>
    <xf numFmtId="39" fontId="20" fillId="7" borderId="35" xfId="0" applyNumberFormat="1" applyFont="1" applyFill="1" applyBorder="1"/>
    <xf numFmtId="39" fontId="20" fillId="8" borderId="3" xfId="0" applyNumberFormat="1" applyFont="1" applyFill="1" applyBorder="1"/>
    <xf numFmtId="3" fontId="20" fillId="8" borderId="3" xfId="0" applyNumberFormat="1" applyFont="1" applyFill="1" applyBorder="1"/>
    <xf numFmtId="39" fontId="20" fillId="8" borderId="35" xfId="0" applyNumberFormat="1" applyFont="1" applyFill="1" applyBorder="1"/>
    <xf numFmtId="39" fontId="20" fillId="10" borderId="3" xfId="0" applyNumberFormat="1" applyFont="1" applyFill="1" applyBorder="1"/>
    <xf numFmtId="3" fontId="20" fillId="10" borderId="3" xfId="0" applyNumberFormat="1" applyFont="1" applyFill="1" applyBorder="1"/>
    <xf numFmtId="39" fontId="20" fillId="10" borderId="35" xfId="0" applyNumberFormat="1" applyFont="1" applyFill="1" applyBorder="1"/>
    <xf numFmtId="198" fontId="22" fillId="4" borderId="13" xfId="0" applyNumberFormat="1" applyFont="1" applyFill="1" applyBorder="1" applyAlignment="1">
      <alignment horizontal="center"/>
    </xf>
    <xf numFmtId="198" fontId="22" fillId="4" borderId="15" xfId="0" applyNumberFormat="1" applyFont="1" applyFill="1" applyBorder="1" applyAlignment="1">
      <alignment horizontal="center"/>
    </xf>
    <xf numFmtId="198" fontId="22" fillId="4" borderId="28" xfId="0" applyNumberFormat="1" applyFont="1" applyFill="1" applyBorder="1" applyAlignment="1">
      <alignment horizontal="center"/>
    </xf>
    <xf numFmtId="198" fontId="22" fillId="4" borderId="29" xfId="0" applyNumberFormat="1" applyFont="1" applyFill="1" applyBorder="1" applyAlignment="1">
      <alignment horizontal="center"/>
    </xf>
    <xf numFmtId="40" fontId="20" fillId="4" borderId="34" xfId="0" applyNumberFormat="1" applyFont="1" applyFill="1" applyBorder="1" applyAlignment="1">
      <alignment horizontal="center"/>
    </xf>
    <xf numFmtId="40" fontId="20" fillId="4" borderId="35" xfId="0" applyNumberFormat="1" applyFont="1" applyFill="1" applyBorder="1" applyAlignment="1">
      <alignment horizontal="center"/>
    </xf>
    <xf numFmtId="40" fontId="20" fillId="4" borderId="3" xfId="0" applyNumberFormat="1" applyFont="1" applyFill="1" applyBorder="1" applyAlignment="1">
      <alignment horizontal="center"/>
    </xf>
    <xf numFmtId="40" fontId="20" fillId="4" borderId="42" xfId="0" applyNumberFormat="1" applyFont="1" applyFill="1" applyBorder="1" applyAlignment="1">
      <alignment horizontal="center"/>
    </xf>
    <xf numFmtId="40" fontId="20" fillId="4" borderId="43" xfId="0" applyNumberFormat="1" applyFont="1" applyFill="1" applyBorder="1" applyAlignment="1">
      <alignment horizontal="center"/>
    </xf>
    <xf numFmtId="0" fontId="20" fillId="10" borderId="44" xfId="0" applyFont="1" applyFill="1" applyBorder="1"/>
    <xf numFmtId="39" fontId="20" fillId="10" borderId="42" xfId="0" applyNumberFormat="1" applyFont="1" applyFill="1" applyBorder="1"/>
    <xf numFmtId="3" fontId="20" fillId="10" borderId="42" xfId="0" applyNumberFormat="1" applyFont="1" applyFill="1" applyBorder="1"/>
    <xf numFmtId="39" fontId="20" fillId="10" borderId="43" xfId="0" applyNumberFormat="1" applyFont="1" applyFill="1" applyBorder="1"/>
    <xf numFmtId="40" fontId="20" fillId="0" borderId="0" xfId="0" applyNumberFormat="1" applyFont="1"/>
    <xf numFmtId="3" fontId="20" fillId="0" borderId="0" xfId="0" applyNumberFormat="1" applyFont="1"/>
    <xf numFmtId="201" fontId="0" fillId="0" borderId="6" xfId="0" applyNumberFormat="1" applyBorder="1"/>
    <xf numFmtId="201" fontId="0" fillId="0" borderId="0" xfId="0" applyNumberFormat="1"/>
    <xf numFmtId="201" fontId="0" fillId="0" borderId="45" xfId="0" applyNumberFormat="1" applyBorder="1"/>
    <xf numFmtId="201" fontId="0" fillId="0" borderId="7" xfId="0" applyNumberFormat="1" applyBorder="1"/>
    <xf numFmtId="201" fontId="0" fillId="0" borderId="46" xfId="0" applyNumberFormat="1" applyBorder="1"/>
    <xf numFmtId="201" fontId="0" fillId="0" borderId="4" xfId="0" applyNumberFormat="1" applyBorder="1"/>
    <xf numFmtId="0" fontId="24" fillId="10" borderId="34" xfId="0" applyFont="1" applyFill="1" applyBorder="1"/>
    <xf numFmtId="0" fontId="24" fillId="9" borderId="11" xfId="0" applyFont="1" applyFill="1" applyBorder="1" applyAlignment="1">
      <alignment horizontal="center"/>
    </xf>
    <xf numFmtId="0" fontId="30" fillId="9" borderId="32" xfId="0" applyFont="1" applyFill="1" applyBorder="1" applyAlignment="1">
      <alignment horizontal="left"/>
    </xf>
    <xf numFmtId="0" fontId="30" fillId="9" borderId="28" xfId="0" applyFont="1" applyFill="1" applyBorder="1" applyAlignment="1">
      <alignment horizontal="left"/>
    </xf>
    <xf numFmtId="0" fontId="30" fillId="5" borderId="10" xfId="0" applyFont="1" applyFill="1" applyBorder="1" applyAlignment="1">
      <alignment horizontal="left"/>
    </xf>
    <xf numFmtId="0" fontId="30" fillId="5" borderId="12" xfId="0" applyFont="1" applyFill="1" applyBorder="1" applyAlignment="1">
      <alignment horizontal="left"/>
    </xf>
    <xf numFmtId="0" fontId="31" fillId="9" borderId="0" xfId="0" applyFont="1" applyFill="1" applyBorder="1" applyAlignment="1">
      <alignment horizontal="center"/>
    </xf>
    <xf numFmtId="0" fontId="31" fillId="9" borderId="37" xfId="0" applyFont="1" applyFill="1" applyBorder="1" applyAlignment="1">
      <alignment horizontal="center"/>
    </xf>
    <xf numFmtId="0" fontId="31" fillId="5" borderId="0" xfId="0" applyFont="1" applyFill="1" applyBorder="1" applyAlignment="1" applyProtection="1">
      <alignment horizontal="center"/>
      <protection locked="0"/>
    </xf>
    <xf numFmtId="0" fontId="31" fillId="5" borderId="37" xfId="0" applyFont="1" applyFill="1" applyBorder="1" applyAlignment="1">
      <alignment horizontal="center"/>
    </xf>
    <xf numFmtId="0" fontId="31" fillId="3" borderId="0" xfId="0" applyFont="1" applyFill="1" applyBorder="1" applyAlignment="1">
      <alignment horizontal="center"/>
    </xf>
    <xf numFmtId="0" fontId="31" fillId="3" borderId="29" xfId="0" applyFont="1" applyFill="1" applyBorder="1" applyAlignment="1">
      <alignment horizontal="center"/>
    </xf>
    <xf numFmtId="0" fontId="0" fillId="0" borderId="0" xfId="0" applyBorder="1" applyProtection="1">
      <protection locked="0"/>
    </xf>
    <xf numFmtId="165" fontId="0" fillId="0" borderId="0" xfId="1" applyNumberFormat="1" applyFont="1" applyBorder="1" applyProtection="1">
      <protection locked="0"/>
    </xf>
    <xf numFmtId="0" fontId="0" fillId="0" borderId="0" xfId="0" applyProtection="1">
      <protection locked="0"/>
    </xf>
    <xf numFmtId="0" fontId="20" fillId="0" borderId="0" xfId="0" applyFont="1" applyBorder="1" applyProtection="1">
      <protection locked="0"/>
    </xf>
    <xf numFmtId="0" fontId="20" fillId="0" borderId="0" xfId="0" applyFont="1" applyProtection="1">
      <protection locked="0"/>
    </xf>
    <xf numFmtId="165" fontId="20" fillId="0" borderId="0" xfId="1" applyNumberFormat="1" applyFont="1" applyProtection="1">
      <protection locked="0"/>
    </xf>
    <xf numFmtId="0" fontId="20" fillId="0" borderId="0" xfId="0" applyFont="1" applyFill="1" applyProtection="1">
      <protection locked="0"/>
    </xf>
    <xf numFmtId="165" fontId="20" fillId="0" borderId="0" xfId="1" applyNumberFormat="1" applyFont="1" applyFill="1" applyProtection="1">
      <protection locked="0"/>
    </xf>
    <xf numFmtId="165" fontId="22" fillId="4" borderId="41" xfId="1" applyNumberFormat="1" applyFont="1" applyFill="1" applyBorder="1" applyAlignment="1" applyProtection="1">
      <alignment horizontal="right"/>
      <protection locked="0"/>
    </xf>
    <xf numFmtId="9" fontId="20" fillId="0" borderId="0" xfId="0" applyNumberFormat="1" applyFont="1" applyProtection="1">
      <protection locked="0"/>
    </xf>
    <xf numFmtId="207" fontId="20" fillId="4" borderId="47" xfId="0" applyNumberFormat="1" applyFont="1" applyFill="1" applyBorder="1" applyProtection="1">
      <protection locked="0"/>
    </xf>
    <xf numFmtId="207" fontId="20" fillId="4" borderId="48" xfId="0" applyNumberFormat="1" applyFont="1" applyFill="1" applyBorder="1" applyProtection="1">
      <protection locked="0"/>
    </xf>
    <xf numFmtId="207" fontId="20" fillId="4" borderId="47" xfId="0" applyNumberFormat="1" applyFont="1" applyFill="1" applyBorder="1" applyAlignment="1" applyProtection="1">
      <alignment horizontal="right"/>
      <protection locked="0"/>
    </xf>
    <xf numFmtId="207" fontId="20" fillId="4" borderId="48" xfId="0" applyNumberFormat="1" applyFont="1" applyFill="1" applyBorder="1" applyAlignment="1" applyProtection="1">
      <alignment horizontal="right"/>
      <protection locked="0"/>
    </xf>
    <xf numFmtId="207" fontId="20" fillId="4" borderId="49" xfId="0" applyNumberFormat="1" applyFont="1" applyFill="1" applyBorder="1" applyAlignment="1" applyProtection="1">
      <alignment horizontal="right"/>
      <protection locked="0"/>
    </xf>
    <xf numFmtId="207" fontId="20" fillId="4" borderId="50" xfId="0" applyNumberFormat="1" applyFont="1" applyFill="1" applyBorder="1" applyAlignment="1" applyProtection="1">
      <alignment horizontal="right"/>
      <protection locked="0"/>
    </xf>
    <xf numFmtId="0" fontId="23" fillId="0" borderId="0" xfId="0" applyFont="1" applyProtection="1">
      <protection locked="0"/>
    </xf>
    <xf numFmtId="165" fontId="0" fillId="0" borderId="0" xfId="1" applyNumberFormat="1" applyFont="1" applyProtection="1">
      <protection locked="0"/>
    </xf>
    <xf numFmtId="0" fontId="32" fillId="9" borderId="19" xfId="0" applyFont="1" applyFill="1" applyBorder="1" applyAlignment="1" applyProtection="1">
      <alignment horizontal="center"/>
      <protection locked="0"/>
    </xf>
    <xf numFmtId="44" fontId="32" fillId="9" borderId="20" xfId="2" applyFont="1" applyFill="1" applyBorder="1" applyAlignment="1" applyProtection="1">
      <protection locked="0"/>
    </xf>
    <xf numFmtId="0" fontId="32" fillId="9" borderId="21" xfId="0" applyFont="1" applyFill="1" applyBorder="1" applyAlignment="1" applyProtection="1">
      <alignment horizontal="center"/>
      <protection locked="0"/>
    </xf>
    <xf numFmtId="44" fontId="32" fillId="9" borderId="22" xfId="2" applyFont="1" applyFill="1" applyBorder="1" applyAlignment="1" applyProtection="1">
      <protection locked="0"/>
    </xf>
    <xf numFmtId="0" fontId="32" fillId="9" borderId="23" xfId="0" applyFont="1" applyFill="1" applyBorder="1" applyAlignment="1" applyProtection="1">
      <alignment horizontal="center"/>
      <protection locked="0"/>
    </xf>
    <xf numFmtId="44" fontId="32" fillId="9" borderId="24" xfId="0" applyNumberFormat="1" applyFont="1" applyFill="1" applyBorder="1" applyAlignment="1" applyProtection="1">
      <protection locked="0"/>
    </xf>
    <xf numFmtId="0" fontId="24" fillId="11" borderId="51" xfId="0" applyFont="1" applyFill="1" applyBorder="1" applyProtection="1"/>
    <xf numFmtId="207" fontId="0" fillId="4" borderId="0" xfId="0" applyNumberFormat="1" applyFill="1" applyProtection="1">
      <protection locked="0"/>
    </xf>
    <xf numFmtId="2" fontId="0" fillId="6" borderId="0" xfId="0" applyNumberFormat="1" applyFill="1" applyProtection="1">
      <protection locked="0"/>
    </xf>
    <xf numFmtId="207" fontId="1" fillId="4" borderId="0" xfId="0" applyNumberFormat="1" applyFont="1" applyFill="1" applyProtection="1">
      <protection locked="0"/>
    </xf>
    <xf numFmtId="0" fontId="1" fillId="6" borderId="0" xfId="0" applyFont="1" applyFill="1" applyAlignment="1" applyProtection="1">
      <alignment horizontal="right"/>
      <protection locked="0"/>
    </xf>
    <xf numFmtId="210" fontId="0" fillId="4" borderId="0" xfId="0" applyNumberFormat="1" applyFill="1" applyProtection="1">
      <protection locked="0"/>
    </xf>
    <xf numFmtId="207" fontId="0" fillId="6" borderId="0" xfId="0" applyNumberFormat="1" applyFill="1" applyProtection="1">
      <protection locked="0"/>
    </xf>
    <xf numFmtId="2" fontId="1" fillId="12" borderId="52" xfId="0" applyNumberFormat="1" applyFont="1" applyFill="1" applyBorder="1" applyAlignment="1" applyProtection="1">
      <alignment horizontal="right"/>
      <protection locked="0"/>
    </xf>
    <xf numFmtId="211" fontId="0" fillId="12" borderId="52" xfId="0" applyNumberFormat="1" applyFill="1" applyBorder="1" applyProtection="1">
      <protection locked="0"/>
    </xf>
    <xf numFmtId="212" fontId="0" fillId="4" borderId="0" xfId="0" applyNumberFormat="1" applyFill="1" applyProtection="1">
      <protection locked="0"/>
    </xf>
    <xf numFmtId="212" fontId="0" fillId="6" borderId="0" xfId="0" applyNumberFormat="1" applyFill="1" applyProtection="1">
      <protection locked="0"/>
    </xf>
    <xf numFmtId="207" fontId="29" fillId="6" borderId="53" xfId="0" applyNumberFormat="1" applyFont="1" applyFill="1" applyBorder="1" applyAlignment="1" applyProtection="1">
      <alignment horizontal="center" vertical="top"/>
      <protection locked="0"/>
    </xf>
    <xf numFmtId="207" fontId="29" fillId="6" borderId="54" xfId="0" applyNumberFormat="1" applyFont="1" applyFill="1" applyBorder="1" applyAlignment="1" applyProtection="1">
      <alignment horizontal="center" vertical="top"/>
      <protection locked="0"/>
    </xf>
    <xf numFmtId="0" fontId="20" fillId="0" borderId="28" xfId="0" applyFont="1" applyBorder="1" applyProtection="1">
      <protection locked="0"/>
    </xf>
    <xf numFmtId="207" fontId="20" fillId="0" borderId="28" xfId="0" applyNumberFormat="1" applyFont="1" applyBorder="1" applyProtection="1">
      <protection locked="0"/>
    </xf>
    <xf numFmtId="0" fontId="24" fillId="4" borderId="34" xfId="0" applyFont="1" applyFill="1" applyBorder="1" applyAlignment="1" applyProtection="1">
      <alignment vertical="top"/>
      <protection locked="0"/>
    </xf>
    <xf numFmtId="0" fontId="25" fillId="4" borderId="34" xfId="0" applyFont="1" applyFill="1" applyBorder="1" applyAlignment="1" applyProtection="1">
      <alignment vertical="top"/>
      <protection locked="0"/>
    </xf>
    <xf numFmtId="0" fontId="24" fillId="4" borderId="44" xfId="0" applyFont="1" applyFill="1" applyBorder="1" applyAlignment="1" applyProtection="1">
      <alignment vertical="top"/>
      <protection locked="0"/>
    </xf>
    <xf numFmtId="207" fontId="29" fillId="7" borderId="53" xfId="0" applyNumberFormat="1" applyFont="1" applyFill="1" applyBorder="1" applyAlignment="1" applyProtection="1">
      <alignment horizontal="center" vertical="top"/>
    </xf>
    <xf numFmtId="207" fontId="29" fillId="7" borderId="55" xfId="0" applyNumberFormat="1" applyFont="1" applyFill="1" applyBorder="1" applyAlignment="1" applyProtection="1">
      <alignment horizontal="center" vertical="top"/>
    </xf>
    <xf numFmtId="207" fontId="29" fillId="8" borderId="56" xfId="0" applyNumberFormat="1" applyFont="1" applyFill="1" applyBorder="1" applyAlignment="1" applyProtection="1">
      <alignment horizontal="center" vertical="top"/>
    </xf>
    <xf numFmtId="207" fontId="29" fillId="8" borderId="57" xfId="0" applyNumberFormat="1" applyFont="1" applyFill="1" applyBorder="1" applyAlignment="1" applyProtection="1">
      <alignment horizontal="center" vertical="top"/>
    </xf>
    <xf numFmtId="207" fontId="29" fillId="8" borderId="58" xfId="0" applyNumberFormat="1" applyFont="1" applyFill="1" applyBorder="1" applyAlignment="1" applyProtection="1">
      <alignment horizontal="center" vertical="top"/>
    </xf>
    <xf numFmtId="207" fontId="29" fillId="4" borderId="56" xfId="0" applyNumberFormat="1" applyFont="1" applyFill="1" applyBorder="1" applyAlignment="1" applyProtection="1">
      <alignment horizontal="center" vertical="top"/>
    </xf>
    <xf numFmtId="207" fontId="29" fillId="4" borderId="57" xfId="0" applyNumberFormat="1" applyFont="1" applyFill="1" applyBorder="1" applyAlignment="1" applyProtection="1">
      <alignment horizontal="center" vertical="top"/>
    </xf>
    <xf numFmtId="207" fontId="29" fillId="11" borderId="59" xfId="0" applyNumberFormat="1" applyFont="1" applyFill="1" applyBorder="1" applyAlignment="1" applyProtection="1">
      <alignment horizontal="center" vertical="top"/>
    </xf>
    <xf numFmtId="207" fontId="29" fillId="4" borderId="3" xfId="0" applyNumberFormat="1" applyFont="1" applyFill="1" applyBorder="1" applyAlignment="1" applyProtection="1">
      <alignment horizontal="center" vertical="top"/>
    </xf>
    <xf numFmtId="207" fontId="29" fillId="7" borderId="56" xfId="0" applyNumberFormat="1" applyFont="1" applyFill="1" applyBorder="1" applyAlignment="1" applyProtection="1">
      <alignment horizontal="center" vertical="top"/>
    </xf>
    <xf numFmtId="207" fontId="29" fillId="7" borderId="57" xfId="0" applyNumberFormat="1" applyFont="1" applyFill="1" applyBorder="1" applyAlignment="1" applyProtection="1">
      <alignment horizontal="center" vertical="top"/>
    </xf>
    <xf numFmtId="207" fontId="29" fillId="7" borderId="59" xfId="0" applyNumberFormat="1" applyFont="1" applyFill="1" applyBorder="1" applyAlignment="1" applyProtection="1">
      <alignment horizontal="center" vertical="top"/>
    </xf>
    <xf numFmtId="207" fontId="33" fillId="8" borderId="57" xfId="0" applyNumberFormat="1" applyFont="1" applyFill="1" applyBorder="1" applyAlignment="1" applyProtection="1">
      <alignment horizontal="center" vertical="top"/>
    </xf>
    <xf numFmtId="214" fontId="0" fillId="12" borderId="52" xfId="0" applyNumberFormat="1" applyFill="1" applyBorder="1" applyProtection="1">
      <protection locked="0"/>
    </xf>
    <xf numFmtId="207" fontId="29" fillId="4" borderId="60" xfId="0" applyNumberFormat="1" applyFont="1" applyFill="1" applyBorder="1" applyAlignment="1" applyProtection="1">
      <alignment vertical="top"/>
    </xf>
    <xf numFmtId="165" fontId="20" fillId="4" borderId="61" xfId="1" applyNumberFormat="1" applyFont="1" applyFill="1" applyBorder="1" applyAlignment="1" applyProtection="1">
      <alignment vertical="top"/>
      <protection locked="0"/>
    </xf>
    <xf numFmtId="165" fontId="20" fillId="4" borderId="35" xfId="1" applyNumberFormat="1" applyFont="1" applyFill="1" applyBorder="1" applyAlignment="1" applyProtection="1">
      <alignment vertical="top"/>
      <protection locked="0"/>
    </xf>
    <xf numFmtId="165" fontId="20" fillId="4" borderId="29" xfId="1" applyNumberFormat="1" applyFont="1" applyFill="1" applyBorder="1" applyAlignment="1" applyProtection="1">
      <alignment vertical="top"/>
      <protection locked="0"/>
    </xf>
    <xf numFmtId="165" fontId="20" fillId="4" borderId="62" xfId="1" applyNumberFormat="1" applyFont="1" applyFill="1" applyBorder="1" applyAlignment="1" applyProtection="1">
      <alignment vertical="top"/>
      <protection locked="0"/>
    </xf>
    <xf numFmtId="165" fontId="20" fillId="4" borderId="63" xfId="1" applyNumberFormat="1" applyFont="1" applyFill="1" applyBorder="1" applyAlignment="1" applyProtection="1">
      <alignment vertical="top"/>
      <protection locked="0"/>
    </xf>
    <xf numFmtId="3" fontId="28" fillId="4" borderId="34" xfId="0" applyNumberFormat="1" applyFont="1" applyFill="1" applyBorder="1" applyAlignment="1" applyProtection="1">
      <alignment vertical="top"/>
      <protection locked="0"/>
    </xf>
    <xf numFmtId="165" fontId="28" fillId="4" borderId="35" xfId="1" applyNumberFormat="1" applyFont="1" applyFill="1" applyBorder="1" applyAlignment="1" applyProtection="1">
      <alignment vertical="top"/>
      <protection locked="0"/>
    </xf>
    <xf numFmtId="207" fontId="28" fillId="4" borderId="64" xfId="0" applyNumberFormat="1" applyFont="1" applyFill="1" applyBorder="1" applyAlignment="1" applyProtection="1">
      <alignment vertical="top"/>
      <protection locked="0"/>
    </xf>
    <xf numFmtId="165" fontId="28" fillId="4" borderId="65" xfId="1" applyNumberFormat="1" applyFont="1" applyFill="1" applyBorder="1" applyAlignment="1" applyProtection="1">
      <alignment vertical="top"/>
      <protection locked="0"/>
    </xf>
    <xf numFmtId="39" fontId="28" fillId="4" borderId="44" xfId="0" applyNumberFormat="1" applyFont="1" applyFill="1" applyBorder="1" applyAlignment="1" applyProtection="1">
      <alignment vertical="top"/>
      <protection locked="0"/>
    </xf>
    <xf numFmtId="165" fontId="28" fillId="4" borderId="43" xfId="1" applyNumberFormat="1" applyFont="1" applyFill="1" applyBorder="1" applyAlignment="1" applyProtection="1">
      <alignment vertical="top"/>
      <protection locked="0"/>
    </xf>
    <xf numFmtId="3" fontId="0" fillId="4" borderId="66" xfId="0" applyNumberFormat="1" applyFill="1" applyBorder="1" applyProtection="1">
      <protection locked="0"/>
    </xf>
    <xf numFmtId="3" fontId="0" fillId="6" borderId="66" xfId="0" applyNumberFormat="1" applyFill="1" applyBorder="1" applyProtection="1">
      <protection locked="0"/>
    </xf>
    <xf numFmtId="0" fontId="0" fillId="4" borderId="67" xfId="0" applyFill="1" applyBorder="1" applyProtection="1">
      <protection locked="0"/>
    </xf>
    <xf numFmtId="0" fontId="1" fillId="4" borderId="68" xfId="0" applyFont="1" applyFill="1" applyBorder="1" applyAlignment="1" applyProtection="1">
      <alignment horizontal="right"/>
      <protection locked="0"/>
    </xf>
    <xf numFmtId="0" fontId="0" fillId="4" borderId="69" xfId="0" applyFill="1" applyBorder="1" applyProtection="1">
      <protection locked="0"/>
    </xf>
    <xf numFmtId="0" fontId="1" fillId="4" borderId="0" xfId="0" applyFont="1" applyFill="1" applyBorder="1" applyAlignment="1" applyProtection="1">
      <alignment horizontal="right"/>
      <protection locked="0"/>
    </xf>
    <xf numFmtId="0" fontId="0" fillId="4" borderId="70" xfId="0" applyFill="1" applyBorder="1" applyProtection="1">
      <protection locked="0"/>
    </xf>
    <xf numFmtId="0" fontId="1" fillId="4" borderId="71" xfId="0" applyFont="1" applyFill="1" applyBorder="1" applyAlignment="1" applyProtection="1">
      <alignment horizontal="right"/>
      <protection locked="0"/>
    </xf>
    <xf numFmtId="207" fontId="1" fillId="4" borderId="68" xfId="0" applyNumberFormat="1" applyFont="1" applyFill="1" applyBorder="1" applyProtection="1">
      <protection locked="0"/>
    </xf>
    <xf numFmtId="207" fontId="0" fillId="4" borderId="68" xfId="0" applyNumberFormat="1" applyFill="1" applyBorder="1" applyProtection="1">
      <protection locked="0"/>
    </xf>
    <xf numFmtId="0" fontId="0" fillId="13" borderId="0" xfId="0" applyFill="1"/>
    <xf numFmtId="0" fontId="0" fillId="14" borderId="0" xfId="0" applyFill="1"/>
    <xf numFmtId="0" fontId="0" fillId="15" borderId="0" xfId="0" applyFill="1"/>
    <xf numFmtId="166" fontId="3" fillId="13" borderId="72" xfId="1" applyNumberFormat="1" applyFill="1" applyBorder="1"/>
    <xf numFmtId="166" fontId="3" fillId="2" borderId="72"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73" xfId="0" applyFill="1" applyBorder="1"/>
    <xf numFmtId="0" fontId="0" fillId="2" borderId="74" xfId="0" applyFill="1" applyBorder="1"/>
    <xf numFmtId="0" fontId="0" fillId="2" borderId="75" xfId="0" applyFill="1" applyBorder="1"/>
    <xf numFmtId="0" fontId="0" fillId="2" borderId="53" xfId="0" applyFill="1" applyBorder="1" applyAlignment="1">
      <alignment horizontal="center"/>
    </xf>
    <xf numFmtId="0" fontId="0" fillId="2" borderId="0" xfId="0" applyFill="1" applyBorder="1" applyAlignment="1">
      <alignment horizontal="center"/>
    </xf>
    <xf numFmtId="0" fontId="0" fillId="2" borderId="57" xfId="0" applyFill="1" applyBorder="1"/>
    <xf numFmtId="43" fontId="3" fillId="2" borderId="72" xfId="1" applyFill="1" applyBorder="1" applyAlignment="1">
      <alignment horizontal="center"/>
    </xf>
    <xf numFmtId="43" fontId="3" fillId="2" borderId="1" xfId="1" applyFill="1" applyBorder="1" applyAlignment="1">
      <alignment horizontal="center"/>
    </xf>
    <xf numFmtId="0" fontId="0" fillId="2" borderId="58" xfId="0" applyFill="1" applyBorder="1"/>
    <xf numFmtId="43" fontId="3" fillId="2" borderId="0" xfId="1" applyFont="1" applyFill="1" applyAlignment="1">
      <alignment horizontal="right"/>
    </xf>
    <xf numFmtId="0" fontId="1" fillId="15" borderId="0" xfId="0" applyFont="1" applyFill="1"/>
    <xf numFmtId="198" fontId="0" fillId="15" borderId="0" xfId="0" applyNumberFormat="1" applyFill="1"/>
    <xf numFmtId="165" fontId="3" fillId="15" borderId="0" xfId="1" applyNumberFormat="1" applyFill="1"/>
    <xf numFmtId="165" fontId="4" fillId="15" borderId="0" xfId="1" applyNumberFormat="1" applyFont="1" applyFill="1"/>
    <xf numFmtId="165" fontId="5" fillId="15" borderId="0" xfId="1" applyNumberFormat="1" applyFont="1" applyFill="1"/>
    <xf numFmtId="0" fontId="2" fillId="2" borderId="0" xfId="0" applyFont="1" applyFill="1" applyAlignment="1">
      <alignment horizontal="center" wrapText="1"/>
    </xf>
    <xf numFmtId="44" fontId="3" fillId="15" borderId="0" xfId="2" applyFill="1"/>
    <xf numFmtId="215" fontId="0" fillId="4" borderId="76" xfId="0" applyNumberFormat="1" applyFill="1" applyBorder="1" applyProtection="1">
      <protection locked="0"/>
    </xf>
    <xf numFmtId="215" fontId="0" fillId="4" borderId="77" xfId="0" applyNumberFormat="1" applyFill="1" applyBorder="1" applyProtection="1">
      <protection locked="0"/>
    </xf>
    <xf numFmtId="215" fontId="0" fillId="4" borderId="78" xfId="0" applyNumberFormat="1" applyFill="1" applyBorder="1" applyProtection="1">
      <protection locked="0"/>
    </xf>
    <xf numFmtId="215" fontId="0" fillId="4" borderId="79" xfId="0" applyNumberFormat="1" applyFill="1" applyBorder="1" applyProtection="1">
      <protection locked="0"/>
    </xf>
    <xf numFmtId="215" fontId="0" fillId="6" borderId="66" xfId="0" applyNumberFormat="1" applyFill="1" applyBorder="1" applyProtection="1">
      <protection locked="0"/>
    </xf>
    <xf numFmtId="215" fontId="0" fillId="4" borderId="66" xfId="0" applyNumberFormat="1" applyFill="1" applyBorder="1" applyProtection="1">
      <protection locked="0"/>
    </xf>
    <xf numFmtId="215" fontId="0" fillId="12" borderId="80" xfId="0" applyNumberFormat="1" applyFill="1" applyBorder="1" applyProtection="1">
      <protection locked="0"/>
    </xf>
    <xf numFmtId="165" fontId="0" fillId="0" borderId="0" xfId="1" applyNumberFormat="1" applyFont="1" applyAlignment="1" applyProtection="1">
      <alignment horizontal="right"/>
      <protection locked="0"/>
    </xf>
    <xf numFmtId="165" fontId="0" fillId="0" borderId="81" xfId="1" applyNumberFormat="1" applyFont="1" applyBorder="1" applyProtection="1">
      <protection locked="0"/>
    </xf>
    <xf numFmtId="0" fontId="0" fillId="0" borderId="57" xfId="0" applyBorder="1" applyProtection="1">
      <protection locked="0"/>
    </xf>
    <xf numFmtId="0" fontId="0" fillId="0" borderId="53" xfId="0" applyBorder="1" applyProtection="1">
      <protection locked="0"/>
    </xf>
    <xf numFmtId="0" fontId="0" fillId="0" borderId="55" xfId="0" applyBorder="1" applyProtection="1">
      <protection locked="0"/>
    </xf>
    <xf numFmtId="0" fontId="0" fillId="0" borderId="1" xfId="0" applyBorder="1" applyProtection="1">
      <protection locked="0"/>
    </xf>
    <xf numFmtId="0" fontId="0" fillId="0" borderId="58"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5" fontId="0" fillId="0" borderId="0" xfId="1" applyNumberFormat="1" applyFont="1" applyAlignment="1" applyProtection="1">
      <protection locked="0"/>
    </xf>
    <xf numFmtId="1" fontId="1" fillId="2" borderId="53" xfId="0" applyNumberFormat="1" applyFont="1" applyFill="1" applyBorder="1" applyProtection="1">
      <protection locked="0"/>
    </xf>
    <xf numFmtId="1" fontId="1" fillId="2" borderId="0" xfId="0" applyNumberFormat="1" applyFont="1" applyFill="1" applyBorder="1" applyProtection="1">
      <protection locked="0"/>
    </xf>
    <xf numFmtId="0" fontId="1" fillId="2" borderId="82" xfId="0" applyFont="1" applyFill="1" applyBorder="1" applyProtection="1">
      <protection locked="0"/>
    </xf>
    <xf numFmtId="0" fontId="1" fillId="2" borderId="3" xfId="0" applyFont="1" applyFill="1" applyBorder="1" applyProtection="1">
      <protection locked="0"/>
    </xf>
    <xf numFmtId="0" fontId="0" fillId="0" borderId="83" xfId="0" applyBorder="1" applyProtection="1">
      <protection locked="0"/>
    </xf>
    <xf numFmtId="0" fontId="0" fillId="0" borderId="74" xfId="0" applyBorder="1" applyProtection="1">
      <protection locked="0"/>
    </xf>
    <xf numFmtId="0" fontId="0" fillId="0" borderId="75" xfId="0" applyBorder="1" applyProtection="1">
      <protection locked="0"/>
    </xf>
    <xf numFmtId="0" fontId="1" fillId="0" borderId="82" xfId="0" applyFont="1" applyBorder="1" applyProtection="1">
      <protection locked="0"/>
    </xf>
    <xf numFmtId="0" fontId="1" fillId="0" borderId="83" xfId="0" applyFont="1" applyBorder="1" applyProtection="1">
      <protection locked="0"/>
    </xf>
    <xf numFmtId="0" fontId="24" fillId="2" borderId="0" xfId="0" applyFont="1" applyFill="1" applyBorder="1" applyAlignment="1" applyProtection="1">
      <alignment vertical="top"/>
      <protection locked="0"/>
    </xf>
    <xf numFmtId="207" fontId="20" fillId="2" borderId="0" xfId="0" applyNumberFormat="1" applyFont="1" applyFill="1" applyBorder="1" applyAlignment="1" applyProtection="1">
      <alignment horizontal="right"/>
      <protection locked="0"/>
    </xf>
    <xf numFmtId="0" fontId="24" fillId="2" borderId="0" xfId="0" applyFont="1" applyFill="1" applyBorder="1" applyAlignment="1" applyProtection="1">
      <alignment horizontal="right" vertical="top"/>
      <protection locked="0"/>
    </xf>
    <xf numFmtId="207" fontId="20" fillId="6" borderId="72" xfId="0" applyNumberFormat="1" applyFont="1" applyFill="1" applyBorder="1" applyAlignment="1" applyProtection="1">
      <alignment horizontal="right"/>
      <protection locked="0"/>
    </xf>
    <xf numFmtId="0" fontId="23" fillId="0" borderId="0" xfId="0" applyFont="1" applyAlignment="1" applyProtection="1">
      <alignment horizontal="right"/>
      <protection locked="0"/>
    </xf>
    <xf numFmtId="0" fontId="0" fillId="6" borderId="72" xfId="0" applyFill="1" applyBorder="1" applyProtection="1">
      <protection locked="0"/>
    </xf>
    <xf numFmtId="0" fontId="0" fillId="2" borderId="0" xfId="0" applyFill="1" applyBorder="1" applyProtection="1">
      <protection locked="0"/>
    </xf>
    <xf numFmtId="0" fontId="23" fillId="2" borderId="0" xfId="0" applyFont="1" applyFill="1" applyAlignment="1" applyProtection="1">
      <alignment horizontal="right"/>
      <protection locked="0"/>
    </xf>
    <xf numFmtId="0" fontId="20" fillId="2" borderId="0" xfId="0" applyFont="1" applyFill="1" applyProtection="1">
      <protection locked="0"/>
    </xf>
    <xf numFmtId="165" fontId="20"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72" xfId="0" applyFill="1" applyBorder="1" applyProtection="1">
      <protection locked="0"/>
    </xf>
    <xf numFmtId="0" fontId="20" fillId="2" borderId="0" xfId="0" applyFont="1" applyFill="1" applyBorder="1" applyProtection="1">
      <protection locked="0"/>
    </xf>
    <xf numFmtId="207" fontId="28" fillId="2" borderId="0" xfId="0" applyNumberFormat="1" applyFont="1" applyFill="1" applyBorder="1" applyAlignment="1" applyProtection="1">
      <alignment horizontal="center" wrapText="1"/>
      <protection locked="0"/>
    </xf>
    <xf numFmtId="207" fontId="20" fillId="7" borderId="72" xfId="0" applyNumberFormat="1" applyFont="1" applyFill="1" applyBorder="1" applyAlignment="1" applyProtection="1">
      <alignment horizontal="right"/>
      <protection locked="0"/>
    </xf>
    <xf numFmtId="207" fontId="20" fillId="16" borderId="72" xfId="0" applyNumberFormat="1" applyFont="1" applyFill="1" applyBorder="1" applyAlignment="1" applyProtection="1">
      <alignment horizontal="right"/>
      <protection locked="0"/>
    </xf>
    <xf numFmtId="207" fontId="28" fillId="2" borderId="53" xfId="0" applyNumberFormat="1" applyFont="1" applyFill="1" applyBorder="1" applyAlignment="1" applyProtection="1">
      <alignment horizontal="center" wrapText="1"/>
      <protection locked="0"/>
    </xf>
    <xf numFmtId="2" fontId="0" fillId="4" borderId="72" xfId="0" applyNumberFormat="1" applyFill="1" applyBorder="1" applyProtection="1">
      <protection locked="0"/>
    </xf>
    <xf numFmtId="1" fontId="1" fillId="0" borderId="0" xfId="0" applyNumberFormat="1" applyFont="1" applyBorder="1" applyProtection="1">
      <protection locked="0"/>
    </xf>
    <xf numFmtId="1" fontId="1" fillId="4" borderId="84" xfId="0" applyNumberFormat="1" applyFont="1" applyFill="1" applyBorder="1" applyAlignment="1" applyProtection="1">
      <alignment horizontal="right"/>
      <protection locked="0"/>
    </xf>
    <xf numFmtId="1" fontId="0" fillId="4" borderId="85" xfId="0" applyNumberFormat="1" applyFill="1" applyBorder="1" applyProtection="1">
      <protection locked="0"/>
    </xf>
    <xf numFmtId="1" fontId="0" fillId="4" borderId="86" xfId="0" applyNumberFormat="1" applyFill="1" applyBorder="1" applyProtection="1">
      <protection locked="0"/>
    </xf>
    <xf numFmtId="1" fontId="23" fillId="6" borderId="87" xfId="0" applyNumberFormat="1" applyFont="1" applyFill="1" applyBorder="1" applyAlignment="1" applyProtection="1">
      <alignment horizontal="right"/>
      <protection locked="0"/>
    </xf>
    <xf numFmtId="1" fontId="0" fillId="6" borderId="52" xfId="0" applyNumberFormat="1" applyFill="1" applyBorder="1" applyProtection="1">
      <protection locked="0"/>
    </xf>
    <xf numFmtId="1" fontId="0" fillId="6" borderId="88" xfId="0" applyNumberFormat="1" applyFill="1" applyBorder="1" applyProtection="1">
      <protection locked="0"/>
    </xf>
    <xf numFmtId="0" fontId="35" fillId="0" borderId="82" xfId="0" applyFont="1" applyBorder="1" applyProtection="1">
      <protection locked="0"/>
    </xf>
    <xf numFmtId="0" fontId="35" fillId="0" borderId="3" xfId="0" applyFont="1" applyBorder="1" applyProtection="1">
      <protection locked="0"/>
    </xf>
    <xf numFmtId="215" fontId="35" fillId="0" borderId="83" xfId="0" applyNumberFormat="1" applyFont="1" applyBorder="1" applyProtection="1">
      <protection locked="0"/>
    </xf>
    <xf numFmtId="0" fontId="23" fillId="2" borderId="0" xfId="0" applyFont="1" applyFill="1" applyBorder="1" applyAlignment="1" applyProtection="1">
      <alignment horizontal="center"/>
      <protection locked="0"/>
    </xf>
    <xf numFmtId="1" fontId="34" fillId="2" borderId="89" xfId="0" applyNumberFormat="1" applyFont="1" applyFill="1" applyBorder="1" applyAlignment="1" applyProtection="1">
      <alignment horizontal="center" wrapText="1"/>
      <protection locked="0"/>
    </xf>
    <xf numFmtId="1" fontId="34" fillId="2" borderId="89" xfId="0" applyNumberFormat="1" applyFont="1" applyFill="1" applyBorder="1" applyProtection="1">
      <protection locked="0"/>
    </xf>
    <xf numFmtId="1" fontId="34" fillId="2" borderId="52" xfId="0" applyNumberFormat="1" applyFont="1" applyFill="1" applyBorder="1" applyProtection="1">
      <protection locked="0"/>
    </xf>
    <xf numFmtId="1" fontId="1" fillId="2" borderId="52" xfId="0" applyNumberFormat="1" applyFont="1" applyFill="1" applyBorder="1" applyProtection="1">
      <protection locked="0"/>
    </xf>
    <xf numFmtId="1" fontId="1" fillId="2" borderId="56" xfId="0" applyNumberFormat="1" applyFont="1" applyFill="1" applyBorder="1" applyProtection="1">
      <protection locked="0"/>
    </xf>
    <xf numFmtId="0" fontId="1" fillId="0" borderId="0" xfId="0" applyFont="1" applyProtection="1">
      <protection locked="0"/>
    </xf>
    <xf numFmtId="165" fontId="0" fillId="0" borderId="0" xfId="1" applyNumberFormat="1" applyFont="1" applyAlignment="1" applyProtection="1">
      <alignment horizontal="center"/>
      <protection locked="0"/>
    </xf>
    <xf numFmtId="198" fontId="0" fillId="15" borderId="0" xfId="0" applyNumberFormat="1" applyFill="1" applyAlignment="1">
      <alignment horizontal="right"/>
    </xf>
    <xf numFmtId="0" fontId="36" fillId="0" borderId="82" xfId="0" applyFont="1" applyBorder="1" applyAlignment="1" applyProtection="1">
      <alignment horizontal="left"/>
      <protection locked="0"/>
    </xf>
    <xf numFmtId="0" fontId="0" fillId="0" borderId="3" xfId="0" applyBorder="1" applyAlignment="1" applyProtection="1">
      <alignment horizontal="left"/>
      <protection locked="0"/>
    </xf>
    <xf numFmtId="6" fontId="36" fillId="0" borderId="83" xfId="0" applyNumberFormat="1" applyFont="1" applyBorder="1" applyAlignment="1" applyProtection="1">
      <alignment horizontal="right"/>
      <protection locked="0"/>
    </xf>
    <xf numFmtId="1" fontId="1" fillId="4" borderId="90" xfId="0" applyNumberFormat="1" applyFont="1" applyFill="1" applyBorder="1" applyAlignment="1" applyProtection="1">
      <alignment vertical="center"/>
      <protection locked="0"/>
    </xf>
    <xf numFmtId="165"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3" fillId="16" borderId="87" xfId="0" applyFont="1" applyFill="1" applyBorder="1" applyAlignment="1" applyProtection="1">
      <alignment horizontal="center" vertical="center" wrapText="1"/>
      <protection locked="0"/>
    </xf>
    <xf numFmtId="1" fontId="1" fillId="16" borderId="52" xfId="0" applyNumberFormat="1" applyFont="1" applyFill="1" applyBorder="1" applyProtection="1">
      <protection locked="0"/>
    </xf>
    <xf numFmtId="1" fontId="1" fillId="16" borderId="91" xfId="0" applyNumberFormat="1" applyFont="1" applyFill="1" applyBorder="1" applyProtection="1">
      <protection locked="0"/>
    </xf>
    <xf numFmtId="0" fontId="23" fillId="2" borderId="0" xfId="0" applyFont="1" applyFill="1" applyBorder="1" applyAlignment="1" applyProtection="1">
      <alignment horizontal="center" vertical="center" wrapText="1"/>
      <protection locked="0"/>
    </xf>
    <xf numFmtId="0" fontId="23" fillId="17" borderId="84" xfId="0" applyFont="1" applyFill="1" applyBorder="1" applyProtection="1">
      <protection locked="0"/>
    </xf>
    <xf numFmtId="1" fontId="1" fillId="17" borderId="92" xfId="0" applyNumberFormat="1" applyFont="1" applyFill="1" applyBorder="1" applyProtection="1">
      <protection locked="0"/>
    </xf>
    <xf numFmtId="1" fontId="1" fillId="17" borderId="93" xfId="0" applyNumberFormat="1" applyFont="1" applyFill="1" applyBorder="1" applyProtection="1">
      <protection locked="0"/>
    </xf>
    <xf numFmtId="0" fontId="23" fillId="4" borderId="87" xfId="0" applyFont="1" applyFill="1" applyBorder="1" applyAlignment="1" applyProtection="1">
      <alignment horizontal="center" vertical="center" wrapText="1"/>
      <protection locked="0"/>
    </xf>
    <xf numFmtId="1" fontId="1" fillId="4" borderId="52" xfId="0" applyNumberFormat="1" applyFont="1" applyFill="1" applyBorder="1" applyAlignment="1" applyProtection="1">
      <alignment vertical="center"/>
      <protection locked="0"/>
    </xf>
    <xf numFmtId="1" fontId="1" fillId="4" borderId="88" xfId="0" applyNumberFormat="1" applyFont="1" applyFill="1" applyBorder="1" applyAlignment="1" applyProtection="1">
      <alignment vertical="center"/>
      <protection locked="0"/>
    </xf>
    <xf numFmtId="1" fontId="1" fillId="17" borderId="94" xfId="0" applyNumberFormat="1" applyFont="1" applyFill="1" applyBorder="1" applyProtection="1">
      <protection locked="0"/>
    </xf>
    <xf numFmtId="0" fontId="23" fillId="4" borderId="84" xfId="0" applyFont="1" applyFill="1" applyBorder="1" applyAlignment="1" applyProtection="1">
      <alignment horizontal="center" wrapText="1"/>
      <protection locked="0"/>
    </xf>
    <xf numFmtId="1" fontId="1" fillId="4" borderId="92" xfId="0" applyNumberFormat="1" applyFont="1" applyFill="1" applyBorder="1" applyProtection="1">
      <protection locked="0"/>
    </xf>
    <xf numFmtId="1" fontId="1" fillId="4" borderId="93" xfId="0" applyNumberFormat="1" applyFont="1" applyFill="1" applyBorder="1" applyProtection="1">
      <protection locked="0"/>
    </xf>
    <xf numFmtId="0" fontId="23" fillId="6" borderId="87" xfId="0" applyFont="1" applyFill="1" applyBorder="1" applyAlignment="1" applyProtection="1">
      <alignment horizontal="center" wrapText="1"/>
      <protection locked="0"/>
    </xf>
    <xf numFmtId="1" fontId="1" fillId="6" borderId="95" xfId="0" applyNumberFormat="1" applyFont="1" applyFill="1" applyBorder="1" applyProtection="1">
      <protection locked="0"/>
    </xf>
    <xf numFmtId="1" fontId="1" fillId="6" borderId="96" xfId="0" applyNumberFormat="1" applyFont="1" applyFill="1" applyBorder="1" applyProtection="1">
      <protection locked="0"/>
    </xf>
    <xf numFmtId="0" fontId="3" fillId="0" borderId="53" xfId="0" applyFont="1" applyBorder="1" applyProtection="1">
      <protection locked="0"/>
    </xf>
    <xf numFmtId="0" fontId="0" fillId="0" borderId="97" xfId="0" applyBorder="1" applyAlignment="1">
      <alignment horizontal="left"/>
    </xf>
    <xf numFmtId="0" fontId="0" fillId="0" borderId="56" xfId="0" applyBorder="1" applyAlignment="1">
      <alignment horizontal="left"/>
    </xf>
    <xf numFmtId="9" fontId="0" fillId="0" borderId="0" xfId="0" applyNumberFormat="1" applyProtection="1">
      <protection locked="0"/>
    </xf>
    <xf numFmtId="0" fontId="20" fillId="0" borderId="0" xfId="0" applyFont="1" applyFill="1" applyBorder="1" applyProtection="1">
      <protection locked="0"/>
    </xf>
    <xf numFmtId="207" fontId="20" fillId="0" borderId="0" xfId="0" applyNumberFormat="1" applyFont="1" applyBorder="1" applyProtection="1">
      <protection locked="0"/>
    </xf>
    <xf numFmtId="0" fontId="22" fillId="4" borderId="40" xfId="0" applyNumberFormat="1" applyFont="1" applyFill="1" applyBorder="1" applyAlignment="1" applyProtection="1">
      <alignment horizontal="right"/>
      <protection locked="0"/>
    </xf>
    <xf numFmtId="207" fontId="20" fillId="4" borderId="0" xfId="0" applyNumberFormat="1" applyFont="1" applyFill="1" applyBorder="1" applyAlignment="1" applyProtection="1">
      <alignment vertical="top"/>
      <protection locked="0"/>
    </xf>
    <xf numFmtId="207" fontId="20" fillId="4" borderId="3" xfId="0" applyNumberFormat="1" applyFont="1" applyFill="1" applyBorder="1" applyAlignment="1" applyProtection="1">
      <alignment vertical="top"/>
      <protection locked="0"/>
    </xf>
    <xf numFmtId="207" fontId="20" fillId="4" borderId="98" xfId="0" applyNumberFormat="1" applyFont="1" applyFill="1" applyBorder="1" applyAlignment="1" applyProtection="1">
      <alignment vertical="top"/>
      <protection locked="0"/>
    </xf>
    <xf numFmtId="207" fontId="20" fillId="4" borderId="81" xfId="0" applyNumberFormat="1" applyFont="1" applyFill="1" applyBorder="1" applyAlignment="1" applyProtection="1">
      <alignment vertical="top"/>
      <protection locked="0"/>
    </xf>
    <xf numFmtId="207"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4" fillId="2" borderId="0" xfId="0" applyFont="1" applyFill="1" applyBorder="1" applyAlignment="1">
      <alignment wrapText="1"/>
    </xf>
    <xf numFmtId="0" fontId="43" fillId="4" borderId="84" xfId="0" applyFont="1" applyFill="1" applyBorder="1" applyAlignment="1">
      <alignment wrapText="1"/>
    </xf>
    <xf numFmtId="0" fontId="43" fillId="4" borderId="85" xfId="0" applyFont="1" applyFill="1" applyBorder="1" applyAlignment="1">
      <alignment wrapText="1"/>
    </xf>
    <xf numFmtId="165" fontId="43" fillId="4" borderId="85" xfId="1" applyNumberFormat="1" applyFont="1" applyFill="1" applyBorder="1" applyAlignment="1">
      <alignment wrapText="1"/>
    </xf>
    <xf numFmtId="0" fontId="43" fillId="4" borderId="86" xfId="0" applyFont="1" applyFill="1" applyBorder="1" applyAlignment="1">
      <alignment wrapText="1"/>
    </xf>
    <xf numFmtId="0" fontId="45" fillId="0" borderId="85" xfId="0" applyFont="1" applyBorder="1"/>
    <xf numFmtId="0" fontId="43" fillId="4" borderId="99" xfId="0" applyFont="1" applyFill="1" applyBorder="1" applyAlignment="1">
      <alignment wrapText="1"/>
    </xf>
    <xf numFmtId="0" fontId="43" fillId="4" borderId="0" xfId="0" applyFont="1" applyFill="1" applyBorder="1" applyAlignment="1">
      <alignment wrapText="1"/>
    </xf>
    <xf numFmtId="0" fontId="43" fillId="4" borderId="100" xfId="0" applyFont="1" applyFill="1" applyBorder="1" applyAlignment="1">
      <alignment wrapText="1"/>
    </xf>
    <xf numFmtId="165" fontId="43" fillId="4" borderId="0" xfId="1" applyNumberFormat="1" applyFont="1" applyFill="1" applyBorder="1" applyAlignment="1">
      <alignment wrapText="1"/>
    </xf>
    <xf numFmtId="0" fontId="43" fillId="4" borderId="101" xfId="0" applyFont="1" applyFill="1" applyBorder="1" applyAlignment="1">
      <alignment wrapText="1"/>
    </xf>
    <xf numFmtId="0" fontId="43" fillId="11" borderId="3" xfId="0" applyFont="1" applyFill="1" applyBorder="1"/>
    <xf numFmtId="0" fontId="43" fillId="11" borderId="3" xfId="0" applyFont="1" applyFill="1" applyBorder="1" applyAlignment="1">
      <alignment wrapText="1"/>
    </xf>
    <xf numFmtId="0" fontId="43" fillId="11" borderId="102" xfId="0" applyFont="1" applyFill="1" applyBorder="1" applyAlignment="1">
      <alignment wrapText="1"/>
    </xf>
    <xf numFmtId="0" fontId="43" fillId="11" borderId="103" xfId="0" applyFont="1" applyFill="1" applyBorder="1" applyAlignment="1">
      <alignment wrapText="1"/>
    </xf>
    <xf numFmtId="0" fontId="43" fillId="18" borderId="104" xfId="0" applyFont="1" applyFill="1" applyBorder="1" applyAlignment="1"/>
    <xf numFmtId="0" fontId="43" fillId="18" borderId="74" xfId="0" applyFont="1" applyFill="1" applyBorder="1" applyAlignment="1">
      <alignment wrapText="1"/>
    </xf>
    <xf numFmtId="2" fontId="43" fillId="18" borderId="74" xfId="0" applyNumberFormat="1" applyFont="1" applyFill="1" applyBorder="1" applyAlignment="1">
      <alignment wrapText="1"/>
    </xf>
    <xf numFmtId="0" fontId="43" fillId="2" borderId="104" xfId="0" applyFont="1" applyFill="1" applyBorder="1" applyAlignment="1"/>
    <xf numFmtId="0" fontId="43" fillId="2" borderId="74" xfId="0" applyFont="1" applyFill="1" applyBorder="1" applyAlignment="1">
      <alignment wrapText="1"/>
    </xf>
    <xf numFmtId="0" fontId="43" fillId="0" borderId="103"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5" fillId="2" borderId="0" xfId="0" applyFont="1" applyFill="1" applyBorder="1" applyAlignment="1">
      <alignment wrapText="1"/>
    </xf>
    <xf numFmtId="165" fontId="45" fillId="2" borderId="0" xfId="1" applyNumberFormat="1" applyFont="1" applyFill="1" applyAlignment="1">
      <alignment wrapText="1"/>
    </xf>
    <xf numFmtId="44" fontId="45" fillId="2" borderId="0" xfId="2" applyFont="1" applyFill="1" applyAlignment="1">
      <alignment wrapText="1"/>
    </xf>
    <xf numFmtId="0" fontId="45" fillId="2" borderId="0" xfId="0" applyFont="1" applyFill="1" applyAlignment="1">
      <alignment wrapText="1"/>
    </xf>
    <xf numFmtId="0" fontId="45" fillId="0" borderId="0" xfId="0" applyFont="1"/>
    <xf numFmtId="0" fontId="45" fillId="0" borderId="0" xfId="0" applyFont="1" applyBorder="1"/>
    <xf numFmtId="0" fontId="41" fillId="0" borderId="0" xfId="0" applyFont="1" applyAlignment="1"/>
    <xf numFmtId="3" fontId="45" fillId="0" borderId="0" xfId="0" applyNumberFormat="1" applyFont="1" applyBorder="1" applyAlignment="1">
      <alignment horizontal="center"/>
    </xf>
    <xf numFmtId="165" fontId="45" fillId="0" borderId="0" xfId="1" applyNumberFormat="1" applyFont="1"/>
    <xf numFmtId="44" fontId="45" fillId="0" borderId="0" xfId="2" applyFont="1"/>
    <xf numFmtId="0" fontId="44" fillId="2" borderId="0" xfId="0" applyFont="1" applyFill="1" applyBorder="1"/>
    <xf numFmtId="0" fontId="46" fillId="0" borderId="0" xfId="0" applyFont="1"/>
    <xf numFmtId="3" fontId="46" fillId="0" borderId="0" xfId="0" applyNumberFormat="1" applyFont="1" applyBorder="1" applyAlignment="1">
      <alignment horizontal="center"/>
    </xf>
    <xf numFmtId="165" fontId="46" fillId="0" borderId="0" xfId="1" applyNumberFormat="1" applyFont="1"/>
    <xf numFmtId="44" fontId="46" fillId="0" borderId="0" xfId="2" applyFont="1"/>
    <xf numFmtId="0" fontId="47" fillId="0" borderId="0" xfId="0" applyFont="1"/>
    <xf numFmtId="0" fontId="49" fillId="0" borderId="0" xfId="0" applyFont="1"/>
    <xf numFmtId="0" fontId="45" fillId="0" borderId="0" xfId="0" applyFont="1" applyAlignment="1">
      <alignment wrapText="1"/>
    </xf>
    <xf numFmtId="0" fontId="50" fillId="0" borderId="0" xfId="0" applyFont="1" applyAlignment="1">
      <alignment wrapText="1"/>
    </xf>
    <xf numFmtId="0" fontId="51" fillId="0" borderId="0" xfId="0" applyFont="1"/>
    <xf numFmtId="0" fontId="51" fillId="0" borderId="0" xfId="0" applyFont="1" applyFill="1" applyBorder="1" applyAlignment="1">
      <alignment wrapText="1"/>
    </xf>
    <xf numFmtId="0" fontId="45" fillId="0" borderId="0" xfId="0" applyFont="1" applyFill="1" applyBorder="1" applyAlignment="1">
      <alignment wrapText="1"/>
    </xf>
    <xf numFmtId="0" fontId="45" fillId="0" borderId="0" xfId="0" applyFont="1" applyFill="1" applyAlignment="1">
      <alignment wrapText="1"/>
    </xf>
    <xf numFmtId="165" fontId="45" fillId="0" borderId="0" xfId="1" applyNumberFormat="1" applyFont="1" applyFill="1"/>
    <xf numFmtId="44" fontId="45" fillId="0" borderId="0" xfId="2" applyFont="1" applyFill="1"/>
    <xf numFmtId="0" fontId="45" fillId="0" borderId="0" xfId="0" applyFont="1" applyFill="1"/>
    <xf numFmtId="44" fontId="45" fillId="0" borderId="0" xfId="0" applyNumberFormat="1" applyFont="1" applyFill="1"/>
    <xf numFmtId="2" fontId="45" fillId="0" borderId="0" xfId="0" applyNumberFormat="1" applyFont="1" applyFill="1"/>
    <xf numFmtId="165" fontId="45" fillId="0" borderId="0" xfId="1" applyNumberFormat="1" applyFont="1" applyFill="1" applyAlignment="1">
      <alignment wrapText="1"/>
    </xf>
    <xf numFmtId="44" fontId="45" fillId="0" borderId="0" xfId="2" applyFont="1" applyFill="1" applyAlignment="1">
      <alignment wrapText="1"/>
    </xf>
    <xf numFmtId="1" fontId="43" fillId="0" borderId="0" xfId="0" applyNumberFormat="1" applyFont="1" applyFill="1" applyBorder="1"/>
    <xf numFmtId="165" fontId="43" fillId="0" borderId="0" xfId="1" applyNumberFormat="1" applyFont="1" applyFill="1" applyBorder="1"/>
    <xf numFmtId="0" fontId="43" fillId="0" borderId="0" xfId="0" applyFont="1" applyFill="1" applyBorder="1" applyAlignment="1">
      <alignment wrapText="1"/>
    </xf>
    <xf numFmtId="165" fontId="8" fillId="0" borderId="0" xfId="1" applyNumberFormat="1" applyFont="1" applyFill="1" applyBorder="1"/>
    <xf numFmtId="0" fontId="8" fillId="0" borderId="0" xfId="0" applyFont="1" applyFill="1" applyBorder="1" applyAlignment="1">
      <alignment wrapText="1"/>
    </xf>
    <xf numFmtId="165" fontId="45" fillId="0" borderId="0" xfId="1" applyNumberFormat="1" applyFont="1" applyFill="1" applyBorder="1" applyAlignment="1">
      <alignment wrapText="1"/>
    </xf>
    <xf numFmtId="0" fontId="43" fillId="13" borderId="105" xfId="0" applyFont="1" applyFill="1" applyBorder="1" applyAlignment="1">
      <alignment wrapText="1"/>
    </xf>
    <xf numFmtId="1" fontId="43" fillId="13" borderId="106" xfId="0" applyNumberFormat="1" applyFont="1" applyFill="1" applyBorder="1"/>
    <xf numFmtId="165" fontId="43" fillId="13" borderId="3" xfId="1" applyNumberFormat="1" applyFont="1" applyFill="1" applyBorder="1"/>
    <xf numFmtId="0" fontId="43" fillId="13" borderId="103" xfId="0" applyFont="1" applyFill="1" applyBorder="1" applyAlignment="1">
      <alignment wrapText="1"/>
    </xf>
    <xf numFmtId="0" fontId="55" fillId="2" borderId="0" xfId="0" applyFont="1" applyFill="1" applyBorder="1" applyAlignment="1">
      <alignment wrapText="1"/>
    </xf>
    <xf numFmtId="0" fontId="56" fillId="2" borderId="0" xfId="0" applyFont="1" applyFill="1" applyBorder="1" applyAlignment="1">
      <alignment wrapText="1"/>
    </xf>
    <xf numFmtId="0" fontId="57" fillId="2" borderId="0" xfId="0" applyFont="1" applyFill="1" applyBorder="1" applyAlignment="1">
      <alignment wrapText="1"/>
    </xf>
    <xf numFmtId="0" fontId="1" fillId="12" borderId="72" xfId="0" applyFont="1" applyFill="1" applyBorder="1" applyAlignment="1">
      <alignment horizontal="center"/>
    </xf>
    <xf numFmtId="0" fontId="1" fillId="12" borderId="72" xfId="0" applyFont="1" applyFill="1" applyBorder="1"/>
    <xf numFmtId="14" fontId="0" fillId="12" borderId="72" xfId="0" applyNumberFormat="1" applyFill="1" applyBorder="1" applyAlignment="1">
      <alignment horizontal="center"/>
    </xf>
    <xf numFmtId="0" fontId="0" fillId="12" borderId="72" xfId="0" applyFill="1" applyBorder="1" applyAlignment="1"/>
    <xf numFmtId="0" fontId="0" fillId="12" borderId="72" xfId="0" applyFill="1" applyBorder="1"/>
    <xf numFmtId="0" fontId="0" fillId="12" borderId="72" xfId="0" applyFill="1" applyBorder="1" applyAlignment="1">
      <alignment horizontal="center"/>
    </xf>
    <xf numFmtId="0" fontId="51" fillId="0" borderId="0" xfId="0" applyFont="1" applyFill="1" applyAlignment="1">
      <alignment wrapText="1"/>
    </xf>
    <xf numFmtId="0" fontId="51" fillId="0" borderId="0" xfId="0" applyFont="1" applyFill="1"/>
    <xf numFmtId="39" fontId="45" fillId="0" borderId="0" xfId="1" applyNumberFormat="1" applyFont="1" applyFill="1" applyBorder="1" applyAlignment="1">
      <alignment wrapText="1"/>
    </xf>
    <xf numFmtId="7" fontId="45" fillId="0" borderId="0" xfId="2" applyNumberFormat="1" applyFont="1" applyFill="1" applyBorder="1" applyAlignment="1">
      <alignment wrapText="1"/>
    </xf>
    <xf numFmtId="207" fontId="29" fillId="19" borderId="56" xfId="0" applyNumberFormat="1" applyFont="1" applyFill="1" applyBorder="1" applyAlignment="1" applyProtection="1">
      <alignment horizontal="center" vertical="top"/>
    </xf>
    <xf numFmtId="207" fontId="29" fillId="19" borderId="57" xfId="0" applyNumberFormat="1" applyFont="1" applyFill="1" applyBorder="1" applyAlignment="1" applyProtection="1">
      <alignment horizontal="center" vertical="top"/>
    </xf>
    <xf numFmtId="207" fontId="29" fillId="19" borderId="59" xfId="0" applyNumberFormat="1" applyFont="1" applyFill="1" applyBorder="1" applyAlignment="1" applyProtection="1">
      <alignment horizontal="center" vertical="top"/>
    </xf>
    <xf numFmtId="207" fontId="29" fillId="7" borderId="58" xfId="0" applyNumberFormat="1" applyFont="1" applyFill="1" applyBorder="1" applyAlignment="1" applyProtection="1">
      <alignment horizontal="center" vertical="top"/>
    </xf>
    <xf numFmtId="207" fontId="29" fillId="4" borderId="107" xfId="0" applyNumberFormat="1" applyFont="1" applyFill="1" applyBorder="1" applyAlignment="1" applyProtection="1">
      <alignment vertical="top"/>
    </xf>
    <xf numFmtId="207" fontId="29" fillId="11" borderId="56" xfId="0" applyNumberFormat="1" applyFont="1" applyFill="1" applyBorder="1" applyAlignment="1" applyProtection="1">
      <alignment horizontal="center" vertical="top"/>
    </xf>
    <xf numFmtId="207" fontId="29" fillId="4" borderId="72" xfId="0" applyNumberFormat="1" applyFont="1" applyFill="1" applyBorder="1" applyAlignment="1" applyProtection="1">
      <alignment horizontal="center" vertical="top"/>
    </xf>
    <xf numFmtId="2" fontId="8" fillId="5" borderId="108" xfId="0" applyNumberFormat="1" applyFont="1" applyFill="1" applyBorder="1" applyAlignment="1" applyProtection="1">
      <protection locked="0"/>
    </xf>
    <xf numFmtId="2" fontId="8" fillId="5" borderId="53" xfId="0" applyNumberFormat="1" applyFont="1" applyFill="1" applyBorder="1" applyAlignment="1" applyProtection="1">
      <protection locked="0"/>
    </xf>
    <xf numFmtId="2" fontId="8" fillId="5" borderId="109" xfId="0" applyNumberFormat="1" applyFont="1" applyFill="1" applyBorder="1" applyAlignment="1" applyProtection="1">
      <protection locked="0"/>
    </xf>
    <xf numFmtId="0" fontId="63" fillId="20" borderId="0" xfId="0" applyFont="1" applyFill="1"/>
    <xf numFmtId="0" fontId="0" fillId="20" borderId="0" xfId="0" applyFill="1"/>
    <xf numFmtId="14" fontId="0" fillId="20" borderId="0" xfId="0" applyNumberFormat="1" applyFill="1"/>
    <xf numFmtId="0" fontId="64" fillId="0" borderId="0" xfId="0" applyFont="1"/>
    <xf numFmtId="14" fontId="64" fillId="0" borderId="0" xfId="0" applyNumberFormat="1" applyFont="1"/>
    <xf numFmtId="14" fontId="0" fillId="0" borderId="0" xfId="0" applyNumberFormat="1"/>
    <xf numFmtId="0" fontId="1" fillId="4" borderId="0" xfId="0" applyFont="1" applyFill="1"/>
    <xf numFmtId="1" fontId="1" fillId="4" borderId="0" xfId="0" applyNumberFormat="1" applyFont="1" applyFill="1"/>
    <xf numFmtId="198" fontId="0" fillId="0" borderId="0" xfId="0" applyNumberFormat="1"/>
    <xf numFmtId="0" fontId="64" fillId="4" borderId="0" xfId="0" applyFont="1" applyFill="1"/>
    <xf numFmtId="0" fontId="3" fillId="0" borderId="0" xfId="0" applyFont="1" applyFill="1" applyBorder="1" applyAlignment="1">
      <alignment wrapText="1"/>
    </xf>
    <xf numFmtId="165" fontId="3" fillId="0" borderId="0" xfId="1" applyNumberFormat="1" applyFont="1" applyFill="1" applyBorder="1" applyAlignment="1">
      <alignment wrapText="1"/>
    </xf>
    <xf numFmtId="165" fontId="3" fillId="0" borderId="0" xfId="2" applyNumberFormat="1" applyFont="1" applyFill="1" applyBorder="1" applyAlignment="1">
      <alignment wrapText="1"/>
    </xf>
    <xf numFmtId="0" fontId="52"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6" fillId="2" borderId="0" xfId="0" applyFont="1" applyFill="1"/>
    <xf numFmtId="0" fontId="45" fillId="2" borderId="0" xfId="0" applyFont="1" applyFill="1"/>
    <xf numFmtId="0" fontId="8" fillId="2" borderId="0" xfId="4" quotePrefix="1" applyFont="1" applyFill="1" applyAlignment="1">
      <alignment horizontal="center"/>
    </xf>
    <xf numFmtId="0" fontId="8" fillId="2" borderId="0" xfId="4" applyFont="1" applyFill="1"/>
    <xf numFmtId="0" fontId="48" fillId="2" borderId="110" xfId="4" applyFont="1" applyFill="1" applyBorder="1" applyAlignment="1">
      <alignment horizontal="center"/>
    </xf>
    <xf numFmtId="14" fontId="48" fillId="2" borderId="111" xfId="4" applyNumberFormat="1" applyFont="1" applyFill="1" applyBorder="1" applyAlignment="1">
      <alignment horizontal="center"/>
    </xf>
    <xf numFmtId="14" fontId="48" fillId="2" borderId="112" xfId="4" applyNumberFormat="1" applyFont="1" applyFill="1" applyBorder="1" applyAlignment="1">
      <alignment horizontal="center"/>
    </xf>
    <xf numFmtId="0" fontId="49" fillId="2" borderId="0" xfId="0" applyFont="1" applyFill="1"/>
    <xf numFmtId="14" fontId="48" fillId="2" borderId="110" xfId="4" applyNumberFormat="1" applyFont="1" applyFill="1" applyBorder="1" applyAlignment="1">
      <alignment horizontal="left"/>
    </xf>
    <xf numFmtId="0" fontId="45" fillId="2" borderId="112" xfId="0" applyFont="1" applyFill="1" applyBorder="1"/>
    <xf numFmtId="0" fontId="48" fillId="2" borderId="0" xfId="4" applyFont="1" applyFill="1" applyBorder="1" applyAlignment="1">
      <alignment horizontal="center"/>
    </xf>
    <xf numFmtId="14" fontId="48" fillId="2" borderId="0" xfId="4" applyNumberFormat="1" applyFont="1" applyFill="1" applyBorder="1" applyAlignment="1">
      <alignment horizontal="center"/>
    </xf>
    <xf numFmtId="0" fontId="3" fillId="2" borderId="0" xfId="0" applyFont="1" applyFill="1" applyBorder="1" applyAlignment="1">
      <alignment wrapText="1"/>
    </xf>
    <xf numFmtId="2" fontId="45" fillId="2" borderId="0" xfId="0" applyNumberFormat="1" applyFont="1" applyFill="1"/>
    <xf numFmtId="0" fontId="53" fillId="2" borderId="0" xfId="0" applyFont="1" applyFill="1"/>
    <xf numFmtId="0" fontId="47" fillId="2" borderId="0" xfId="0" applyFont="1" applyFill="1"/>
    <xf numFmtId="14" fontId="48" fillId="2" borderId="111" xfId="4" applyNumberFormat="1" applyFont="1" applyFill="1" applyBorder="1" applyAlignment="1">
      <alignment horizontal="left"/>
    </xf>
    <xf numFmtId="0" fontId="51" fillId="2" borderId="0" xfId="0" applyFont="1" applyFill="1"/>
    <xf numFmtId="10" fontId="45"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4" fillId="2" borderId="0" xfId="0" applyFont="1" applyFill="1" applyBorder="1" applyAlignment="1"/>
    <xf numFmtId="4" fontId="44" fillId="2" borderId="0" xfId="0" applyNumberFormat="1" applyFont="1" applyFill="1" applyBorder="1" applyAlignment="1"/>
    <xf numFmtId="43" fontId="3" fillId="2" borderId="0" xfId="0" applyNumberFormat="1" applyFont="1" applyFill="1" applyBorder="1" applyAlignment="1">
      <alignment wrapText="1"/>
    </xf>
    <xf numFmtId="4" fontId="45" fillId="2" borderId="0" xfId="0" applyNumberFormat="1" applyFont="1" applyFill="1" applyAlignment="1"/>
    <xf numFmtId="1" fontId="43" fillId="21" borderId="113" xfId="0" applyNumberFormat="1" applyFont="1" applyFill="1" applyBorder="1"/>
    <xf numFmtId="0" fontId="43" fillId="21" borderId="103" xfId="0" applyFont="1" applyFill="1" applyBorder="1" applyAlignment="1">
      <alignment wrapText="1"/>
    </xf>
    <xf numFmtId="43" fontId="45" fillId="0" borderId="0" xfId="0" applyNumberFormat="1" applyFont="1" applyFill="1"/>
    <xf numFmtId="1" fontId="54" fillId="0" borderId="0" xfId="0" applyNumberFormat="1" applyFont="1" applyFill="1" applyBorder="1"/>
    <xf numFmtId="165" fontId="54" fillId="0" borderId="0" xfId="1" applyNumberFormat="1" applyFont="1" applyFill="1" applyBorder="1"/>
    <xf numFmtId="0" fontId="54" fillId="0" borderId="0" xfId="0" applyFont="1" applyFill="1" applyBorder="1" applyAlignment="1">
      <alignment wrapText="1"/>
    </xf>
    <xf numFmtId="20" fontId="0" fillId="12" borderId="72" xfId="0" applyNumberFormat="1" applyFill="1" applyBorder="1" applyAlignment="1"/>
    <xf numFmtId="1" fontId="54" fillId="2" borderId="0" xfId="0" applyNumberFormat="1" applyFont="1" applyFill="1" applyBorder="1"/>
    <xf numFmtId="165" fontId="43" fillId="2" borderId="0" xfId="1" applyNumberFormat="1" applyFont="1" applyFill="1" applyBorder="1"/>
    <xf numFmtId="0" fontId="43" fillId="2" borderId="0" xfId="0" applyFont="1" applyFill="1" applyBorder="1" applyAlignment="1">
      <alignment wrapText="1"/>
    </xf>
    <xf numFmtId="0" fontId="43" fillId="13" borderId="105" xfId="0" applyFont="1" applyFill="1" applyBorder="1" applyAlignment="1" applyProtection="1">
      <alignment wrapText="1"/>
      <protection locked="0"/>
    </xf>
    <xf numFmtId="0" fontId="55" fillId="2" borderId="52" xfId="0" applyFont="1" applyFill="1" applyBorder="1" applyAlignment="1">
      <alignment wrapText="1"/>
    </xf>
    <xf numFmtId="0" fontId="32" fillId="14" borderId="74" xfId="0" applyFont="1" applyFill="1" applyBorder="1" applyAlignment="1">
      <alignment wrapText="1"/>
    </xf>
    <xf numFmtId="43" fontId="4" fillId="2" borderId="0" xfId="0" applyNumberFormat="1" applyFont="1" applyFill="1" applyBorder="1" applyAlignment="1">
      <alignment wrapText="1"/>
    </xf>
    <xf numFmtId="207" fontId="0" fillId="6" borderId="72" xfId="0" applyNumberFormat="1" applyFill="1" applyBorder="1" applyProtection="1">
      <protection locked="0"/>
    </xf>
    <xf numFmtId="1" fontId="0" fillId="6" borderId="72" xfId="0" applyNumberFormat="1" applyFill="1" applyBorder="1" applyProtection="1">
      <protection locked="0"/>
    </xf>
    <xf numFmtId="0" fontId="43" fillId="4" borderId="85" xfId="0" applyFont="1" applyFill="1" applyBorder="1" applyAlignment="1" applyProtection="1">
      <alignment wrapText="1"/>
      <protection locked="0"/>
    </xf>
    <xf numFmtId="0" fontId="43" fillId="4" borderId="100" xfId="0" applyFont="1" applyFill="1" applyBorder="1" applyAlignment="1" applyProtection="1">
      <alignment wrapText="1"/>
      <protection locked="0"/>
    </xf>
    <xf numFmtId="0" fontId="45" fillId="0" borderId="0" xfId="0" applyFont="1" applyProtection="1">
      <protection locked="0"/>
    </xf>
    <xf numFmtId="0" fontId="50" fillId="0" borderId="0" xfId="0" applyFont="1" applyAlignment="1" applyProtection="1">
      <alignment wrapText="1"/>
      <protection locked="0"/>
    </xf>
    <xf numFmtId="0" fontId="55" fillId="2" borderId="0" xfId="0" applyFont="1" applyFill="1" applyBorder="1" applyAlignment="1" applyProtection="1">
      <alignment wrapText="1"/>
      <protection locked="0"/>
    </xf>
    <xf numFmtId="0" fontId="45" fillId="0" borderId="0" xfId="0" applyFont="1" applyFill="1" applyBorder="1" applyAlignment="1" applyProtection="1">
      <alignment wrapText="1"/>
      <protection locked="0"/>
    </xf>
    <xf numFmtId="0" fontId="45" fillId="0" borderId="0" xfId="0" applyFont="1" applyFill="1" applyAlignment="1" applyProtection="1">
      <alignment wrapText="1"/>
      <protection locked="0"/>
    </xf>
    <xf numFmtId="0" fontId="45" fillId="0" borderId="0" xfId="0" applyFont="1" applyFill="1" applyProtection="1">
      <protection locked="0"/>
    </xf>
    <xf numFmtId="0" fontId="54" fillId="14" borderId="74" xfId="0" applyFont="1" applyFill="1" applyBorder="1" applyAlignment="1">
      <alignment wrapText="1"/>
    </xf>
    <xf numFmtId="43" fontId="54" fillId="14" borderId="74" xfId="0" applyNumberFormat="1" applyFont="1" applyFill="1" applyBorder="1" applyAlignment="1">
      <alignment wrapText="1"/>
    </xf>
    <xf numFmtId="0" fontId="54" fillId="2" borderId="72" xfId="0" applyFont="1" applyFill="1" applyBorder="1" applyAlignment="1">
      <alignment wrapText="1"/>
    </xf>
    <xf numFmtId="0" fontId="54" fillId="2" borderId="72" xfId="0" applyFont="1" applyFill="1" applyBorder="1" applyAlignment="1" applyProtection="1">
      <alignment wrapText="1"/>
      <protection locked="0"/>
    </xf>
    <xf numFmtId="0" fontId="65" fillId="14" borderId="74" xfId="0" applyFont="1" applyFill="1" applyBorder="1" applyAlignment="1"/>
    <xf numFmtId="2" fontId="4" fillId="0" borderId="0" xfId="0" applyNumberFormat="1" applyFont="1" applyFill="1" applyBorder="1"/>
    <xf numFmtId="0" fontId="0" fillId="0" borderId="0" xfId="0" applyNumberFormat="1"/>
    <xf numFmtId="2" fontId="43" fillId="21" borderId="74" xfId="1" applyNumberFormat="1" applyFont="1" applyFill="1" applyBorder="1"/>
    <xf numFmtId="0" fontId="32" fillId="14" borderId="72" xfId="0" applyFont="1" applyFill="1" applyBorder="1" applyAlignment="1">
      <alignment wrapText="1"/>
    </xf>
    <xf numFmtId="0" fontId="44" fillId="14" borderId="0" xfId="0" applyFont="1" applyFill="1" applyBorder="1" applyAlignment="1">
      <alignment wrapText="1"/>
    </xf>
    <xf numFmtId="0" fontId="32" fillId="14" borderId="72" xfId="0" applyFont="1" applyFill="1" applyBorder="1" applyAlignment="1" applyProtection="1">
      <alignment wrapText="1"/>
      <protection locked="0"/>
    </xf>
    <xf numFmtId="0" fontId="32" fillId="14" borderId="83" xfId="0" applyFont="1" applyFill="1" applyBorder="1" applyAlignment="1">
      <alignment wrapText="1"/>
    </xf>
    <xf numFmtId="1" fontId="54" fillId="11" borderId="106" xfId="0" applyNumberFormat="1" applyFont="1" applyFill="1" applyBorder="1"/>
    <xf numFmtId="16" fontId="0" fillId="12" borderId="72" xfId="0" applyNumberFormat="1" applyFill="1" applyBorder="1" applyAlignment="1">
      <alignment horizontal="center"/>
    </xf>
    <xf numFmtId="0" fontId="65" fillId="11" borderId="114" xfId="0" applyFont="1" applyFill="1" applyBorder="1" applyAlignment="1">
      <alignment wrapText="1"/>
    </xf>
    <xf numFmtId="0" fontId="43" fillId="2" borderId="74" xfId="0" applyFont="1" applyFill="1" applyBorder="1" applyAlignment="1" applyProtection="1">
      <alignment wrapText="1"/>
      <protection locked="0"/>
    </xf>
    <xf numFmtId="1" fontId="43" fillId="0" borderId="113" xfId="0" applyNumberFormat="1" applyFont="1" applyFill="1" applyBorder="1"/>
    <xf numFmtId="165" fontId="43" fillId="0" borderId="74" xfId="1" applyNumberFormat="1" applyFont="1" applyFill="1" applyBorder="1"/>
    <xf numFmtId="0" fontId="65" fillId="13" borderId="115" xfId="0" applyFont="1" applyFill="1" applyBorder="1" applyAlignment="1"/>
    <xf numFmtId="0" fontId="54" fillId="13" borderId="115" xfId="0" applyFont="1" applyFill="1" applyBorder="1" applyAlignment="1">
      <alignment wrapText="1"/>
    </xf>
    <xf numFmtId="2" fontId="54" fillId="13" borderId="115" xfId="0" applyNumberFormat="1" applyFont="1" applyFill="1" applyBorder="1" applyAlignment="1">
      <alignment wrapText="1"/>
    </xf>
    <xf numFmtId="0" fontId="54" fillId="13" borderId="116" xfId="0" applyFont="1" applyFill="1" applyBorder="1" applyAlignment="1">
      <alignment wrapText="1"/>
    </xf>
    <xf numFmtId="0" fontId="54" fillId="13" borderId="116" xfId="0" applyFont="1" applyFill="1" applyBorder="1" applyAlignment="1" applyProtection="1">
      <alignment wrapText="1"/>
      <protection locked="0"/>
    </xf>
    <xf numFmtId="1" fontId="54" fillId="21" borderId="0" xfId="0" applyNumberFormat="1" applyFont="1" applyFill="1" applyBorder="1"/>
    <xf numFmtId="165" fontId="54" fillId="21" borderId="0" xfId="1" applyNumberFormat="1" applyFont="1" applyFill="1" applyBorder="1"/>
    <xf numFmtId="43" fontId="4" fillId="21" borderId="0" xfId="0" applyNumberFormat="1" applyFont="1" applyFill="1" applyBorder="1" applyAlignment="1">
      <alignment wrapText="1"/>
    </xf>
    <xf numFmtId="0" fontId="54" fillId="2" borderId="3" xfId="0" applyFont="1" applyFill="1" applyBorder="1" applyAlignment="1">
      <alignment wrapText="1"/>
    </xf>
    <xf numFmtId="2" fontId="45" fillId="0" borderId="0" xfId="0" applyNumberFormat="1" applyFont="1"/>
    <xf numFmtId="1" fontId="23" fillId="0" borderId="0" xfId="0" applyNumberFormat="1" applyFont="1" applyProtection="1">
      <protection locked="0"/>
    </xf>
    <xf numFmtId="207" fontId="29" fillId="4" borderId="53" xfId="0" applyNumberFormat="1" applyFont="1" applyFill="1" applyBorder="1" applyAlignment="1" applyProtection="1">
      <alignment horizontal="center" vertical="top"/>
    </xf>
    <xf numFmtId="43" fontId="0" fillId="0" borderId="0" xfId="1" applyFont="1" applyBorder="1"/>
    <xf numFmtId="0" fontId="54" fillId="14" borderId="83" xfId="0" applyFont="1" applyFill="1" applyBorder="1" applyAlignment="1">
      <alignment wrapText="1"/>
    </xf>
    <xf numFmtId="201" fontId="32" fillId="0" borderId="0" xfId="0" applyNumberFormat="1" applyFont="1" applyAlignment="1">
      <alignment horizontal="center"/>
    </xf>
    <xf numFmtId="207" fontId="29" fillId="4" borderId="117" xfId="0" applyNumberFormat="1" applyFont="1" applyFill="1" applyBorder="1" applyAlignment="1" applyProtection="1">
      <alignment horizontal="center" vertical="top"/>
    </xf>
    <xf numFmtId="207" fontId="29" fillId="4" borderId="118" xfId="0" applyNumberFormat="1" applyFont="1" applyFill="1" applyBorder="1" applyAlignment="1" applyProtection="1">
      <alignment horizontal="center" vertical="top"/>
    </xf>
    <xf numFmtId="207" fontId="29" fillId="4" borderId="119" xfId="0" applyNumberFormat="1" applyFont="1" applyFill="1" applyBorder="1" applyAlignment="1" applyProtection="1">
      <alignment horizontal="center" vertical="top"/>
    </xf>
    <xf numFmtId="0" fontId="53" fillId="0" borderId="0" xfId="0" applyFont="1" applyBorder="1" applyProtection="1">
      <protection locked="0"/>
    </xf>
    <xf numFmtId="165" fontId="53" fillId="0" borderId="0" xfId="1" applyNumberFormat="1" applyFont="1" applyBorder="1" applyProtection="1">
      <protection locked="0"/>
    </xf>
    <xf numFmtId="0" fontId="53" fillId="0" borderId="0" xfId="0" applyFont="1" applyProtection="1">
      <protection locked="0"/>
    </xf>
    <xf numFmtId="0" fontId="0" fillId="4" borderId="120" xfId="0" applyFill="1" applyBorder="1" applyAlignment="1" applyProtection="1">
      <alignment horizontal="centerContinuous"/>
      <protection locked="0"/>
    </xf>
    <xf numFmtId="0" fontId="0" fillId="4" borderId="121" xfId="0" applyFill="1" applyBorder="1" applyAlignment="1" applyProtection="1">
      <alignment horizontal="centerContinuous"/>
      <protection locked="0"/>
    </xf>
    <xf numFmtId="185" fontId="66" fillId="4" borderId="110" xfId="0" applyNumberFormat="1" applyFont="1" applyFill="1" applyBorder="1" applyAlignment="1" applyProtection="1">
      <alignment horizontal="center"/>
      <protection locked="0"/>
    </xf>
    <xf numFmtId="185" fontId="66" fillId="4" borderId="122" xfId="0" applyNumberFormat="1" applyFont="1" applyFill="1" applyBorder="1" applyAlignment="1" applyProtection="1">
      <alignment horizontal="center"/>
      <protection locked="0"/>
    </xf>
    <xf numFmtId="207" fontId="29" fillId="4" borderId="0" xfId="0" applyNumberFormat="1" applyFont="1" applyFill="1" applyBorder="1" applyAlignment="1" applyProtection="1">
      <alignment vertical="top"/>
    </xf>
    <xf numFmtId="207" fontId="29" fillId="4" borderId="101" xfId="0" applyNumberFormat="1" applyFont="1" applyFill="1" applyBorder="1" applyAlignment="1" applyProtection="1">
      <alignment horizontal="center" vertical="top"/>
    </xf>
    <xf numFmtId="0" fontId="27" fillId="7" borderId="84" xfId="0" applyFont="1" applyFill="1" applyBorder="1" applyAlignment="1" applyProtection="1">
      <alignment vertical="top"/>
    </xf>
    <xf numFmtId="207" fontId="29" fillId="7" borderId="92" xfId="0" applyNumberFormat="1" applyFont="1" applyFill="1" applyBorder="1" applyAlignment="1" applyProtection="1">
      <alignment horizontal="center" vertical="top"/>
    </xf>
    <xf numFmtId="207" fontId="29" fillId="7" borderId="93" xfId="0" applyNumberFormat="1" applyFont="1" applyFill="1" applyBorder="1" applyAlignment="1" applyProtection="1">
      <alignment horizontal="center" vertical="top"/>
    </xf>
    <xf numFmtId="0" fontId="27" fillId="7" borderId="99" xfId="0" applyFont="1" applyFill="1" applyBorder="1" applyAlignment="1" applyProtection="1">
      <alignment vertical="top"/>
    </xf>
    <xf numFmtId="207" fontId="29" fillId="7" borderId="117" xfId="0" applyNumberFormat="1" applyFont="1" applyFill="1" applyBorder="1" applyAlignment="1" applyProtection="1">
      <alignment horizontal="center" vertical="top"/>
    </xf>
    <xf numFmtId="0" fontId="27" fillId="7" borderId="123" xfId="0" applyFont="1" applyFill="1" applyBorder="1" applyAlignment="1" applyProtection="1">
      <alignment vertical="top"/>
    </xf>
    <xf numFmtId="207" fontId="29" fillId="7" borderId="124" xfId="0" applyNumberFormat="1" applyFont="1" applyFill="1" applyBorder="1" applyAlignment="1" applyProtection="1">
      <alignment horizontal="center" vertical="top"/>
    </xf>
    <xf numFmtId="0" fontId="27" fillId="8" borderId="99" xfId="0" applyFont="1" applyFill="1" applyBorder="1" applyAlignment="1" applyProtection="1">
      <alignment vertical="top"/>
    </xf>
    <xf numFmtId="207" fontId="29" fillId="8" borderId="101" xfId="0" applyNumberFormat="1" applyFont="1" applyFill="1" applyBorder="1" applyAlignment="1" applyProtection="1">
      <alignment horizontal="center" vertical="top"/>
    </xf>
    <xf numFmtId="0" fontId="27" fillId="8" borderId="123" xfId="0" applyFont="1" applyFill="1" applyBorder="1" applyAlignment="1" applyProtection="1">
      <alignment vertical="top"/>
    </xf>
    <xf numFmtId="207" fontId="29" fillId="8" borderId="125" xfId="0" applyNumberFormat="1" applyFont="1" applyFill="1" applyBorder="1" applyAlignment="1" applyProtection="1">
      <alignment horizontal="center" vertical="top"/>
    </xf>
    <xf numFmtId="0" fontId="27" fillId="19" borderId="99" xfId="0" applyFont="1" applyFill="1" applyBorder="1" applyAlignment="1" applyProtection="1">
      <alignment vertical="top"/>
    </xf>
    <xf numFmtId="207" fontId="29" fillId="19" borderId="117" xfId="0" applyNumberFormat="1" applyFont="1" applyFill="1" applyBorder="1" applyAlignment="1" applyProtection="1">
      <alignment horizontal="center" vertical="top"/>
    </xf>
    <xf numFmtId="207" fontId="29" fillId="19" borderId="101" xfId="0" applyNumberFormat="1" applyFont="1" applyFill="1" applyBorder="1" applyAlignment="1" applyProtection="1">
      <alignment horizontal="center" vertical="top"/>
    </xf>
    <xf numFmtId="207" fontId="29" fillId="19" borderId="124" xfId="0" applyNumberFormat="1" applyFont="1" applyFill="1" applyBorder="1" applyAlignment="1" applyProtection="1">
      <alignment horizontal="center" vertical="top"/>
    </xf>
    <xf numFmtId="0" fontId="27" fillId="4" borderId="99" xfId="0" applyFont="1" applyFill="1" applyBorder="1" applyAlignment="1" applyProtection="1">
      <alignment vertical="top"/>
    </xf>
    <xf numFmtId="207" fontId="29" fillId="4" borderId="126" xfId="0" applyNumberFormat="1" applyFont="1" applyFill="1" applyBorder="1" applyAlignment="1" applyProtection="1">
      <alignment vertical="top"/>
    </xf>
    <xf numFmtId="0" fontId="26" fillId="11" borderId="99" xfId="0" applyFont="1" applyFill="1" applyBorder="1" applyAlignment="1" applyProtection="1">
      <alignment vertical="top"/>
    </xf>
    <xf numFmtId="207" fontId="29" fillId="11" borderId="117" xfId="0" applyNumberFormat="1" applyFont="1" applyFill="1" applyBorder="1" applyAlignment="1" applyProtection="1">
      <alignment horizontal="center" vertical="top"/>
    </xf>
    <xf numFmtId="0" fontId="26" fillId="11" borderId="123" xfId="0" applyFont="1" applyFill="1" applyBorder="1" applyAlignment="1" applyProtection="1">
      <alignment vertical="top"/>
    </xf>
    <xf numFmtId="0" fontId="26" fillId="4" borderId="123" xfId="0" applyFont="1" applyFill="1" applyBorder="1" applyAlignment="1" applyProtection="1">
      <alignment vertical="top"/>
    </xf>
    <xf numFmtId="207" fontId="29" fillId="4" borderId="103" xfId="0" applyNumberFormat="1" applyFont="1" applyFill="1" applyBorder="1" applyAlignment="1" applyProtection="1">
      <alignment horizontal="center" vertical="top"/>
    </xf>
    <xf numFmtId="207" fontId="29" fillId="7" borderId="101" xfId="0" applyNumberFormat="1" applyFont="1" applyFill="1" applyBorder="1" applyAlignment="1" applyProtection="1">
      <alignment horizontal="center" vertical="top"/>
    </xf>
    <xf numFmtId="207" fontId="29" fillId="8" borderId="117" xfId="0" applyNumberFormat="1" applyFont="1" applyFill="1" applyBorder="1" applyAlignment="1" applyProtection="1">
      <alignment horizontal="center" vertical="top"/>
    </xf>
    <xf numFmtId="0" fontId="27" fillId="19" borderId="87" xfId="0" applyFont="1" applyFill="1" applyBorder="1" applyAlignment="1" applyProtection="1">
      <alignment vertical="top"/>
    </xf>
    <xf numFmtId="207" fontId="29" fillId="19" borderId="118" xfId="0" applyNumberFormat="1" applyFont="1" applyFill="1" applyBorder="1" applyAlignment="1" applyProtection="1">
      <alignment horizontal="center" vertical="top"/>
    </xf>
    <xf numFmtId="207" fontId="29" fillId="19" borderId="127" xfId="0" applyNumberFormat="1" applyFont="1" applyFill="1" applyBorder="1" applyAlignment="1" applyProtection="1">
      <alignment horizontal="center" vertical="top"/>
    </xf>
    <xf numFmtId="207" fontId="29" fillId="19" borderId="119" xfId="0" applyNumberFormat="1" applyFont="1" applyFill="1" applyBorder="1" applyAlignment="1" applyProtection="1">
      <alignment horizontal="center" vertical="top"/>
    </xf>
    <xf numFmtId="0" fontId="12" fillId="4" borderId="128" xfId="0" applyFont="1" applyFill="1" applyBorder="1" applyAlignment="1" applyProtection="1">
      <alignment horizontal="center" vertical="top"/>
      <protection locked="0"/>
    </xf>
    <xf numFmtId="0" fontId="12" fillId="4" borderId="56" xfId="0" applyFont="1" applyFill="1" applyBorder="1" applyAlignment="1" applyProtection="1">
      <alignment horizontal="center" vertical="top"/>
      <protection locked="0"/>
    </xf>
    <xf numFmtId="0" fontId="12" fillId="4" borderId="129" xfId="0" applyFont="1" applyFill="1" applyBorder="1" applyAlignment="1" applyProtection="1">
      <alignment horizontal="center" vertical="top"/>
      <protection locked="0"/>
    </xf>
    <xf numFmtId="0" fontId="12" fillId="4" borderId="130" xfId="0" applyFont="1" applyFill="1" applyBorder="1" applyAlignment="1" applyProtection="1">
      <alignment horizontal="center" vertical="top"/>
      <protection locked="0"/>
    </xf>
    <xf numFmtId="1" fontId="29" fillId="6" borderId="131" xfId="0" applyNumberFormat="1" applyFont="1" applyFill="1" applyBorder="1" applyAlignment="1" applyProtection="1">
      <alignment horizontal="center" vertical="top"/>
      <protection locked="0"/>
    </xf>
    <xf numFmtId="1" fontId="29" fillId="6" borderId="132" xfId="0" applyNumberFormat="1" applyFont="1" applyFill="1" applyBorder="1" applyAlignment="1" applyProtection="1">
      <alignment horizontal="center" vertical="top"/>
      <protection locked="0"/>
    </xf>
    <xf numFmtId="1" fontId="29" fillId="6" borderId="133" xfId="0" applyNumberFormat="1" applyFont="1" applyFill="1" applyBorder="1" applyAlignment="1" applyProtection="1">
      <alignment horizontal="center" vertical="top"/>
      <protection locked="0"/>
    </xf>
    <xf numFmtId="241" fontId="62" fillId="4" borderId="134" xfId="0" applyNumberFormat="1" applyFont="1" applyFill="1" applyBorder="1" applyAlignment="1" applyProtection="1">
      <alignment horizontal="centerContinuous"/>
      <protection locked="0"/>
    </xf>
    <xf numFmtId="207" fontId="29" fillId="11" borderId="53" xfId="0" applyNumberFormat="1" applyFont="1" applyFill="1" applyBorder="1" applyAlignment="1" applyProtection="1">
      <alignment horizontal="center" vertical="top"/>
    </xf>
    <xf numFmtId="0" fontId="59" fillId="4" borderId="131" xfId="0" applyFont="1" applyFill="1" applyBorder="1" applyProtection="1"/>
    <xf numFmtId="207" fontId="29" fillId="4" borderId="135" xfId="0" applyNumberFormat="1" applyFont="1" applyFill="1" applyBorder="1" applyAlignment="1" applyProtection="1">
      <alignment vertical="top"/>
    </xf>
    <xf numFmtId="207" fontId="29" fillId="4" borderId="136" xfId="0" applyNumberFormat="1" applyFont="1" applyFill="1" applyBorder="1" applyAlignment="1" applyProtection="1">
      <alignment vertical="top"/>
    </xf>
    <xf numFmtId="0" fontId="26" fillId="4" borderId="99" xfId="0" applyFont="1" applyFill="1" applyBorder="1" applyProtection="1"/>
    <xf numFmtId="207" fontId="29" fillId="4" borderId="101" xfId="0" applyNumberFormat="1" applyFont="1" applyFill="1" applyBorder="1" applyAlignment="1" applyProtection="1">
      <alignment vertical="top"/>
    </xf>
    <xf numFmtId="0" fontId="59" fillId="4" borderId="137" xfId="0" applyFont="1" applyFill="1" applyBorder="1" applyAlignment="1" applyProtection="1">
      <alignment vertical="top"/>
    </xf>
    <xf numFmtId="0" fontId="43" fillId="21" borderId="72" xfId="0" applyFont="1" applyFill="1" applyBorder="1" applyAlignment="1">
      <alignment wrapText="1"/>
    </xf>
    <xf numFmtId="0" fontId="43" fillId="2" borderId="72" xfId="0" applyFont="1" applyFill="1" applyBorder="1" applyAlignment="1">
      <alignment wrapText="1"/>
    </xf>
    <xf numFmtId="0" fontId="43" fillId="13" borderId="72" xfId="0" applyFont="1" applyFill="1" applyBorder="1" applyAlignment="1">
      <alignment wrapText="1"/>
    </xf>
    <xf numFmtId="0" fontId="54" fillId="11" borderId="3" xfId="0" applyFont="1" applyFill="1" applyBorder="1" applyAlignment="1">
      <alignment wrapText="1"/>
    </xf>
    <xf numFmtId="2" fontId="54" fillId="11" borderId="3" xfId="0" applyNumberFormat="1" applyFont="1" applyFill="1" applyBorder="1" applyAlignment="1">
      <alignment wrapText="1"/>
    </xf>
    <xf numFmtId="0" fontId="43" fillId="13" borderId="138" xfId="0" applyFont="1" applyFill="1" applyBorder="1" applyAlignment="1">
      <alignment wrapText="1"/>
    </xf>
    <xf numFmtId="0" fontId="54" fillId="2" borderId="83" xfId="0" applyFont="1" applyFill="1" applyBorder="1" applyAlignment="1">
      <alignment wrapText="1"/>
    </xf>
    <xf numFmtId="0" fontId="43" fillId="11" borderId="72" xfId="0" applyFont="1" applyFill="1" applyBorder="1" applyAlignment="1">
      <alignment wrapText="1"/>
    </xf>
    <xf numFmtId="201" fontId="32" fillId="0" borderId="0" xfId="0" applyNumberFormat="1" applyFont="1" applyBorder="1" applyAlignment="1">
      <alignment horizontal="center"/>
    </xf>
    <xf numFmtId="207" fontId="28" fillId="4" borderId="139" xfId="1" applyNumberFormat="1" applyFont="1" applyFill="1" applyBorder="1" applyProtection="1">
      <protection locked="0"/>
    </xf>
    <xf numFmtId="207" fontId="29" fillId="11" borderId="124" xfId="0" applyNumberFormat="1" applyFont="1" applyFill="1" applyBorder="1" applyAlignment="1" applyProtection="1">
      <alignment horizontal="center" vertical="top"/>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1" borderId="0" xfId="0" applyFont="1" applyFill="1"/>
    <xf numFmtId="0" fontId="3" fillId="21" borderId="0" xfId="0" applyFont="1" applyFill="1" applyProtection="1">
      <protection locked="0"/>
    </xf>
    <xf numFmtId="165" fontId="54" fillId="2" borderId="0" xfId="1" applyNumberFormat="1" applyFont="1" applyFill="1" applyBorder="1"/>
    <xf numFmtId="2" fontId="4" fillId="2" borderId="0" xfId="0" applyNumberFormat="1" applyFont="1" applyFill="1" applyBorder="1"/>
    <xf numFmtId="0" fontId="54" fillId="2" borderId="0" xfId="0" applyFont="1" applyFill="1" applyBorder="1" applyAlignment="1">
      <alignment wrapText="1"/>
    </xf>
    <xf numFmtId="4" fontId="54" fillId="14" borderId="83" xfId="0" applyNumberFormat="1" applyFont="1" applyFill="1" applyBorder="1" applyAlignment="1">
      <alignment wrapText="1"/>
    </xf>
    <xf numFmtId="0" fontId="67" fillId="2" borderId="0" xfId="0" applyFont="1" applyFill="1" applyBorder="1" applyAlignment="1">
      <alignment wrapText="1"/>
    </xf>
    <xf numFmtId="207" fontId="20" fillId="4" borderId="89" xfId="0" applyNumberFormat="1" applyFont="1" applyFill="1" applyBorder="1" applyAlignment="1" applyProtection="1">
      <alignment horizontal="center" vertical="top"/>
    </xf>
    <xf numFmtId="207" fontId="20" fillId="4" borderId="119" xfId="0" applyNumberFormat="1" applyFont="1" applyFill="1" applyBorder="1" applyAlignment="1" applyProtection="1">
      <alignment horizontal="center" vertical="top"/>
    </xf>
    <xf numFmtId="0" fontId="54" fillId="2" borderId="1" xfId="0" applyFont="1" applyFill="1" applyBorder="1" applyAlignment="1">
      <alignment wrapText="1"/>
    </xf>
    <xf numFmtId="207" fontId="29" fillId="16" borderId="56" xfId="0" applyNumberFormat="1" applyFont="1" applyFill="1" applyBorder="1" applyAlignment="1" applyProtection="1">
      <alignment horizontal="center" vertical="top"/>
    </xf>
    <xf numFmtId="0" fontId="32" fillId="4" borderId="72" xfId="0" applyFont="1" applyFill="1" applyBorder="1" applyAlignment="1">
      <alignment wrapText="1"/>
    </xf>
    <xf numFmtId="0" fontId="27" fillId="8" borderId="97" xfId="0" applyFont="1" applyFill="1" applyBorder="1" applyAlignment="1" applyProtection="1">
      <alignment vertical="top"/>
    </xf>
    <xf numFmtId="0" fontId="27" fillId="8" borderId="56" xfId="0" applyFont="1" applyFill="1" applyBorder="1" applyAlignment="1" applyProtection="1">
      <alignment vertical="top"/>
    </xf>
    <xf numFmtId="0" fontId="27" fillId="8" borderId="59" xfId="0" applyFont="1" applyFill="1" applyBorder="1" applyAlignment="1" applyProtection="1">
      <alignment vertical="top"/>
    </xf>
    <xf numFmtId="0" fontId="27" fillId="19" borderId="97" xfId="0" applyFont="1" applyFill="1" applyBorder="1" applyAlignment="1" applyProtection="1">
      <alignment vertical="top"/>
    </xf>
    <xf numFmtId="0" fontId="27" fillId="19" borderId="56" xfId="0" applyFont="1" applyFill="1" applyBorder="1" applyAlignment="1" applyProtection="1">
      <alignment vertical="top"/>
    </xf>
    <xf numFmtId="0" fontId="27" fillId="19" borderId="59" xfId="0" applyFont="1" applyFill="1" applyBorder="1" applyAlignment="1" applyProtection="1">
      <alignment vertical="top"/>
    </xf>
    <xf numFmtId="0" fontId="59" fillId="4" borderId="123" xfId="0" applyFont="1" applyFill="1" applyBorder="1" applyAlignment="1" applyProtection="1">
      <alignment vertical="top"/>
    </xf>
    <xf numFmtId="0" fontId="27" fillId="4" borderId="97" xfId="0" applyFont="1" applyFill="1" applyBorder="1" applyAlignment="1" applyProtection="1">
      <alignment vertical="top"/>
    </xf>
    <xf numFmtId="0" fontId="27" fillId="4" borderId="56" xfId="0" applyFont="1" applyFill="1" applyBorder="1" applyAlignment="1" applyProtection="1">
      <alignment vertical="top"/>
    </xf>
    <xf numFmtId="0" fontId="68" fillId="4" borderId="118" xfId="0" applyFont="1" applyFill="1" applyBorder="1" applyAlignment="1" applyProtection="1">
      <alignment vertical="top"/>
    </xf>
    <xf numFmtId="0" fontId="54" fillId="11" borderId="140" xfId="0" applyFont="1" applyFill="1" applyBorder="1" applyAlignment="1">
      <alignment wrapText="1"/>
    </xf>
    <xf numFmtId="0" fontId="54" fillId="11" borderId="72" xfId="0" applyFont="1" applyFill="1" applyBorder="1" applyAlignment="1">
      <alignment wrapText="1"/>
    </xf>
    <xf numFmtId="2" fontId="43" fillId="11" borderId="74" xfId="1" applyNumberFormat="1" applyFont="1" applyFill="1" applyBorder="1"/>
    <xf numFmtId="185" fontId="52" fillId="4" borderId="141" xfId="0" applyNumberFormat="1" applyFont="1" applyFill="1" applyBorder="1" applyAlignment="1" applyProtection="1">
      <alignment horizontal="center"/>
      <protection locked="0"/>
    </xf>
    <xf numFmtId="0" fontId="23" fillId="6" borderId="142" xfId="0" applyFont="1" applyFill="1" applyBorder="1" applyProtection="1">
      <protection locked="0"/>
    </xf>
    <xf numFmtId="0" fontId="23" fillId="4" borderId="143" xfId="0" applyFont="1" applyFill="1" applyBorder="1" applyAlignment="1" applyProtection="1">
      <alignment horizontal="right"/>
      <protection locked="0"/>
    </xf>
    <xf numFmtId="43" fontId="3" fillId="2" borderId="0" xfId="0" applyNumberFormat="1" applyFont="1" applyFill="1"/>
    <xf numFmtId="0" fontId="65" fillId="13" borderId="74" xfId="0" applyFont="1" applyFill="1" applyBorder="1" applyAlignment="1"/>
    <xf numFmtId="2" fontId="54" fillId="13" borderId="74" xfId="0" applyNumberFormat="1" applyFont="1" applyFill="1" applyBorder="1" applyAlignment="1">
      <alignment wrapText="1"/>
    </xf>
    <xf numFmtId="0" fontId="54" fillId="13" borderId="97" xfId="0" applyFont="1" applyFill="1" applyBorder="1" applyAlignment="1">
      <alignment wrapText="1"/>
    </xf>
    <xf numFmtId="0" fontId="54" fillId="13" borderId="75" xfId="0" applyFont="1" applyFill="1" applyBorder="1" applyAlignment="1">
      <alignment wrapText="1"/>
    </xf>
    <xf numFmtId="0" fontId="54" fillId="13" borderId="97" xfId="0" applyFont="1" applyFill="1" applyBorder="1" applyAlignment="1" applyProtection="1">
      <alignment wrapText="1"/>
      <protection locked="0"/>
    </xf>
    <xf numFmtId="0" fontId="32" fillId="13" borderId="83" xfId="0" applyFont="1" applyFill="1" applyBorder="1" applyAlignment="1">
      <alignment wrapText="1"/>
    </xf>
    <xf numFmtId="207" fontId="29" fillId="7" borderId="97" xfId="0" applyNumberFormat="1" applyFont="1" applyFill="1" applyBorder="1" applyAlignment="1" applyProtection="1">
      <alignment horizontal="center" vertical="top"/>
    </xf>
    <xf numFmtId="207" fontId="29" fillId="8" borderId="59" xfId="0" applyNumberFormat="1" applyFont="1" applyFill="1" applyBorder="1" applyAlignment="1" applyProtection="1">
      <alignment horizontal="center" vertical="top"/>
    </xf>
    <xf numFmtId="0" fontId="54" fillId="2" borderId="114" xfId="0" applyFont="1" applyFill="1" applyBorder="1" applyAlignment="1"/>
    <xf numFmtId="0" fontId="54" fillId="14" borderId="3" xfId="0" applyFont="1" applyFill="1" applyBorder="1" applyAlignment="1">
      <alignment wrapText="1"/>
    </xf>
    <xf numFmtId="0" fontId="54" fillId="14" borderId="72" xfId="0" applyFont="1" applyFill="1" applyBorder="1" applyAlignment="1">
      <alignment wrapText="1"/>
    </xf>
    <xf numFmtId="0" fontId="54" fillId="14" borderId="72" xfId="0" applyFont="1" applyFill="1" applyBorder="1" applyAlignment="1" applyProtection="1">
      <alignment wrapText="1"/>
      <protection locked="0"/>
    </xf>
    <xf numFmtId="201" fontId="45" fillId="2" borderId="0" xfId="0" applyNumberFormat="1" applyFont="1" applyFill="1"/>
    <xf numFmtId="0" fontId="32" fillId="13" borderId="74" xfId="0" applyFont="1" applyFill="1" applyBorder="1" applyAlignment="1">
      <alignment wrapText="1"/>
    </xf>
    <xf numFmtId="0" fontId="54" fillId="14" borderId="3" xfId="0" applyFont="1" applyFill="1" applyBorder="1" applyAlignment="1"/>
    <xf numFmtId="4" fontId="54" fillId="4" borderId="1" xfId="0" applyNumberFormat="1" applyFont="1" applyFill="1" applyBorder="1" applyAlignment="1">
      <alignment wrapText="1"/>
    </xf>
    <xf numFmtId="0" fontId="61" fillId="22" borderId="51" xfId="3" applyFont="1" applyFill="1" applyBorder="1" applyAlignment="1" applyProtection="1">
      <alignment vertical="top"/>
      <protection locked="0"/>
    </xf>
    <xf numFmtId="22" fontId="61" fillId="22" borderId="0" xfId="0" applyNumberFormat="1" applyFont="1" applyFill="1" applyBorder="1" applyAlignment="1" applyProtection="1">
      <alignment vertical="top"/>
      <protection locked="0"/>
    </xf>
    <xf numFmtId="206" fontId="29" fillId="22" borderId="0" xfId="0" applyNumberFormat="1" applyFont="1" applyFill="1" applyBorder="1" applyAlignment="1" applyProtection="1">
      <alignment vertical="top"/>
      <protection locked="0"/>
    </xf>
    <xf numFmtId="206" fontId="29" fillId="22" borderId="61" xfId="0" applyNumberFormat="1" applyFont="1" applyFill="1" applyBorder="1" applyAlignment="1" applyProtection="1">
      <alignment vertical="top"/>
      <protection locked="0"/>
    </xf>
    <xf numFmtId="0" fontId="59" fillId="4" borderId="144" xfId="0" applyFont="1" applyFill="1" applyBorder="1" applyAlignment="1" applyProtection="1">
      <alignment vertical="top"/>
      <protection locked="0"/>
    </xf>
    <xf numFmtId="207" fontId="20" fillId="4" borderId="145" xfId="0" applyNumberFormat="1" applyFont="1" applyFill="1" applyBorder="1" applyProtection="1">
      <protection locked="0"/>
    </xf>
    <xf numFmtId="0" fontId="24" fillId="4" borderId="84" xfId="0" applyFont="1" applyFill="1" applyBorder="1" applyAlignment="1" applyProtection="1">
      <alignment vertical="top"/>
      <protection locked="0"/>
    </xf>
    <xf numFmtId="0" fontId="29" fillId="4" borderId="85" xfId="0" applyFont="1" applyFill="1" applyBorder="1" applyAlignment="1" applyProtection="1">
      <alignment vertical="top"/>
      <protection locked="0"/>
    </xf>
    <xf numFmtId="206" fontId="29" fillId="4" borderId="85" xfId="0" applyNumberFormat="1" applyFont="1" applyFill="1" applyBorder="1" applyAlignment="1" applyProtection="1">
      <alignment vertical="top"/>
      <protection locked="0"/>
    </xf>
    <xf numFmtId="206" fontId="29" fillId="4" borderId="86" xfId="0" applyNumberFormat="1" applyFont="1" applyFill="1" applyBorder="1" applyAlignment="1" applyProtection="1">
      <alignment vertical="top"/>
      <protection locked="0"/>
    </xf>
    <xf numFmtId="0" fontId="27" fillId="6" borderId="99" xfId="0" applyFont="1" applyFill="1" applyBorder="1" applyAlignment="1" applyProtection="1">
      <alignment vertical="top"/>
      <protection locked="0"/>
    </xf>
    <xf numFmtId="207" fontId="29" fillId="6" borderId="117" xfId="0" applyNumberFormat="1" applyFont="1" applyFill="1" applyBorder="1" applyAlignment="1" applyProtection="1">
      <alignment horizontal="center" vertical="top"/>
      <protection locked="0"/>
    </xf>
    <xf numFmtId="0" fontId="27" fillId="6" borderId="146" xfId="0" applyFont="1" applyFill="1" applyBorder="1" applyAlignment="1" applyProtection="1">
      <alignment vertical="top"/>
      <protection locked="0"/>
    </xf>
    <xf numFmtId="207" fontId="29" fillId="6" borderId="147" xfId="0" applyNumberFormat="1" applyFont="1" applyFill="1" applyBorder="1" applyAlignment="1" applyProtection="1">
      <alignment horizontal="center" vertical="top"/>
      <protection locked="0"/>
    </xf>
    <xf numFmtId="0" fontId="59" fillId="4" borderId="148" xfId="0" applyFont="1" applyFill="1" applyBorder="1" applyAlignment="1" applyProtection="1">
      <alignment vertical="top"/>
      <protection locked="0"/>
    </xf>
    <xf numFmtId="207" fontId="28" fillId="4" borderId="149" xfId="1" applyNumberFormat="1" applyFont="1" applyFill="1" applyBorder="1" applyProtection="1">
      <protection locked="0"/>
    </xf>
    <xf numFmtId="207" fontId="24" fillId="4" borderId="149" xfId="0" applyNumberFormat="1" applyFont="1" applyFill="1" applyBorder="1" applyProtection="1">
      <protection locked="0"/>
    </xf>
    <xf numFmtId="207" fontId="24" fillId="4" borderId="150" xfId="0" applyNumberFormat="1" applyFont="1" applyFill="1" applyBorder="1" applyProtection="1">
      <protection locked="0"/>
    </xf>
    <xf numFmtId="0" fontId="65" fillId="4" borderId="74" xfId="0" applyFont="1" applyFill="1" applyBorder="1" applyAlignment="1"/>
    <xf numFmtId="0" fontId="32" fillId="4" borderId="74" xfId="0" applyFont="1" applyFill="1" applyBorder="1" applyAlignment="1">
      <alignment wrapText="1"/>
    </xf>
    <xf numFmtId="4" fontId="54" fillId="4" borderId="74" xfId="0" applyNumberFormat="1" applyFont="1" applyFill="1" applyBorder="1" applyAlignment="1">
      <alignment wrapText="1"/>
    </xf>
    <xf numFmtId="4" fontId="71" fillId="14" borderId="74" xfId="0" applyNumberFormat="1" applyFont="1" applyFill="1" applyBorder="1" applyAlignment="1">
      <alignment wrapText="1"/>
    </xf>
    <xf numFmtId="0" fontId="4" fillId="4" borderId="72" xfId="0" applyFont="1" applyFill="1" applyBorder="1" applyAlignment="1">
      <alignment wrapText="1"/>
    </xf>
    <xf numFmtId="0" fontId="4" fillId="4" borderId="83" xfId="0" applyFont="1" applyFill="1" applyBorder="1" applyAlignment="1">
      <alignment wrapText="1"/>
    </xf>
    <xf numFmtId="0" fontId="32" fillId="14" borderId="3" xfId="0" applyFont="1" applyFill="1" applyBorder="1" applyAlignment="1">
      <alignment wrapText="1"/>
    </xf>
    <xf numFmtId="0" fontId="32" fillId="4" borderId="97" xfId="0" applyFont="1" applyFill="1" applyBorder="1" applyAlignment="1">
      <alignment wrapText="1"/>
    </xf>
    <xf numFmtId="0" fontId="32" fillId="4" borderId="75" xfId="0" applyFont="1" applyFill="1" applyBorder="1" applyAlignment="1">
      <alignment wrapText="1"/>
    </xf>
    <xf numFmtId="0" fontId="8" fillId="2" borderId="0" xfId="4" applyFont="1" applyFill="1" applyAlignment="1">
      <alignment horizontal="right"/>
    </xf>
    <xf numFmtId="14" fontId="72" fillId="2" borderId="0" xfId="4" applyNumberFormat="1" applyFont="1" applyFill="1" applyBorder="1" applyAlignment="1">
      <alignment horizontal="center"/>
    </xf>
    <xf numFmtId="44" fontId="0" fillId="0" borderId="0" xfId="2" applyFont="1" applyAlignment="1">
      <alignment horizontal="center"/>
    </xf>
    <xf numFmtId="0" fontId="32" fillId="11" borderId="72" xfId="0" applyFont="1" applyFill="1" applyBorder="1" applyAlignment="1">
      <alignment wrapText="1"/>
    </xf>
    <xf numFmtId="1" fontId="54" fillId="11" borderId="151" xfId="0" applyNumberFormat="1" applyFont="1" applyFill="1" applyBorder="1"/>
    <xf numFmtId="0" fontId="54" fillId="2" borderId="0" xfId="0" applyFont="1" applyFill="1" applyBorder="1" applyAlignment="1"/>
    <xf numFmtId="0" fontId="54" fillId="2" borderId="83" xfId="0" applyFont="1" applyFill="1" applyBorder="1" applyAlignment="1" applyProtection="1">
      <alignment wrapText="1"/>
      <protection locked="0"/>
    </xf>
    <xf numFmtId="0" fontId="43" fillId="21" borderId="3" xfId="0" applyFont="1" applyFill="1" applyBorder="1" applyAlignment="1">
      <alignment wrapText="1"/>
    </xf>
    <xf numFmtId="0" fontId="54" fillId="14" borderId="74" xfId="0" applyFont="1" applyFill="1" applyBorder="1" applyAlignment="1"/>
    <xf numFmtId="4" fontId="54" fillId="4" borderId="83" xfId="0" applyNumberFormat="1" applyFont="1" applyFill="1" applyBorder="1" applyAlignment="1">
      <alignment wrapText="1"/>
    </xf>
    <xf numFmtId="0" fontId="54" fillId="13" borderId="74" xfId="0" applyFont="1" applyFill="1" applyBorder="1" applyAlignment="1">
      <alignment wrapText="1"/>
    </xf>
    <xf numFmtId="164" fontId="3" fillId="2" borderId="0" xfId="0" applyNumberFormat="1" applyFont="1" applyFill="1"/>
    <xf numFmtId="165" fontId="3" fillId="2" borderId="0" xfId="0" applyNumberFormat="1" applyFont="1" applyFill="1"/>
    <xf numFmtId="0" fontId="65" fillId="4" borderId="3" xfId="0" applyFont="1" applyFill="1" applyBorder="1" applyAlignment="1"/>
    <xf numFmtId="0" fontId="32" fillId="4" borderId="3" xfId="0" applyFont="1" applyFill="1" applyBorder="1" applyAlignment="1">
      <alignment wrapText="1"/>
    </xf>
    <xf numFmtId="4" fontId="54" fillId="4" borderId="3" xfId="0" applyNumberFormat="1" applyFont="1" applyFill="1" applyBorder="1" applyAlignment="1">
      <alignment wrapText="1"/>
    </xf>
    <xf numFmtId="0" fontId="32" fillId="2" borderId="0" xfId="0" applyFont="1" applyFill="1" applyBorder="1" applyAlignment="1">
      <alignment wrapText="1"/>
    </xf>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hartsheet" Target="chartsheets/sheet2.xml"/><Relationship Id="rId13" Type="http://schemas.openxmlformats.org/officeDocument/2006/relationships/worksheet" Target="worksheets/sheet11.xml"/><Relationship Id="rId18" Type="http://schemas.openxmlformats.org/officeDocument/2006/relationships/externalLink" Target="externalLinks/externalLink2.xml"/><Relationship Id="rId3" Type="http://schemas.openxmlformats.org/officeDocument/2006/relationships/chartsheet" Target="chartsheets/sheet1.xml"/><Relationship Id="rId21" Type="http://schemas.openxmlformats.org/officeDocument/2006/relationships/theme" Target="theme/theme1.xml"/><Relationship Id="rId7" Type="http://schemas.openxmlformats.org/officeDocument/2006/relationships/worksheet" Target="worksheets/sheet6.xml"/><Relationship Id="rId12" Type="http://schemas.openxmlformats.org/officeDocument/2006/relationships/worksheet" Target="worksheets/sheet10.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dialogsheet" Target="dialogsheets/sheet1.xml"/><Relationship Id="rId20"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worksheet" Target="worksheets/sheet5.xml"/><Relationship Id="rId11" Type="http://schemas.openxmlformats.org/officeDocument/2006/relationships/worksheet" Target="worksheets/sheet9.xml"/><Relationship Id="rId24" Type="http://schemas.openxmlformats.org/officeDocument/2006/relationships/calcChain" Target="calcChain.xml"/><Relationship Id="rId5" Type="http://schemas.openxmlformats.org/officeDocument/2006/relationships/worksheet" Target="worksheets/sheet4.xml"/><Relationship Id="rId15" Type="http://schemas.openxmlformats.org/officeDocument/2006/relationships/worksheet" Target="worksheets/sheet12.xml"/><Relationship Id="rId23" Type="http://schemas.openxmlformats.org/officeDocument/2006/relationships/sharedStrings" Target="sharedStrings.xml"/><Relationship Id="rId10" Type="http://schemas.openxmlformats.org/officeDocument/2006/relationships/worksheet" Target="worksheets/sheet8.xml"/><Relationship Id="rId19" Type="http://schemas.openxmlformats.org/officeDocument/2006/relationships/externalLink" Target="externalLinks/externalLink3.xml"/><Relationship Id="rId4" Type="http://schemas.openxmlformats.org/officeDocument/2006/relationships/worksheet" Target="worksheets/sheet3.xml"/><Relationship Id="rId9" Type="http://schemas.openxmlformats.org/officeDocument/2006/relationships/worksheet" Target="worksheets/sheet7.xml"/><Relationship Id="rId14" Type="http://schemas.openxmlformats.org/officeDocument/2006/relationships/chartsheet" Target="chartsheets/sheet3.xml"/><Relationship Id="rId22"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0562913907284767E-2"/>
          <c:y val="3.2608695652173912E-2"/>
          <c:w val="0.87831125827814582"/>
          <c:h val="0.90353260869565211"/>
        </c:manualLayout>
      </c:layout>
      <c:barChart>
        <c:barDir val="col"/>
        <c:grouping val="clustered"/>
        <c:varyColors val="0"/>
        <c:ser>
          <c:idx val="0"/>
          <c:order val="0"/>
          <c:spPr>
            <a:solidFill>
              <a:srgbClr val="9999FF"/>
            </a:solidFill>
            <a:ln w="12700">
              <a:solidFill>
                <a:srgbClr val="000000"/>
              </a:solidFill>
              <a:prstDash val="solid"/>
            </a:ln>
          </c:spPr>
          <c:invertIfNegative val="0"/>
          <c:val>
            <c:numRef>
              <c:f>Deals!#REF!</c:f>
              <c:numCache>
                <c:formatCode>General</c:formatCode>
                <c:ptCount val="1"/>
                <c:pt idx="0">
                  <c:v>1</c:v>
                </c:pt>
              </c:numCache>
            </c:numRef>
          </c:val>
          <c:extLst>
            <c:ext xmlns:c16="http://schemas.microsoft.com/office/drawing/2014/chart" uri="{C3380CC4-5D6E-409C-BE32-E72D297353CC}">
              <c16:uniqueId val="{00000000-D2AF-4418-B750-BECD889B1C68}"/>
            </c:ext>
          </c:extLst>
        </c:ser>
        <c:ser>
          <c:idx val="1"/>
          <c:order val="1"/>
          <c:spPr>
            <a:solidFill>
              <a:srgbClr val="993366"/>
            </a:solidFill>
            <a:ln w="12700">
              <a:solidFill>
                <a:srgbClr val="000000"/>
              </a:solidFill>
              <a:prstDash val="solid"/>
            </a:ln>
          </c:spPr>
          <c:invertIfNegative val="0"/>
          <c:val>
            <c:numRef>
              <c:f>Deals!#REF!</c:f>
              <c:numCache>
                <c:formatCode>General</c:formatCode>
                <c:ptCount val="1"/>
                <c:pt idx="0">
                  <c:v>1</c:v>
                </c:pt>
              </c:numCache>
            </c:numRef>
          </c:val>
          <c:extLst>
            <c:ext xmlns:c16="http://schemas.microsoft.com/office/drawing/2014/chart" uri="{C3380CC4-5D6E-409C-BE32-E72D297353CC}">
              <c16:uniqueId val="{00000001-D2AF-4418-B750-BECD889B1C68}"/>
            </c:ext>
          </c:extLst>
        </c:ser>
        <c:ser>
          <c:idx val="2"/>
          <c:order val="2"/>
          <c:spPr>
            <a:solidFill>
              <a:srgbClr val="FFFFCC"/>
            </a:solidFill>
            <a:ln w="12700">
              <a:solidFill>
                <a:srgbClr val="000000"/>
              </a:solidFill>
              <a:prstDash val="solid"/>
            </a:ln>
          </c:spPr>
          <c:invertIfNegative val="0"/>
          <c:val>
            <c:numRef>
              <c:f>Deals!#REF!</c:f>
              <c:numCache>
                <c:formatCode>General</c:formatCode>
                <c:ptCount val="1"/>
                <c:pt idx="0">
                  <c:v>1</c:v>
                </c:pt>
              </c:numCache>
            </c:numRef>
          </c:val>
          <c:extLst>
            <c:ext xmlns:c16="http://schemas.microsoft.com/office/drawing/2014/chart" uri="{C3380CC4-5D6E-409C-BE32-E72D297353CC}">
              <c16:uniqueId val="{00000002-D2AF-4418-B750-BECD889B1C68}"/>
            </c:ext>
          </c:extLst>
        </c:ser>
        <c:dLbls>
          <c:showLegendKey val="0"/>
          <c:showVal val="0"/>
          <c:showCatName val="0"/>
          <c:showSerName val="0"/>
          <c:showPercent val="0"/>
          <c:showBubbleSize val="0"/>
        </c:dLbls>
        <c:gapWidth val="150"/>
        <c:axId val="186677440"/>
        <c:axId val="1"/>
      </c:barChart>
      <c:catAx>
        <c:axId val="186677440"/>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950" b="0" i="0" u="none" strike="noStrike" baseline="0">
                <a:solidFill>
                  <a:srgbClr val="000000"/>
                </a:solidFill>
                <a:latin typeface="Arial"/>
                <a:ea typeface="Arial"/>
                <a:cs typeface="Arial"/>
              </a:defRPr>
            </a:pPr>
            <a:endParaRPr lang="en-US"/>
          </a:p>
        </c:txPr>
        <c:crossAx val="1"/>
        <c:crosses val="autoZero"/>
        <c:auto val="1"/>
        <c:lblAlgn val="ctr"/>
        <c:lblOffset val="100"/>
        <c:tickLblSkip val="1"/>
        <c:tickMarkSkip val="1"/>
        <c:noMultiLvlLbl val="0"/>
      </c:catAx>
      <c:valAx>
        <c:axId val="1"/>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950" b="0" i="0" u="none" strike="noStrike" baseline="0">
                <a:solidFill>
                  <a:srgbClr val="000000"/>
                </a:solidFill>
                <a:latin typeface="Arial"/>
                <a:ea typeface="Arial"/>
                <a:cs typeface="Arial"/>
              </a:defRPr>
            </a:pPr>
            <a:endParaRPr lang="en-US"/>
          </a:p>
        </c:txPr>
        <c:crossAx val="186677440"/>
        <c:crosses val="autoZero"/>
        <c:crossBetween val="between"/>
      </c:valAx>
      <c:spPr>
        <a:solidFill>
          <a:srgbClr val="C0C0C0"/>
        </a:solidFill>
        <a:ln w="12700">
          <a:solidFill>
            <a:srgbClr val="808080"/>
          </a:solidFill>
          <a:prstDash val="solid"/>
        </a:ln>
      </c:spPr>
    </c:plotArea>
    <c:legend>
      <c:legendPos val="r"/>
      <c:layout>
        <c:manualLayout>
          <c:xMode val="edge"/>
          <c:yMode val="edge"/>
          <c:x val="0.92963576158940397"/>
          <c:y val="0.43478260869565216"/>
          <c:w val="6.7052980132450341E-2"/>
          <c:h val="9.9184782608695635E-2"/>
        </c:manualLayout>
      </c:layout>
      <c:overlay val="0"/>
      <c:spPr>
        <a:solidFill>
          <a:srgbClr val="FFFFFF"/>
        </a:solidFill>
        <a:ln w="3175">
          <a:solidFill>
            <a:srgbClr val="000000"/>
          </a:solidFill>
          <a:prstDash val="solid"/>
        </a:ln>
      </c:spPr>
      <c:txPr>
        <a:bodyPr/>
        <a:lstStyle/>
        <a:p>
          <a:pPr>
            <a:defRPr sz="870" b="0" i="0" u="none" strike="noStrike" baseline="0">
              <a:solidFill>
                <a:srgbClr val="000000"/>
              </a:solidFill>
              <a:latin typeface="Arial"/>
              <a:ea typeface="Arial"/>
              <a:cs typeface="Arial"/>
            </a:defRPr>
          </a:pPr>
          <a:endParaRPr lang="en-US"/>
        </a:p>
      </c:txPr>
    </c:legend>
    <c:plotVisOnly val="1"/>
    <c:dispBlanksAs val="gap"/>
    <c:showDLblsOverMax val="0"/>
  </c:chart>
  <c:spPr>
    <a:noFill/>
    <a:ln w="6350">
      <a:noFill/>
    </a:ln>
  </c:spPr>
  <c:txPr>
    <a:bodyPr/>
    <a:lstStyle/>
    <a:p>
      <a:pPr>
        <a:defRPr sz="950" b="0" i="0" u="none" strike="noStrike" baseline="0">
          <a:solidFill>
            <a:srgbClr val="000000"/>
          </a:solidFill>
          <a:latin typeface="Arial"/>
          <a:ea typeface="Arial"/>
          <a:cs typeface="Arial"/>
        </a:defRPr>
      </a:pPr>
      <a:endParaRPr lang="en-US"/>
    </a:p>
  </c:txPr>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7185430463576157E-2"/>
          <c:y val="1.7663043478260872E-2"/>
          <c:w val="0.85099337748344372"/>
          <c:h val="0.84918478260869557"/>
        </c:manualLayout>
      </c:layout>
      <c:barChart>
        <c:barDir val="col"/>
        <c:grouping val="clustered"/>
        <c:varyColors val="0"/>
        <c:ser>
          <c:idx val="0"/>
          <c:order val="0"/>
          <c:spPr>
            <a:solidFill>
              <a:srgbClr val="9999FF"/>
            </a:solidFill>
            <a:ln w="12700">
              <a:solidFill>
                <a:srgbClr val="000000"/>
              </a:solidFill>
              <a:prstDash val="solid"/>
            </a:ln>
          </c:spPr>
          <c:invertIfNegative val="0"/>
          <c:cat>
            <c:strRef>
              <c:f>Preschedule!$A$1:$A$38</c:f>
              <c:strCache>
                <c:ptCount val="38"/>
                <c:pt idx="0">
                  <c:v>01-Dec-00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Preschedule!$B$1:$B$38</c:f>
              <c:numCache>
                <c:formatCode>mmmm\ d\,\ yyyy</c:formatCode>
                <c:ptCount val="38"/>
                <c:pt idx="1">
                  <c:v>0</c:v>
                </c:pt>
                <c:pt idx="2" formatCode="General">
                  <c:v>1</c:v>
                </c:pt>
                <c:pt idx="3" formatCode="0">
                  <c:v>600</c:v>
                </c:pt>
                <c:pt idx="4" formatCode="0;\-0;">
                  <c:v>25</c:v>
                </c:pt>
                <c:pt idx="7" formatCode="0;\-0;">
                  <c:v>0</c:v>
                </c:pt>
                <c:pt idx="9" formatCode="0;\-0;">
                  <c:v>-75</c:v>
                </c:pt>
                <c:pt idx="10" formatCode="0;\-0;">
                  <c:v>-1</c:v>
                </c:pt>
                <c:pt idx="12" formatCode="0;\-0;">
                  <c:v>0</c:v>
                </c:pt>
                <c:pt idx="13" formatCode="0;\-0;">
                  <c:v>-80</c:v>
                </c:pt>
                <c:pt idx="14" formatCode="0;\-0;">
                  <c:v>0</c:v>
                </c:pt>
                <c:pt idx="16" formatCode="0;\-0;">
                  <c:v>0</c:v>
                </c:pt>
                <c:pt idx="17" formatCode="0;\-0;">
                  <c:v>-50</c:v>
                </c:pt>
                <c:pt idx="20" formatCode="0;\-0;">
                  <c:v>0</c:v>
                </c:pt>
                <c:pt idx="22" formatCode="0;\-0;">
                  <c:v>150</c:v>
                </c:pt>
                <c:pt idx="23" formatCode="0;\-0;">
                  <c:v>11</c:v>
                </c:pt>
                <c:pt idx="25" formatCode="0;\-0;">
                  <c:v>120</c:v>
                </c:pt>
                <c:pt idx="26" formatCode="0;\-0;">
                  <c:v>0</c:v>
                </c:pt>
                <c:pt idx="27" formatCode="0;\-0;">
                  <c:v>0</c:v>
                </c:pt>
                <c:pt idx="28" formatCode="0;\-0;">
                  <c:v>130</c:v>
                </c:pt>
                <c:pt idx="29" formatCode="0;\-0;">
                  <c:v>0</c:v>
                </c:pt>
                <c:pt idx="30" formatCode="0;\-0;">
                  <c:v>50</c:v>
                </c:pt>
                <c:pt idx="31" formatCode="0;\-0;">
                  <c:v>0</c:v>
                </c:pt>
                <c:pt idx="33" formatCode="0;\-0;">
                  <c:v>0</c:v>
                </c:pt>
                <c:pt idx="34" formatCode="0;\-0;">
                  <c:v>0</c:v>
                </c:pt>
                <c:pt idx="35" formatCode="0;\-0;">
                  <c:v>0</c:v>
                </c:pt>
                <c:pt idx="37" formatCode="0;\-0;">
                  <c:v>1086</c:v>
                </c:pt>
              </c:numCache>
            </c:numRef>
          </c:val>
          <c:extLst>
            <c:ext xmlns:c16="http://schemas.microsoft.com/office/drawing/2014/chart" uri="{C3380CC4-5D6E-409C-BE32-E72D297353CC}">
              <c16:uniqueId val="{00000000-6072-4DE2-815B-BCAA68CF4EC8}"/>
            </c:ext>
          </c:extLst>
        </c:ser>
        <c:ser>
          <c:idx val="1"/>
          <c:order val="1"/>
          <c:spPr>
            <a:solidFill>
              <a:srgbClr val="993366"/>
            </a:solidFill>
            <a:ln w="12700">
              <a:solidFill>
                <a:srgbClr val="000000"/>
              </a:solidFill>
              <a:prstDash val="solid"/>
            </a:ln>
          </c:spPr>
          <c:invertIfNegative val="0"/>
          <c:cat>
            <c:strRef>
              <c:f>Preschedule!$A$1:$A$38</c:f>
              <c:strCache>
                <c:ptCount val="38"/>
                <c:pt idx="0">
                  <c:v>01-Dec-00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Preschedule!$C$1:$C$38</c:f>
              <c:numCache>
                <c:formatCode>mmmm\ d\,\ yyyy</c:formatCode>
                <c:ptCount val="38"/>
                <c:pt idx="1">
                  <c:v>0</c:v>
                </c:pt>
                <c:pt idx="2" formatCode="General">
                  <c:v>2</c:v>
                </c:pt>
                <c:pt idx="3" formatCode="0">
                  <c:v>596</c:v>
                </c:pt>
                <c:pt idx="4" formatCode="0;\-0;">
                  <c:v>25</c:v>
                </c:pt>
                <c:pt idx="7" formatCode="0;\-0;">
                  <c:v>0</c:v>
                </c:pt>
                <c:pt idx="9" formatCode="0;\-0;">
                  <c:v>0</c:v>
                </c:pt>
                <c:pt idx="10" formatCode="0;\-0;">
                  <c:v>0</c:v>
                </c:pt>
                <c:pt idx="12" formatCode="0;\-0;">
                  <c:v>0</c:v>
                </c:pt>
                <c:pt idx="13" formatCode="0;\-0;">
                  <c:v>0</c:v>
                </c:pt>
                <c:pt idx="14" formatCode="0;\-0;">
                  <c:v>0</c:v>
                </c:pt>
                <c:pt idx="16" formatCode="0;\-0;">
                  <c:v>0</c:v>
                </c:pt>
                <c:pt idx="17" formatCode="0;\-0;">
                  <c:v>-50</c:v>
                </c:pt>
                <c:pt idx="20" formatCode="0;\-0;">
                  <c:v>0</c:v>
                </c:pt>
                <c:pt idx="22" formatCode="0;\-0;">
                  <c:v>100</c:v>
                </c:pt>
                <c:pt idx="23" formatCode="0;\-0;">
                  <c:v>1</c:v>
                </c:pt>
                <c:pt idx="25" formatCode="0;\-0;">
                  <c:v>100</c:v>
                </c:pt>
                <c:pt idx="26" formatCode="0;\-0;">
                  <c:v>0</c:v>
                </c:pt>
                <c:pt idx="27" formatCode="0;\-0;">
                  <c:v>0</c:v>
                </c:pt>
                <c:pt idx="28" formatCode="0;\-0;">
                  <c:v>165</c:v>
                </c:pt>
                <c:pt idx="29" formatCode="0;\-0;">
                  <c:v>0</c:v>
                </c:pt>
                <c:pt idx="30" formatCode="0;\-0;">
                  <c:v>0</c:v>
                </c:pt>
                <c:pt idx="31" formatCode="0;\-0;">
                  <c:v>0</c:v>
                </c:pt>
                <c:pt idx="33" formatCode="0;\-0;">
                  <c:v>0</c:v>
                </c:pt>
                <c:pt idx="34" formatCode="0;\-0;">
                  <c:v>0</c:v>
                </c:pt>
                <c:pt idx="35" formatCode="0;\-0;">
                  <c:v>0</c:v>
                </c:pt>
                <c:pt idx="37" formatCode="0;\-0;">
                  <c:v>987</c:v>
                </c:pt>
              </c:numCache>
            </c:numRef>
          </c:val>
          <c:extLst>
            <c:ext xmlns:c16="http://schemas.microsoft.com/office/drawing/2014/chart" uri="{C3380CC4-5D6E-409C-BE32-E72D297353CC}">
              <c16:uniqueId val="{00000001-6072-4DE2-815B-BCAA68CF4EC8}"/>
            </c:ext>
          </c:extLst>
        </c:ser>
        <c:ser>
          <c:idx val="2"/>
          <c:order val="2"/>
          <c:spPr>
            <a:solidFill>
              <a:srgbClr val="FFFFCC"/>
            </a:solidFill>
            <a:ln w="12700">
              <a:solidFill>
                <a:srgbClr val="000000"/>
              </a:solidFill>
              <a:prstDash val="solid"/>
            </a:ln>
          </c:spPr>
          <c:invertIfNegative val="0"/>
          <c:cat>
            <c:strRef>
              <c:f>Preschedule!$A$1:$A$38</c:f>
              <c:strCache>
                <c:ptCount val="38"/>
                <c:pt idx="0">
                  <c:v>01-Dec-00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Preschedule!$D$1:$D$38</c:f>
              <c:numCache>
                <c:formatCode>mmmm\ d\,\ yyyy</c:formatCode>
                <c:ptCount val="38"/>
                <c:pt idx="1">
                  <c:v>0</c:v>
                </c:pt>
                <c:pt idx="2" formatCode="General">
                  <c:v>3</c:v>
                </c:pt>
                <c:pt idx="3" formatCode="0">
                  <c:v>575</c:v>
                </c:pt>
                <c:pt idx="4" formatCode="0;\-0;">
                  <c:v>25</c:v>
                </c:pt>
                <c:pt idx="7" formatCode="0;\-0;">
                  <c:v>0</c:v>
                </c:pt>
                <c:pt idx="9" formatCode="0;\-0;">
                  <c:v>0</c:v>
                </c:pt>
                <c:pt idx="10" formatCode="0;\-0;">
                  <c:v>0</c:v>
                </c:pt>
                <c:pt idx="12" formatCode="0;\-0;">
                  <c:v>0</c:v>
                </c:pt>
                <c:pt idx="13" formatCode="0;\-0;">
                  <c:v>0</c:v>
                </c:pt>
                <c:pt idx="14" formatCode="0;\-0;">
                  <c:v>0</c:v>
                </c:pt>
                <c:pt idx="16" formatCode="0;\-0;">
                  <c:v>0</c:v>
                </c:pt>
                <c:pt idx="17" formatCode="0;\-0;">
                  <c:v>-50</c:v>
                </c:pt>
                <c:pt idx="20" formatCode="0;\-0;">
                  <c:v>0</c:v>
                </c:pt>
                <c:pt idx="22" formatCode="0;\-0;">
                  <c:v>75</c:v>
                </c:pt>
                <c:pt idx="23" formatCode="0;\-0;">
                  <c:v>1</c:v>
                </c:pt>
                <c:pt idx="25" formatCode="0;\-0;">
                  <c:v>100</c:v>
                </c:pt>
                <c:pt idx="26" formatCode="0;\-0;">
                  <c:v>0</c:v>
                </c:pt>
                <c:pt idx="27" formatCode="0;\-0;">
                  <c:v>33</c:v>
                </c:pt>
                <c:pt idx="28" formatCode="0;\-0;">
                  <c:v>165</c:v>
                </c:pt>
                <c:pt idx="29" formatCode="0;\-0;">
                  <c:v>0</c:v>
                </c:pt>
                <c:pt idx="30" formatCode="0;\-0;">
                  <c:v>0</c:v>
                </c:pt>
                <c:pt idx="33" formatCode="0;\-0;">
                  <c:v>0</c:v>
                </c:pt>
                <c:pt idx="34" formatCode="0;\-0;">
                  <c:v>0</c:v>
                </c:pt>
                <c:pt idx="35" formatCode="0;\-0;">
                  <c:v>0</c:v>
                </c:pt>
                <c:pt idx="37" formatCode="0;\-0;">
                  <c:v>974</c:v>
                </c:pt>
              </c:numCache>
            </c:numRef>
          </c:val>
          <c:extLst>
            <c:ext xmlns:c16="http://schemas.microsoft.com/office/drawing/2014/chart" uri="{C3380CC4-5D6E-409C-BE32-E72D297353CC}">
              <c16:uniqueId val="{00000002-6072-4DE2-815B-BCAA68CF4EC8}"/>
            </c:ext>
          </c:extLst>
        </c:ser>
        <c:ser>
          <c:idx val="3"/>
          <c:order val="3"/>
          <c:spPr>
            <a:solidFill>
              <a:srgbClr val="CCFFFF"/>
            </a:solidFill>
            <a:ln w="12700">
              <a:solidFill>
                <a:srgbClr val="000000"/>
              </a:solidFill>
              <a:prstDash val="solid"/>
            </a:ln>
          </c:spPr>
          <c:invertIfNegative val="0"/>
          <c:cat>
            <c:strRef>
              <c:f>Preschedule!$A$1:$A$38</c:f>
              <c:strCache>
                <c:ptCount val="38"/>
                <c:pt idx="0">
                  <c:v>01-Dec-00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Preschedule!$E$1:$E$38</c:f>
              <c:numCache>
                <c:formatCode>mmmm\ d\,\ yyyy</c:formatCode>
                <c:ptCount val="38"/>
                <c:pt idx="1">
                  <c:v>0</c:v>
                </c:pt>
                <c:pt idx="2" formatCode="General">
                  <c:v>4</c:v>
                </c:pt>
                <c:pt idx="3" formatCode="0">
                  <c:v>582</c:v>
                </c:pt>
                <c:pt idx="4" formatCode="0;\-0;">
                  <c:v>25</c:v>
                </c:pt>
                <c:pt idx="7" formatCode="0;\-0;">
                  <c:v>0</c:v>
                </c:pt>
                <c:pt idx="8" formatCode="0;\-0;">
                  <c:v>0</c:v>
                </c:pt>
                <c:pt idx="9" formatCode="0;\-0;">
                  <c:v>0</c:v>
                </c:pt>
                <c:pt idx="10" formatCode="0;\-0;">
                  <c:v>0</c:v>
                </c:pt>
                <c:pt idx="12" formatCode="0;\-0;">
                  <c:v>0</c:v>
                </c:pt>
                <c:pt idx="13" formatCode="0;\-0;">
                  <c:v>0</c:v>
                </c:pt>
                <c:pt idx="14" formatCode="0;\-0;">
                  <c:v>0</c:v>
                </c:pt>
                <c:pt idx="16" formatCode="0;\-0;">
                  <c:v>0</c:v>
                </c:pt>
                <c:pt idx="17" formatCode="0;\-0;">
                  <c:v>-50</c:v>
                </c:pt>
                <c:pt idx="20" formatCode="0;\-0;">
                  <c:v>0</c:v>
                </c:pt>
                <c:pt idx="22" formatCode="0;\-0;">
                  <c:v>75</c:v>
                </c:pt>
                <c:pt idx="23" formatCode="0;\-0;">
                  <c:v>1</c:v>
                </c:pt>
                <c:pt idx="25" formatCode="0;\-0;">
                  <c:v>90</c:v>
                </c:pt>
                <c:pt idx="26" formatCode="0;\-0;">
                  <c:v>0</c:v>
                </c:pt>
                <c:pt idx="27" formatCode="0;\-0;">
                  <c:v>30</c:v>
                </c:pt>
                <c:pt idx="28" formatCode="0;\-0;">
                  <c:v>175</c:v>
                </c:pt>
                <c:pt idx="29" formatCode="0;\-0;">
                  <c:v>0</c:v>
                </c:pt>
                <c:pt idx="30" formatCode="0;\-0;">
                  <c:v>0</c:v>
                </c:pt>
                <c:pt idx="31" formatCode="0;\-0;">
                  <c:v>0</c:v>
                </c:pt>
                <c:pt idx="33" formatCode="0;\-0;">
                  <c:v>0</c:v>
                </c:pt>
                <c:pt idx="34" formatCode="0;\-0;">
                  <c:v>0</c:v>
                </c:pt>
                <c:pt idx="35" formatCode="0;\-0;">
                  <c:v>0</c:v>
                </c:pt>
                <c:pt idx="37" formatCode="0;\-0;">
                  <c:v>978</c:v>
                </c:pt>
              </c:numCache>
            </c:numRef>
          </c:val>
          <c:extLst>
            <c:ext xmlns:c16="http://schemas.microsoft.com/office/drawing/2014/chart" uri="{C3380CC4-5D6E-409C-BE32-E72D297353CC}">
              <c16:uniqueId val="{00000003-6072-4DE2-815B-BCAA68CF4EC8}"/>
            </c:ext>
          </c:extLst>
        </c:ser>
        <c:ser>
          <c:idx val="4"/>
          <c:order val="4"/>
          <c:spPr>
            <a:solidFill>
              <a:srgbClr val="660066"/>
            </a:solidFill>
            <a:ln w="12700">
              <a:solidFill>
                <a:srgbClr val="000000"/>
              </a:solidFill>
              <a:prstDash val="solid"/>
            </a:ln>
          </c:spPr>
          <c:invertIfNegative val="0"/>
          <c:cat>
            <c:strRef>
              <c:f>Preschedule!$A$1:$A$38</c:f>
              <c:strCache>
                <c:ptCount val="38"/>
                <c:pt idx="0">
                  <c:v>01-Dec-00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Preschedule!$F$1:$F$38</c:f>
              <c:numCache>
                <c:formatCode>mmmm\ d\,\ yyyy</c:formatCode>
                <c:ptCount val="38"/>
                <c:pt idx="1">
                  <c:v>0</c:v>
                </c:pt>
                <c:pt idx="2" formatCode="General">
                  <c:v>5</c:v>
                </c:pt>
                <c:pt idx="3" formatCode="0">
                  <c:v>583</c:v>
                </c:pt>
                <c:pt idx="4" formatCode="0;\-0;">
                  <c:v>25</c:v>
                </c:pt>
                <c:pt idx="7" formatCode="0;\-0;">
                  <c:v>0</c:v>
                </c:pt>
                <c:pt idx="8" formatCode="0;\-0;">
                  <c:v>0</c:v>
                </c:pt>
                <c:pt idx="9" formatCode="0;\-0;">
                  <c:v>0</c:v>
                </c:pt>
                <c:pt idx="10" formatCode="0;\-0;">
                  <c:v>0</c:v>
                </c:pt>
                <c:pt idx="12" formatCode="0;\-0;">
                  <c:v>0</c:v>
                </c:pt>
                <c:pt idx="13" formatCode="0;\-0;">
                  <c:v>0</c:v>
                </c:pt>
                <c:pt idx="14" formatCode="0;\-0;">
                  <c:v>0</c:v>
                </c:pt>
                <c:pt idx="16" formatCode="0;\-0;">
                  <c:v>0</c:v>
                </c:pt>
                <c:pt idx="17" formatCode="0;\-0;">
                  <c:v>-50</c:v>
                </c:pt>
                <c:pt idx="20" formatCode="0;\-0;">
                  <c:v>0</c:v>
                </c:pt>
                <c:pt idx="22" formatCode="0;\-0;">
                  <c:v>75</c:v>
                </c:pt>
                <c:pt idx="23" formatCode="0;\-0;">
                  <c:v>1</c:v>
                </c:pt>
                <c:pt idx="25" formatCode="0;\-0;">
                  <c:v>90</c:v>
                </c:pt>
                <c:pt idx="26" formatCode="0;\-0;">
                  <c:v>0</c:v>
                </c:pt>
                <c:pt idx="27" formatCode="0;\-0;">
                  <c:v>30</c:v>
                </c:pt>
                <c:pt idx="28" formatCode="0;\-0;">
                  <c:v>170</c:v>
                </c:pt>
                <c:pt idx="29" formatCode="0;\-0;">
                  <c:v>0</c:v>
                </c:pt>
                <c:pt idx="30" formatCode="0;\-0;">
                  <c:v>0</c:v>
                </c:pt>
                <c:pt idx="31" formatCode="0;\-0;">
                  <c:v>0</c:v>
                </c:pt>
                <c:pt idx="33" formatCode="0;\-0;">
                  <c:v>0</c:v>
                </c:pt>
                <c:pt idx="34" formatCode="0;\-0;">
                  <c:v>0</c:v>
                </c:pt>
                <c:pt idx="35" formatCode="0;\-0;">
                  <c:v>0</c:v>
                </c:pt>
                <c:pt idx="37" formatCode="0;\-0;">
                  <c:v>974</c:v>
                </c:pt>
              </c:numCache>
            </c:numRef>
          </c:val>
          <c:extLst>
            <c:ext xmlns:c16="http://schemas.microsoft.com/office/drawing/2014/chart" uri="{C3380CC4-5D6E-409C-BE32-E72D297353CC}">
              <c16:uniqueId val="{00000004-6072-4DE2-815B-BCAA68CF4EC8}"/>
            </c:ext>
          </c:extLst>
        </c:ser>
        <c:ser>
          <c:idx val="5"/>
          <c:order val="5"/>
          <c:spPr>
            <a:solidFill>
              <a:srgbClr val="FF8080"/>
            </a:solidFill>
            <a:ln w="12700">
              <a:solidFill>
                <a:srgbClr val="000000"/>
              </a:solidFill>
              <a:prstDash val="solid"/>
            </a:ln>
          </c:spPr>
          <c:invertIfNegative val="0"/>
          <c:cat>
            <c:strRef>
              <c:f>Preschedule!$A$1:$A$38</c:f>
              <c:strCache>
                <c:ptCount val="38"/>
                <c:pt idx="0">
                  <c:v>01-Dec-00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Preschedule!$G$1:$G$38</c:f>
              <c:numCache>
                <c:formatCode>mmmm\ d\,\ yyyy</c:formatCode>
                <c:ptCount val="38"/>
                <c:pt idx="1">
                  <c:v>0</c:v>
                </c:pt>
                <c:pt idx="2" formatCode="General">
                  <c:v>6</c:v>
                </c:pt>
                <c:pt idx="3" formatCode="0">
                  <c:v>645</c:v>
                </c:pt>
                <c:pt idx="4" formatCode="0;\-0;">
                  <c:v>25</c:v>
                </c:pt>
                <c:pt idx="7" formatCode="0;\-0;">
                  <c:v>0</c:v>
                </c:pt>
                <c:pt idx="8" formatCode="0;\-0;">
                  <c:v>0</c:v>
                </c:pt>
                <c:pt idx="9" formatCode="0;\-0;">
                  <c:v>0</c:v>
                </c:pt>
                <c:pt idx="10" formatCode="0;\-0;">
                  <c:v>0</c:v>
                </c:pt>
                <c:pt idx="12" formatCode="0;\-0;">
                  <c:v>0</c:v>
                </c:pt>
                <c:pt idx="13" formatCode="0;\-0;">
                  <c:v>0</c:v>
                </c:pt>
                <c:pt idx="14" formatCode="0;\-0;">
                  <c:v>0</c:v>
                </c:pt>
                <c:pt idx="16" formatCode="0;\-0;">
                  <c:v>0</c:v>
                </c:pt>
                <c:pt idx="17" formatCode="0;\-0;">
                  <c:v>-50</c:v>
                </c:pt>
                <c:pt idx="20" formatCode="0;\-0;">
                  <c:v>0</c:v>
                </c:pt>
                <c:pt idx="22" formatCode="0;\-0;">
                  <c:v>75</c:v>
                </c:pt>
                <c:pt idx="23" formatCode="0;\-0;">
                  <c:v>11</c:v>
                </c:pt>
                <c:pt idx="25" formatCode="0;\-0;">
                  <c:v>70</c:v>
                </c:pt>
                <c:pt idx="26" formatCode="0;\-0;">
                  <c:v>0</c:v>
                </c:pt>
                <c:pt idx="27" formatCode="0;\-0;">
                  <c:v>50</c:v>
                </c:pt>
                <c:pt idx="28" formatCode="0;\-0;">
                  <c:v>155</c:v>
                </c:pt>
                <c:pt idx="29" formatCode="0;\-0;">
                  <c:v>0</c:v>
                </c:pt>
                <c:pt idx="30" formatCode="0;\-0;">
                  <c:v>0</c:v>
                </c:pt>
                <c:pt idx="31" formatCode="0;\-0;">
                  <c:v>0</c:v>
                </c:pt>
                <c:pt idx="33" formatCode="0;\-0;">
                  <c:v>0</c:v>
                </c:pt>
                <c:pt idx="34" formatCode="0;\-0;">
                  <c:v>0</c:v>
                </c:pt>
                <c:pt idx="35" formatCode="0;\-0;">
                  <c:v>0</c:v>
                </c:pt>
                <c:pt idx="37" formatCode="0;\-0;">
                  <c:v>1031</c:v>
                </c:pt>
              </c:numCache>
            </c:numRef>
          </c:val>
          <c:extLst>
            <c:ext xmlns:c16="http://schemas.microsoft.com/office/drawing/2014/chart" uri="{C3380CC4-5D6E-409C-BE32-E72D297353CC}">
              <c16:uniqueId val="{00000005-6072-4DE2-815B-BCAA68CF4EC8}"/>
            </c:ext>
          </c:extLst>
        </c:ser>
        <c:ser>
          <c:idx val="6"/>
          <c:order val="6"/>
          <c:spPr>
            <a:solidFill>
              <a:srgbClr val="0066CC"/>
            </a:solidFill>
            <a:ln w="12700">
              <a:solidFill>
                <a:srgbClr val="000000"/>
              </a:solidFill>
              <a:prstDash val="solid"/>
            </a:ln>
          </c:spPr>
          <c:invertIfNegative val="0"/>
          <c:cat>
            <c:strRef>
              <c:f>Preschedule!$A$1:$A$38</c:f>
              <c:strCache>
                <c:ptCount val="38"/>
                <c:pt idx="0">
                  <c:v>01-Dec-00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Preschedule!$H$1:$H$38</c:f>
              <c:numCache>
                <c:formatCode>mmmm\ d\,\ yyyy</c:formatCode>
                <c:ptCount val="38"/>
                <c:pt idx="1">
                  <c:v>0</c:v>
                </c:pt>
                <c:pt idx="2" formatCode="General">
                  <c:v>7</c:v>
                </c:pt>
                <c:pt idx="3" formatCode="0">
                  <c:v>731</c:v>
                </c:pt>
                <c:pt idx="4" formatCode="0;\-0;">
                  <c:v>25</c:v>
                </c:pt>
                <c:pt idx="7" formatCode="0;\-0;">
                  <c:v>0</c:v>
                </c:pt>
                <c:pt idx="8" formatCode="0;\-0;">
                  <c:v>0</c:v>
                </c:pt>
                <c:pt idx="9" formatCode="0;\-0;">
                  <c:v>0</c:v>
                </c:pt>
                <c:pt idx="10" formatCode="0;\-0;">
                  <c:v>0</c:v>
                </c:pt>
                <c:pt idx="12" formatCode="0;\-0;">
                  <c:v>0</c:v>
                </c:pt>
                <c:pt idx="13" formatCode="0;\-0;">
                  <c:v>0</c:v>
                </c:pt>
                <c:pt idx="14" formatCode="0;\-0;">
                  <c:v>0</c:v>
                </c:pt>
                <c:pt idx="16" formatCode="0;\-0;">
                  <c:v>0</c:v>
                </c:pt>
                <c:pt idx="17" formatCode="0;\-0;">
                  <c:v>-50</c:v>
                </c:pt>
                <c:pt idx="20" formatCode="0;\-0;">
                  <c:v>0</c:v>
                </c:pt>
                <c:pt idx="22" formatCode="0;\-0;">
                  <c:v>75</c:v>
                </c:pt>
                <c:pt idx="23" formatCode="0;\-0;">
                  <c:v>11</c:v>
                </c:pt>
                <c:pt idx="25" formatCode="0;\-0;">
                  <c:v>30</c:v>
                </c:pt>
                <c:pt idx="26" formatCode="0;\-0;">
                  <c:v>0</c:v>
                </c:pt>
                <c:pt idx="27" formatCode="0;\-0;">
                  <c:v>50</c:v>
                </c:pt>
                <c:pt idx="28" formatCode="0;\-0;">
                  <c:v>100</c:v>
                </c:pt>
                <c:pt idx="29" formatCode="0;\-0;">
                  <c:v>0</c:v>
                </c:pt>
                <c:pt idx="30" formatCode="0;\-0;">
                  <c:v>0</c:v>
                </c:pt>
                <c:pt idx="31" formatCode="0;\-0;">
                  <c:v>0</c:v>
                </c:pt>
                <c:pt idx="33" formatCode="0;\-0;">
                  <c:v>0</c:v>
                </c:pt>
                <c:pt idx="34" formatCode="0;\-0;">
                  <c:v>0</c:v>
                </c:pt>
                <c:pt idx="35" formatCode="0;\-0;">
                  <c:v>0</c:v>
                </c:pt>
                <c:pt idx="37" formatCode="0;\-0;">
                  <c:v>1022</c:v>
                </c:pt>
              </c:numCache>
            </c:numRef>
          </c:val>
          <c:extLst>
            <c:ext xmlns:c16="http://schemas.microsoft.com/office/drawing/2014/chart" uri="{C3380CC4-5D6E-409C-BE32-E72D297353CC}">
              <c16:uniqueId val="{00000006-6072-4DE2-815B-BCAA68CF4EC8}"/>
            </c:ext>
          </c:extLst>
        </c:ser>
        <c:ser>
          <c:idx val="7"/>
          <c:order val="7"/>
          <c:spPr>
            <a:solidFill>
              <a:srgbClr val="CCCCFF"/>
            </a:solidFill>
            <a:ln w="12700">
              <a:solidFill>
                <a:srgbClr val="000000"/>
              </a:solidFill>
              <a:prstDash val="solid"/>
            </a:ln>
          </c:spPr>
          <c:invertIfNegative val="0"/>
          <c:cat>
            <c:strRef>
              <c:f>Preschedule!$A$1:$A$38</c:f>
              <c:strCache>
                <c:ptCount val="38"/>
                <c:pt idx="0">
                  <c:v>01-Dec-00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Preschedule!$I$1:$I$38</c:f>
              <c:numCache>
                <c:formatCode>mmmm\ d\,\ yyyy</c:formatCode>
                <c:ptCount val="38"/>
                <c:pt idx="1">
                  <c:v>0</c:v>
                </c:pt>
                <c:pt idx="2" formatCode="General">
                  <c:v>8</c:v>
                </c:pt>
                <c:pt idx="3" formatCode="0">
                  <c:v>758</c:v>
                </c:pt>
                <c:pt idx="4" formatCode="0;\-0;">
                  <c:v>25</c:v>
                </c:pt>
                <c:pt idx="7" formatCode="0;\-0;">
                  <c:v>0</c:v>
                </c:pt>
                <c:pt idx="8" formatCode="0;\-0;">
                  <c:v>0</c:v>
                </c:pt>
                <c:pt idx="9" formatCode="0;\-0;">
                  <c:v>0</c:v>
                </c:pt>
                <c:pt idx="10" formatCode="0;\-0;">
                  <c:v>0</c:v>
                </c:pt>
                <c:pt idx="12" formatCode="0;\-0;">
                  <c:v>0</c:v>
                </c:pt>
                <c:pt idx="13" formatCode="0;\-0;">
                  <c:v>0</c:v>
                </c:pt>
                <c:pt idx="14" formatCode="0;\-0;">
                  <c:v>0</c:v>
                </c:pt>
                <c:pt idx="16" formatCode="0;\-0;">
                  <c:v>0</c:v>
                </c:pt>
                <c:pt idx="17" formatCode="0;\-0;">
                  <c:v>-50</c:v>
                </c:pt>
                <c:pt idx="20" formatCode="0;\-0;">
                  <c:v>0</c:v>
                </c:pt>
                <c:pt idx="22" formatCode="0;\-0;">
                  <c:v>85</c:v>
                </c:pt>
                <c:pt idx="23" formatCode="0;\-0;">
                  <c:v>11</c:v>
                </c:pt>
                <c:pt idx="25" formatCode="0;\-0;">
                  <c:v>0</c:v>
                </c:pt>
                <c:pt idx="26" formatCode="0;\-0;">
                  <c:v>0</c:v>
                </c:pt>
                <c:pt idx="27" formatCode="0;\-0;">
                  <c:v>0</c:v>
                </c:pt>
                <c:pt idx="28" formatCode="0;\-0;">
                  <c:v>50</c:v>
                </c:pt>
                <c:pt idx="29" formatCode="0;\-0;">
                  <c:v>0</c:v>
                </c:pt>
                <c:pt idx="30" formatCode="0;\-0;">
                  <c:v>75</c:v>
                </c:pt>
                <c:pt idx="31" formatCode="0;\-0;">
                  <c:v>0</c:v>
                </c:pt>
                <c:pt idx="33" formatCode="0;\-0;">
                  <c:v>0</c:v>
                </c:pt>
                <c:pt idx="34" formatCode="0;\-0;">
                  <c:v>0</c:v>
                </c:pt>
                <c:pt idx="35" formatCode="0;\-0;">
                  <c:v>0</c:v>
                </c:pt>
                <c:pt idx="37" formatCode="0;\-0;">
                  <c:v>1004</c:v>
                </c:pt>
              </c:numCache>
            </c:numRef>
          </c:val>
          <c:extLst>
            <c:ext xmlns:c16="http://schemas.microsoft.com/office/drawing/2014/chart" uri="{C3380CC4-5D6E-409C-BE32-E72D297353CC}">
              <c16:uniqueId val="{00000007-6072-4DE2-815B-BCAA68CF4EC8}"/>
            </c:ext>
          </c:extLst>
        </c:ser>
        <c:ser>
          <c:idx val="8"/>
          <c:order val="8"/>
          <c:spPr>
            <a:solidFill>
              <a:srgbClr val="000080"/>
            </a:solidFill>
            <a:ln w="12700">
              <a:solidFill>
                <a:srgbClr val="000000"/>
              </a:solidFill>
              <a:prstDash val="solid"/>
            </a:ln>
          </c:spPr>
          <c:invertIfNegative val="0"/>
          <c:cat>
            <c:strRef>
              <c:f>Preschedule!$A$1:$A$38</c:f>
              <c:strCache>
                <c:ptCount val="38"/>
                <c:pt idx="0">
                  <c:v>01-Dec-00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Preschedule!$J$1:$J$38</c:f>
              <c:numCache>
                <c:formatCode>mmmm\ d\,\ yyyy</c:formatCode>
                <c:ptCount val="38"/>
                <c:pt idx="1">
                  <c:v>0</c:v>
                </c:pt>
                <c:pt idx="2" formatCode="General">
                  <c:v>9</c:v>
                </c:pt>
                <c:pt idx="3" formatCode="0">
                  <c:v>770</c:v>
                </c:pt>
                <c:pt idx="4" formatCode="0;\-0;">
                  <c:v>25</c:v>
                </c:pt>
                <c:pt idx="7" formatCode="0;\-0;">
                  <c:v>0</c:v>
                </c:pt>
                <c:pt idx="8" formatCode="0;\-0;">
                  <c:v>0</c:v>
                </c:pt>
                <c:pt idx="9" formatCode="0;\-0;">
                  <c:v>0</c:v>
                </c:pt>
                <c:pt idx="10" formatCode="0;\-0;">
                  <c:v>0</c:v>
                </c:pt>
                <c:pt idx="12" formatCode="0;\-0;">
                  <c:v>20</c:v>
                </c:pt>
                <c:pt idx="13" formatCode="0;\-0;">
                  <c:v>0</c:v>
                </c:pt>
                <c:pt idx="14" formatCode="0;\-0;">
                  <c:v>0</c:v>
                </c:pt>
                <c:pt idx="16" formatCode="0;\-0;">
                  <c:v>0</c:v>
                </c:pt>
                <c:pt idx="17" formatCode="0;\-0;">
                  <c:v>-50</c:v>
                </c:pt>
                <c:pt idx="20" formatCode="0;\-0;">
                  <c:v>0</c:v>
                </c:pt>
                <c:pt idx="22" formatCode="0;\-0;">
                  <c:v>85</c:v>
                </c:pt>
                <c:pt idx="23" formatCode="0;\-0;">
                  <c:v>11</c:v>
                </c:pt>
                <c:pt idx="25" formatCode="0;\-0;">
                  <c:v>0</c:v>
                </c:pt>
                <c:pt idx="26" formatCode="0;\-0;">
                  <c:v>0</c:v>
                </c:pt>
                <c:pt idx="27" formatCode="0;\-0;">
                  <c:v>0</c:v>
                </c:pt>
                <c:pt idx="28" formatCode="0;\-0;">
                  <c:v>35</c:v>
                </c:pt>
                <c:pt idx="29" formatCode="0;\-0;">
                  <c:v>0</c:v>
                </c:pt>
                <c:pt idx="30" formatCode="0;\-0;">
                  <c:v>100</c:v>
                </c:pt>
                <c:pt idx="31" formatCode="0;\-0;">
                  <c:v>0</c:v>
                </c:pt>
                <c:pt idx="33" formatCode="0;\-0;">
                  <c:v>0</c:v>
                </c:pt>
                <c:pt idx="35" formatCode="0;\-0;">
                  <c:v>0</c:v>
                </c:pt>
                <c:pt idx="37" formatCode="0;\-0;">
                  <c:v>1026</c:v>
                </c:pt>
              </c:numCache>
            </c:numRef>
          </c:val>
          <c:extLst>
            <c:ext xmlns:c16="http://schemas.microsoft.com/office/drawing/2014/chart" uri="{C3380CC4-5D6E-409C-BE32-E72D297353CC}">
              <c16:uniqueId val="{00000008-6072-4DE2-815B-BCAA68CF4EC8}"/>
            </c:ext>
          </c:extLst>
        </c:ser>
        <c:ser>
          <c:idx val="9"/>
          <c:order val="9"/>
          <c:spPr>
            <a:solidFill>
              <a:srgbClr val="FF00FF"/>
            </a:solidFill>
            <a:ln w="12700">
              <a:solidFill>
                <a:srgbClr val="000000"/>
              </a:solidFill>
              <a:prstDash val="solid"/>
            </a:ln>
          </c:spPr>
          <c:invertIfNegative val="0"/>
          <c:cat>
            <c:strRef>
              <c:f>Preschedule!$A$1:$A$38</c:f>
              <c:strCache>
                <c:ptCount val="38"/>
                <c:pt idx="0">
                  <c:v>01-Dec-00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Preschedule!$K$1:$K$38</c:f>
              <c:numCache>
                <c:formatCode>mmmm\ d\,\ yyyy</c:formatCode>
                <c:ptCount val="38"/>
                <c:pt idx="1">
                  <c:v>0</c:v>
                </c:pt>
                <c:pt idx="2" formatCode="General">
                  <c:v>10</c:v>
                </c:pt>
                <c:pt idx="3" formatCode="0">
                  <c:v>770</c:v>
                </c:pt>
                <c:pt idx="4" formatCode="0;\-0;">
                  <c:v>25</c:v>
                </c:pt>
                <c:pt idx="7" formatCode="0;\-0;">
                  <c:v>0</c:v>
                </c:pt>
                <c:pt idx="8" formatCode="0;\-0;">
                  <c:v>0</c:v>
                </c:pt>
                <c:pt idx="9" formatCode="0;\-0;">
                  <c:v>0</c:v>
                </c:pt>
                <c:pt idx="10" formatCode="0;\-0;">
                  <c:v>0</c:v>
                </c:pt>
                <c:pt idx="12" formatCode="0;\-0;">
                  <c:v>20</c:v>
                </c:pt>
                <c:pt idx="13" formatCode="0;\-0;">
                  <c:v>0</c:v>
                </c:pt>
                <c:pt idx="14" formatCode="0;\-0;">
                  <c:v>0</c:v>
                </c:pt>
                <c:pt idx="16" formatCode="0;\-0;">
                  <c:v>0</c:v>
                </c:pt>
                <c:pt idx="17" formatCode="0;\-0;">
                  <c:v>-50</c:v>
                </c:pt>
                <c:pt idx="20" formatCode="0;\-0;">
                  <c:v>0</c:v>
                </c:pt>
                <c:pt idx="22" formatCode="0;\-0;">
                  <c:v>135</c:v>
                </c:pt>
                <c:pt idx="23" formatCode="0;\-0;">
                  <c:v>11</c:v>
                </c:pt>
                <c:pt idx="25" formatCode="0;\-0;">
                  <c:v>0</c:v>
                </c:pt>
                <c:pt idx="26" formatCode="0;\-0;">
                  <c:v>0</c:v>
                </c:pt>
                <c:pt idx="27" formatCode="0;\-0;">
                  <c:v>0</c:v>
                </c:pt>
                <c:pt idx="28" formatCode="0;\-0;">
                  <c:v>20</c:v>
                </c:pt>
                <c:pt idx="29" formatCode="0;\-0;">
                  <c:v>0</c:v>
                </c:pt>
                <c:pt idx="30" formatCode="0;\-0;">
                  <c:v>100</c:v>
                </c:pt>
                <c:pt idx="31" formatCode="0;\-0;">
                  <c:v>0</c:v>
                </c:pt>
                <c:pt idx="33" formatCode="0;\-0;">
                  <c:v>0</c:v>
                </c:pt>
                <c:pt idx="34" formatCode="0;\-0;">
                  <c:v>0</c:v>
                </c:pt>
                <c:pt idx="35" formatCode="0;\-0;">
                  <c:v>0</c:v>
                </c:pt>
                <c:pt idx="37" formatCode="0;\-0;">
                  <c:v>1061</c:v>
                </c:pt>
              </c:numCache>
            </c:numRef>
          </c:val>
          <c:extLst>
            <c:ext xmlns:c16="http://schemas.microsoft.com/office/drawing/2014/chart" uri="{C3380CC4-5D6E-409C-BE32-E72D297353CC}">
              <c16:uniqueId val="{00000009-6072-4DE2-815B-BCAA68CF4EC8}"/>
            </c:ext>
          </c:extLst>
        </c:ser>
        <c:ser>
          <c:idx val="10"/>
          <c:order val="10"/>
          <c:spPr>
            <a:solidFill>
              <a:srgbClr val="FFFF00"/>
            </a:solidFill>
            <a:ln w="12700">
              <a:solidFill>
                <a:srgbClr val="000000"/>
              </a:solidFill>
              <a:prstDash val="solid"/>
            </a:ln>
          </c:spPr>
          <c:invertIfNegative val="0"/>
          <c:cat>
            <c:strRef>
              <c:f>Preschedule!$A$1:$A$38</c:f>
              <c:strCache>
                <c:ptCount val="38"/>
                <c:pt idx="0">
                  <c:v>01-Dec-00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Preschedule!$L$1:$L$38</c:f>
              <c:numCache>
                <c:formatCode>mmmm\ d\,\ yyyy</c:formatCode>
                <c:ptCount val="38"/>
                <c:pt idx="1">
                  <c:v>0</c:v>
                </c:pt>
                <c:pt idx="2" formatCode="General">
                  <c:v>11</c:v>
                </c:pt>
                <c:pt idx="3" formatCode="0">
                  <c:v>779</c:v>
                </c:pt>
                <c:pt idx="4" formatCode="0;\-0;">
                  <c:v>25</c:v>
                </c:pt>
                <c:pt idx="7" formatCode="0;\-0;">
                  <c:v>0</c:v>
                </c:pt>
                <c:pt idx="8" formatCode="0;\-0;">
                  <c:v>0</c:v>
                </c:pt>
                <c:pt idx="9" formatCode="0;\-0;">
                  <c:v>0</c:v>
                </c:pt>
                <c:pt idx="10" formatCode="0;\-0;">
                  <c:v>0</c:v>
                </c:pt>
                <c:pt idx="12" formatCode="0;\-0;">
                  <c:v>0</c:v>
                </c:pt>
                <c:pt idx="13" formatCode="0;\-0;">
                  <c:v>0</c:v>
                </c:pt>
                <c:pt idx="14" formatCode="0;\-0;">
                  <c:v>0</c:v>
                </c:pt>
                <c:pt idx="16" formatCode="0;\-0;">
                  <c:v>0</c:v>
                </c:pt>
                <c:pt idx="17" formatCode="0;\-0;">
                  <c:v>-50</c:v>
                </c:pt>
                <c:pt idx="20" formatCode="0;\-0;">
                  <c:v>0</c:v>
                </c:pt>
                <c:pt idx="22" formatCode="0;\-0;">
                  <c:v>150</c:v>
                </c:pt>
                <c:pt idx="23" formatCode="0;\-0;">
                  <c:v>11</c:v>
                </c:pt>
                <c:pt idx="25" formatCode="0;\-0;">
                  <c:v>0</c:v>
                </c:pt>
                <c:pt idx="26" formatCode="0;\-0;">
                  <c:v>0</c:v>
                </c:pt>
                <c:pt idx="27" formatCode="0;\-0;">
                  <c:v>0</c:v>
                </c:pt>
                <c:pt idx="28" formatCode="0;\-0;">
                  <c:v>0</c:v>
                </c:pt>
                <c:pt idx="29" formatCode="0;\-0;">
                  <c:v>0</c:v>
                </c:pt>
                <c:pt idx="30" formatCode="0;\-0;">
                  <c:v>100</c:v>
                </c:pt>
                <c:pt idx="31" formatCode="0;\-0;">
                  <c:v>0</c:v>
                </c:pt>
                <c:pt idx="33" formatCode="0;\-0;">
                  <c:v>0</c:v>
                </c:pt>
                <c:pt idx="34" formatCode="0;\-0;">
                  <c:v>0</c:v>
                </c:pt>
                <c:pt idx="35" formatCode="0;\-0;">
                  <c:v>0</c:v>
                </c:pt>
                <c:pt idx="36" formatCode="0;\-0;">
                  <c:v>0</c:v>
                </c:pt>
                <c:pt idx="37" formatCode="0;\-0;">
                  <c:v>1065</c:v>
                </c:pt>
              </c:numCache>
            </c:numRef>
          </c:val>
          <c:extLst>
            <c:ext xmlns:c16="http://schemas.microsoft.com/office/drawing/2014/chart" uri="{C3380CC4-5D6E-409C-BE32-E72D297353CC}">
              <c16:uniqueId val="{0000000A-6072-4DE2-815B-BCAA68CF4EC8}"/>
            </c:ext>
          </c:extLst>
        </c:ser>
        <c:ser>
          <c:idx val="11"/>
          <c:order val="11"/>
          <c:spPr>
            <a:solidFill>
              <a:srgbClr val="00FFFF"/>
            </a:solidFill>
            <a:ln w="12700">
              <a:solidFill>
                <a:srgbClr val="000000"/>
              </a:solidFill>
              <a:prstDash val="solid"/>
            </a:ln>
          </c:spPr>
          <c:invertIfNegative val="0"/>
          <c:cat>
            <c:strRef>
              <c:f>Preschedule!$A$1:$A$38</c:f>
              <c:strCache>
                <c:ptCount val="38"/>
                <c:pt idx="0">
                  <c:v>01-Dec-00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Preschedule!$M$1:$M$38</c:f>
              <c:numCache>
                <c:formatCode>mmmm\ d\,\ yyyy</c:formatCode>
                <c:ptCount val="38"/>
                <c:pt idx="1">
                  <c:v>0</c:v>
                </c:pt>
                <c:pt idx="2" formatCode="General">
                  <c:v>12</c:v>
                </c:pt>
                <c:pt idx="3" formatCode="0">
                  <c:v>773</c:v>
                </c:pt>
                <c:pt idx="4" formatCode="0;\-0;">
                  <c:v>25</c:v>
                </c:pt>
                <c:pt idx="7" formatCode="0;\-0;">
                  <c:v>0</c:v>
                </c:pt>
                <c:pt idx="8" formatCode="0;\-0;">
                  <c:v>0</c:v>
                </c:pt>
                <c:pt idx="9" formatCode="0;\-0;">
                  <c:v>0</c:v>
                </c:pt>
                <c:pt idx="10" formatCode="0;\-0;">
                  <c:v>0</c:v>
                </c:pt>
                <c:pt idx="12" formatCode="0;\-0;">
                  <c:v>0</c:v>
                </c:pt>
                <c:pt idx="13" formatCode="0;\-0;">
                  <c:v>0</c:v>
                </c:pt>
                <c:pt idx="14" formatCode="0;\-0;">
                  <c:v>0</c:v>
                </c:pt>
                <c:pt idx="16" formatCode="0;\-0;">
                  <c:v>0</c:v>
                </c:pt>
                <c:pt idx="17" formatCode="0;\-0;">
                  <c:v>-50</c:v>
                </c:pt>
                <c:pt idx="20" formatCode="0;\-0;">
                  <c:v>0</c:v>
                </c:pt>
                <c:pt idx="22" formatCode="0;\-0;">
                  <c:v>115</c:v>
                </c:pt>
                <c:pt idx="23" formatCode="0;\-0;">
                  <c:v>11</c:v>
                </c:pt>
                <c:pt idx="25" formatCode="0;\-0;">
                  <c:v>0</c:v>
                </c:pt>
                <c:pt idx="26" formatCode="0;\-0;">
                  <c:v>0</c:v>
                </c:pt>
                <c:pt idx="27" formatCode="0;\-0;">
                  <c:v>0</c:v>
                </c:pt>
                <c:pt idx="28" formatCode="0;\-0;">
                  <c:v>0</c:v>
                </c:pt>
                <c:pt idx="29" formatCode="0;\-0;">
                  <c:v>0</c:v>
                </c:pt>
                <c:pt idx="30" formatCode="0;\-0;">
                  <c:v>100</c:v>
                </c:pt>
                <c:pt idx="31" formatCode="0;\-0;">
                  <c:v>0</c:v>
                </c:pt>
                <c:pt idx="33" formatCode="0;\-0;">
                  <c:v>0</c:v>
                </c:pt>
                <c:pt idx="34" formatCode="0;\-0;">
                  <c:v>0</c:v>
                </c:pt>
                <c:pt idx="35" formatCode="0;\-0;">
                  <c:v>0</c:v>
                </c:pt>
                <c:pt idx="36" formatCode="0;\-0;">
                  <c:v>0</c:v>
                </c:pt>
                <c:pt idx="37" formatCode="0;\-0;">
                  <c:v>1024</c:v>
                </c:pt>
              </c:numCache>
            </c:numRef>
          </c:val>
          <c:extLst>
            <c:ext xmlns:c16="http://schemas.microsoft.com/office/drawing/2014/chart" uri="{C3380CC4-5D6E-409C-BE32-E72D297353CC}">
              <c16:uniqueId val="{0000000B-6072-4DE2-815B-BCAA68CF4EC8}"/>
            </c:ext>
          </c:extLst>
        </c:ser>
        <c:ser>
          <c:idx val="12"/>
          <c:order val="12"/>
          <c:spPr>
            <a:solidFill>
              <a:srgbClr val="800080"/>
            </a:solidFill>
            <a:ln w="12700">
              <a:solidFill>
                <a:srgbClr val="000000"/>
              </a:solidFill>
              <a:prstDash val="solid"/>
            </a:ln>
          </c:spPr>
          <c:invertIfNegative val="0"/>
          <c:cat>
            <c:strRef>
              <c:f>Preschedule!$A$1:$A$38</c:f>
              <c:strCache>
                <c:ptCount val="38"/>
                <c:pt idx="0">
                  <c:v>01-Dec-00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Preschedule!$N$1:$N$38</c:f>
              <c:numCache>
                <c:formatCode>mmmm\ d\,\ yyyy</c:formatCode>
                <c:ptCount val="38"/>
                <c:pt idx="1">
                  <c:v>0</c:v>
                </c:pt>
                <c:pt idx="2" formatCode="General">
                  <c:v>13</c:v>
                </c:pt>
                <c:pt idx="3" formatCode="0">
                  <c:v>758</c:v>
                </c:pt>
                <c:pt idx="4" formatCode="0;\-0;">
                  <c:v>25</c:v>
                </c:pt>
                <c:pt idx="7" formatCode="0;\-0;">
                  <c:v>0</c:v>
                </c:pt>
                <c:pt idx="8" formatCode="0;\-0;">
                  <c:v>0</c:v>
                </c:pt>
                <c:pt idx="9" formatCode="0;\-0;">
                  <c:v>0</c:v>
                </c:pt>
                <c:pt idx="10" formatCode="0;\-0;">
                  <c:v>0</c:v>
                </c:pt>
                <c:pt idx="12" formatCode="0;\-0;">
                  <c:v>0</c:v>
                </c:pt>
                <c:pt idx="13" formatCode="0;\-0;">
                  <c:v>0</c:v>
                </c:pt>
                <c:pt idx="14" formatCode="0;\-0;">
                  <c:v>0</c:v>
                </c:pt>
                <c:pt idx="16" formatCode="0;\-0;">
                  <c:v>0</c:v>
                </c:pt>
                <c:pt idx="17" formatCode="0;\-0;">
                  <c:v>-50</c:v>
                </c:pt>
                <c:pt idx="20" formatCode="0;\-0;">
                  <c:v>0</c:v>
                </c:pt>
                <c:pt idx="22" formatCode="0;\-0;">
                  <c:v>105</c:v>
                </c:pt>
                <c:pt idx="23" formatCode="0;\-0;">
                  <c:v>11</c:v>
                </c:pt>
                <c:pt idx="25" formatCode="0;\-0;">
                  <c:v>0</c:v>
                </c:pt>
                <c:pt idx="26" formatCode="0;\-0;">
                  <c:v>0</c:v>
                </c:pt>
                <c:pt idx="27" formatCode="0;\-0;">
                  <c:v>25</c:v>
                </c:pt>
                <c:pt idx="28" formatCode="0;\-0;">
                  <c:v>0</c:v>
                </c:pt>
                <c:pt idx="29" formatCode="0;\-0;">
                  <c:v>0</c:v>
                </c:pt>
                <c:pt idx="30" formatCode="0;\-0;">
                  <c:v>100</c:v>
                </c:pt>
                <c:pt idx="31" formatCode="0;\-0;">
                  <c:v>0</c:v>
                </c:pt>
                <c:pt idx="33" formatCode="0;\-0;">
                  <c:v>0</c:v>
                </c:pt>
                <c:pt idx="34" formatCode="0;\-0;">
                  <c:v>0</c:v>
                </c:pt>
                <c:pt idx="35" formatCode="0;\-0;">
                  <c:v>0</c:v>
                </c:pt>
                <c:pt idx="36" formatCode="0;\-0;">
                  <c:v>0</c:v>
                </c:pt>
                <c:pt idx="37" formatCode="0;\-0;">
                  <c:v>1024</c:v>
                </c:pt>
              </c:numCache>
            </c:numRef>
          </c:val>
          <c:extLst>
            <c:ext xmlns:c16="http://schemas.microsoft.com/office/drawing/2014/chart" uri="{C3380CC4-5D6E-409C-BE32-E72D297353CC}">
              <c16:uniqueId val="{0000000C-6072-4DE2-815B-BCAA68CF4EC8}"/>
            </c:ext>
          </c:extLst>
        </c:ser>
        <c:ser>
          <c:idx val="13"/>
          <c:order val="13"/>
          <c:spPr>
            <a:solidFill>
              <a:srgbClr val="800000"/>
            </a:solidFill>
            <a:ln w="12700">
              <a:solidFill>
                <a:srgbClr val="000000"/>
              </a:solidFill>
              <a:prstDash val="solid"/>
            </a:ln>
          </c:spPr>
          <c:invertIfNegative val="0"/>
          <c:cat>
            <c:strRef>
              <c:f>Preschedule!$A$1:$A$38</c:f>
              <c:strCache>
                <c:ptCount val="38"/>
                <c:pt idx="0">
                  <c:v>01-Dec-00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Preschedule!$O$1:$O$38</c:f>
              <c:numCache>
                <c:formatCode>mmmm\ d\,\ yyyy</c:formatCode>
                <c:ptCount val="38"/>
                <c:pt idx="1">
                  <c:v>0</c:v>
                </c:pt>
                <c:pt idx="2" formatCode="General">
                  <c:v>14</c:v>
                </c:pt>
                <c:pt idx="3" formatCode="0">
                  <c:v>753</c:v>
                </c:pt>
                <c:pt idx="4" formatCode="0;\-0;">
                  <c:v>25</c:v>
                </c:pt>
                <c:pt idx="6" formatCode="0;\-0;">
                  <c:v>0</c:v>
                </c:pt>
                <c:pt idx="7" formatCode="0;\-0;">
                  <c:v>0</c:v>
                </c:pt>
                <c:pt idx="8" formatCode="0;\-0;">
                  <c:v>0</c:v>
                </c:pt>
                <c:pt idx="9" formatCode="0;\-0;">
                  <c:v>0</c:v>
                </c:pt>
                <c:pt idx="10" formatCode="0;\-0;">
                  <c:v>0</c:v>
                </c:pt>
                <c:pt idx="12" formatCode="0;\-0;">
                  <c:v>0</c:v>
                </c:pt>
                <c:pt idx="13" formatCode="0;\-0;">
                  <c:v>0</c:v>
                </c:pt>
                <c:pt idx="14" formatCode="0;\-0;">
                  <c:v>0</c:v>
                </c:pt>
                <c:pt idx="16" formatCode="0;\-0;">
                  <c:v>0</c:v>
                </c:pt>
                <c:pt idx="17" formatCode="0;\-0;">
                  <c:v>-50</c:v>
                </c:pt>
                <c:pt idx="22" formatCode="0;\-0;">
                  <c:v>95</c:v>
                </c:pt>
                <c:pt idx="23" formatCode="0;\-0;">
                  <c:v>11</c:v>
                </c:pt>
                <c:pt idx="25" formatCode="0;\-0;">
                  <c:v>0</c:v>
                </c:pt>
                <c:pt idx="26" formatCode="0;\-0;">
                  <c:v>0</c:v>
                </c:pt>
                <c:pt idx="27" formatCode="0;\-0;">
                  <c:v>25</c:v>
                </c:pt>
                <c:pt idx="28" formatCode="0;\-0;">
                  <c:v>0</c:v>
                </c:pt>
                <c:pt idx="29" formatCode="0;\-0;">
                  <c:v>0</c:v>
                </c:pt>
                <c:pt idx="30" formatCode="0;\-0;">
                  <c:v>100</c:v>
                </c:pt>
                <c:pt idx="31" formatCode="0;\-0;">
                  <c:v>0</c:v>
                </c:pt>
                <c:pt idx="33" formatCode="0;\-0;">
                  <c:v>0</c:v>
                </c:pt>
                <c:pt idx="34" formatCode="0;\-0;">
                  <c:v>0</c:v>
                </c:pt>
                <c:pt idx="35" formatCode="0;\-0;">
                  <c:v>0</c:v>
                </c:pt>
                <c:pt idx="36" formatCode="0;\-0;">
                  <c:v>0</c:v>
                </c:pt>
                <c:pt idx="37" formatCode="0;\-0;">
                  <c:v>1009</c:v>
                </c:pt>
              </c:numCache>
            </c:numRef>
          </c:val>
          <c:extLst>
            <c:ext xmlns:c16="http://schemas.microsoft.com/office/drawing/2014/chart" uri="{C3380CC4-5D6E-409C-BE32-E72D297353CC}">
              <c16:uniqueId val="{0000000D-6072-4DE2-815B-BCAA68CF4EC8}"/>
            </c:ext>
          </c:extLst>
        </c:ser>
        <c:ser>
          <c:idx val="14"/>
          <c:order val="14"/>
          <c:spPr>
            <a:solidFill>
              <a:srgbClr val="008080"/>
            </a:solidFill>
            <a:ln w="12700">
              <a:solidFill>
                <a:srgbClr val="000000"/>
              </a:solidFill>
              <a:prstDash val="solid"/>
            </a:ln>
          </c:spPr>
          <c:invertIfNegative val="0"/>
          <c:cat>
            <c:strRef>
              <c:f>Preschedule!$A$1:$A$38</c:f>
              <c:strCache>
                <c:ptCount val="38"/>
                <c:pt idx="0">
                  <c:v>01-Dec-00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Preschedule!$P$1:$P$38</c:f>
              <c:numCache>
                <c:formatCode>mmmm\ d\,\ yyyy</c:formatCode>
                <c:ptCount val="38"/>
                <c:pt idx="1">
                  <c:v>0</c:v>
                </c:pt>
                <c:pt idx="2" formatCode="General">
                  <c:v>15</c:v>
                </c:pt>
                <c:pt idx="3" formatCode="0">
                  <c:v>745</c:v>
                </c:pt>
                <c:pt idx="4" formatCode="0;\-0;">
                  <c:v>25</c:v>
                </c:pt>
                <c:pt idx="7" formatCode="0;\-0;">
                  <c:v>0</c:v>
                </c:pt>
                <c:pt idx="8" formatCode="0;\-0;">
                  <c:v>0</c:v>
                </c:pt>
                <c:pt idx="9" formatCode="0;\-0;">
                  <c:v>0</c:v>
                </c:pt>
                <c:pt idx="10" formatCode="0;\-0;">
                  <c:v>0</c:v>
                </c:pt>
                <c:pt idx="12" formatCode="0;\-0;">
                  <c:v>0</c:v>
                </c:pt>
                <c:pt idx="13" formatCode="0;\-0;">
                  <c:v>0</c:v>
                </c:pt>
                <c:pt idx="14" formatCode="0;\-0;">
                  <c:v>0</c:v>
                </c:pt>
                <c:pt idx="16" formatCode="0;\-0;">
                  <c:v>0</c:v>
                </c:pt>
                <c:pt idx="17" formatCode="0;\-0;">
                  <c:v>-50</c:v>
                </c:pt>
                <c:pt idx="22" formatCode="0;\-0;">
                  <c:v>95</c:v>
                </c:pt>
                <c:pt idx="23" formatCode="0;\-0;">
                  <c:v>1</c:v>
                </c:pt>
                <c:pt idx="25" formatCode="0;\-0;">
                  <c:v>0</c:v>
                </c:pt>
                <c:pt idx="26" formatCode="0;\-0;">
                  <c:v>0</c:v>
                </c:pt>
                <c:pt idx="27" formatCode="0;\-0;">
                  <c:v>25</c:v>
                </c:pt>
                <c:pt idx="28" formatCode="0;\-0;">
                  <c:v>0</c:v>
                </c:pt>
                <c:pt idx="29" formatCode="0;\-0;">
                  <c:v>0</c:v>
                </c:pt>
                <c:pt idx="30" formatCode="0;\-0;">
                  <c:v>100</c:v>
                </c:pt>
                <c:pt idx="31" formatCode="0;\-0;">
                  <c:v>0</c:v>
                </c:pt>
                <c:pt idx="33" formatCode="0;\-0;">
                  <c:v>0</c:v>
                </c:pt>
                <c:pt idx="34" formatCode="0;\-0;">
                  <c:v>0</c:v>
                </c:pt>
                <c:pt idx="35" formatCode="0;\-0;">
                  <c:v>0</c:v>
                </c:pt>
                <c:pt idx="36" formatCode="0;\-0;">
                  <c:v>0</c:v>
                </c:pt>
                <c:pt idx="37" formatCode="0;\-0;">
                  <c:v>991</c:v>
                </c:pt>
              </c:numCache>
            </c:numRef>
          </c:val>
          <c:extLst>
            <c:ext xmlns:c16="http://schemas.microsoft.com/office/drawing/2014/chart" uri="{C3380CC4-5D6E-409C-BE32-E72D297353CC}">
              <c16:uniqueId val="{0000000E-6072-4DE2-815B-BCAA68CF4EC8}"/>
            </c:ext>
          </c:extLst>
        </c:ser>
        <c:ser>
          <c:idx val="15"/>
          <c:order val="15"/>
          <c:spPr>
            <a:solidFill>
              <a:srgbClr val="0000FF"/>
            </a:solidFill>
            <a:ln w="12700">
              <a:solidFill>
                <a:srgbClr val="000000"/>
              </a:solidFill>
              <a:prstDash val="solid"/>
            </a:ln>
          </c:spPr>
          <c:invertIfNegative val="0"/>
          <c:cat>
            <c:strRef>
              <c:f>Preschedule!$A$1:$A$38</c:f>
              <c:strCache>
                <c:ptCount val="38"/>
                <c:pt idx="0">
                  <c:v>01-Dec-00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Preschedule!$Q$1:$Q$38</c:f>
              <c:numCache>
                <c:formatCode>mmmm\ d\,\ yyyy</c:formatCode>
                <c:ptCount val="38"/>
                <c:pt idx="1">
                  <c:v>0</c:v>
                </c:pt>
                <c:pt idx="2" formatCode="General">
                  <c:v>16</c:v>
                </c:pt>
                <c:pt idx="3" formatCode="0">
                  <c:v>725</c:v>
                </c:pt>
                <c:pt idx="4" formatCode="0;\-0;">
                  <c:v>25</c:v>
                </c:pt>
                <c:pt idx="7" formatCode="0;\-0;">
                  <c:v>0</c:v>
                </c:pt>
                <c:pt idx="8" formatCode="0;\-0;">
                  <c:v>0</c:v>
                </c:pt>
                <c:pt idx="9" formatCode="0;\-0;">
                  <c:v>0</c:v>
                </c:pt>
                <c:pt idx="10" formatCode="0;\-0;">
                  <c:v>0</c:v>
                </c:pt>
                <c:pt idx="12" formatCode="0;\-0;">
                  <c:v>0</c:v>
                </c:pt>
                <c:pt idx="13" formatCode="0;\-0;">
                  <c:v>0</c:v>
                </c:pt>
                <c:pt idx="14" formatCode="0;\-0;">
                  <c:v>0</c:v>
                </c:pt>
                <c:pt idx="16" formatCode="0;\-0;">
                  <c:v>0</c:v>
                </c:pt>
                <c:pt idx="17" formatCode="0;\-0;">
                  <c:v>-50</c:v>
                </c:pt>
                <c:pt idx="22" formatCode="0;\-0;">
                  <c:v>95</c:v>
                </c:pt>
                <c:pt idx="23" formatCode="0;\-0;">
                  <c:v>1</c:v>
                </c:pt>
                <c:pt idx="25" formatCode="0;\-0;">
                  <c:v>0</c:v>
                </c:pt>
                <c:pt idx="26" formatCode="0;\-0;">
                  <c:v>0</c:v>
                </c:pt>
                <c:pt idx="27" formatCode="0;\-0;">
                  <c:v>25</c:v>
                </c:pt>
                <c:pt idx="28" formatCode="0;\-0;">
                  <c:v>20</c:v>
                </c:pt>
                <c:pt idx="29" formatCode="0;\-0;">
                  <c:v>0</c:v>
                </c:pt>
                <c:pt idx="30" formatCode="0;\-0;">
                  <c:v>100</c:v>
                </c:pt>
                <c:pt idx="31" formatCode="0;\-0;">
                  <c:v>0</c:v>
                </c:pt>
                <c:pt idx="33" formatCode="0;\-0;">
                  <c:v>0</c:v>
                </c:pt>
                <c:pt idx="34" formatCode="0;\-0;">
                  <c:v>0</c:v>
                </c:pt>
                <c:pt idx="35" formatCode="0;\-0;">
                  <c:v>0</c:v>
                </c:pt>
                <c:pt idx="36" formatCode="0;\-0;">
                  <c:v>0</c:v>
                </c:pt>
                <c:pt idx="37" formatCode="0;\-0;">
                  <c:v>991</c:v>
                </c:pt>
              </c:numCache>
            </c:numRef>
          </c:val>
          <c:extLst>
            <c:ext xmlns:c16="http://schemas.microsoft.com/office/drawing/2014/chart" uri="{C3380CC4-5D6E-409C-BE32-E72D297353CC}">
              <c16:uniqueId val="{0000000F-6072-4DE2-815B-BCAA68CF4EC8}"/>
            </c:ext>
          </c:extLst>
        </c:ser>
        <c:ser>
          <c:idx val="16"/>
          <c:order val="16"/>
          <c:spPr>
            <a:solidFill>
              <a:srgbClr val="00CCFF"/>
            </a:solidFill>
            <a:ln w="12700">
              <a:solidFill>
                <a:srgbClr val="000000"/>
              </a:solidFill>
              <a:prstDash val="solid"/>
            </a:ln>
          </c:spPr>
          <c:invertIfNegative val="0"/>
          <c:cat>
            <c:strRef>
              <c:f>Preschedule!$A$1:$A$38</c:f>
              <c:strCache>
                <c:ptCount val="38"/>
                <c:pt idx="0">
                  <c:v>01-Dec-00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Preschedule!$R$1:$R$38</c:f>
              <c:numCache>
                <c:formatCode>mmmm\ d\,\ yyyy</c:formatCode>
                <c:ptCount val="38"/>
                <c:pt idx="1">
                  <c:v>0</c:v>
                </c:pt>
                <c:pt idx="2" formatCode="General">
                  <c:v>17</c:v>
                </c:pt>
                <c:pt idx="3" formatCode="0">
                  <c:v>747</c:v>
                </c:pt>
                <c:pt idx="4" formatCode="0;\-0;">
                  <c:v>25</c:v>
                </c:pt>
                <c:pt idx="7" formatCode="0;\-0;">
                  <c:v>0</c:v>
                </c:pt>
                <c:pt idx="8" formatCode="0;\-0;">
                  <c:v>0</c:v>
                </c:pt>
                <c:pt idx="9" formatCode="0;\-0;">
                  <c:v>0</c:v>
                </c:pt>
                <c:pt idx="10" formatCode="0;\-0;">
                  <c:v>0</c:v>
                </c:pt>
                <c:pt idx="12" formatCode="0;\-0;">
                  <c:v>0</c:v>
                </c:pt>
                <c:pt idx="13" formatCode="0;\-0;">
                  <c:v>0</c:v>
                </c:pt>
                <c:pt idx="14" formatCode="0;\-0;">
                  <c:v>0</c:v>
                </c:pt>
                <c:pt idx="16" formatCode="0;\-0;">
                  <c:v>0</c:v>
                </c:pt>
                <c:pt idx="17" formatCode="0;\-0;">
                  <c:v>-50</c:v>
                </c:pt>
                <c:pt idx="20" formatCode="0;\-0;">
                  <c:v>0</c:v>
                </c:pt>
                <c:pt idx="22" formatCode="0;\-0;">
                  <c:v>95</c:v>
                </c:pt>
                <c:pt idx="23" formatCode="0;\-0;">
                  <c:v>1</c:v>
                </c:pt>
                <c:pt idx="25" formatCode="0;\-0;">
                  <c:v>0</c:v>
                </c:pt>
                <c:pt idx="26" formatCode="0;\-0;">
                  <c:v>0</c:v>
                </c:pt>
                <c:pt idx="27" formatCode="0;\-0;">
                  <c:v>0</c:v>
                </c:pt>
                <c:pt idx="28" formatCode="0;\-0;">
                  <c:v>20</c:v>
                </c:pt>
                <c:pt idx="29" formatCode="0;\-0;">
                  <c:v>0</c:v>
                </c:pt>
                <c:pt idx="30" formatCode="0;\-0;">
                  <c:v>150</c:v>
                </c:pt>
                <c:pt idx="31" formatCode="0;\-0;">
                  <c:v>0</c:v>
                </c:pt>
                <c:pt idx="33" formatCode="0;\-0;">
                  <c:v>0</c:v>
                </c:pt>
                <c:pt idx="34" formatCode="0;\-0;">
                  <c:v>0</c:v>
                </c:pt>
                <c:pt idx="35" formatCode="0;\-0;">
                  <c:v>0</c:v>
                </c:pt>
                <c:pt idx="36" formatCode="0;\-0;">
                  <c:v>0</c:v>
                </c:pt>
                <c:pt idx="37" formatCode="0;\-0;">
                  <c:v>1038</c:v>
                </c:pt>
              </c:numCache>
            </c:numRef>
          </c:val>
          <c:extLst>
            <c:ext xmlns:c16="http://schemas.microsoft.com/office/drawing/2014/chart" uri="{C3380CC4-5D6E-409C-BE32-E72D297353CC}">
              <c16:uniqueId val="{00000010-6072-4DE2-815B-BCAA68CF4EC8}"/>
            </c:ext>
          </c:extLst>
        </c:ser>
        <c:ser>
          <c:idx val="17"/>
          <c:order val="17"/>
          <c:spPr>
            <a:solidFill>
              <a:srgbClr val="CCFFFF"/>
            </a:solidFill>
            <a:ln w="12700">
              <a:solidFill>
                <a:srgbClr val="000000"/>
              </a:solidFill>
              <a:prstDash val="solid"/>
            </a:ln>
          </c:spPr>
          <c:invertIfNegative val="0"/>
          <c:cat>
            <c:strRef>
              <c:f>Preschedule!$A$1:$A$38</c:f>
              <c:strCache>
                <c:ptCount val="38"/>
                <c:pt idx="0">
                  <c:v>01-Dec-00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Preschedule!$S$1:$S$38</c:f>
              <c:numCache>
                <c:formatCode>mmmm\ d\,\ yyyy</c:formatCode>
                <c:ptCount val="38"/>
                <c:pt idx="1">
                  <c:v>0</c:v>
                </c:pt>
                <c:pt idx="2" formatCode="General">
                  <c:v>18</c:v>
                </c:pt>
                <c:pt idx="3" formatCode="0">
                  <c:v>826</c:v>
                </c:pt>
                <c:pt idx="4" formatCode="0;\-0;">
                  <c:v>25</c:v>
                </c:pt>
                <c:pt idx="7" formatCode="0;\-0;">
                  <c:v>0</c:v>
                </c:pt>
                <c:pt idx="8" formatCode="0;\-0;">
                  <c:v>0</c:v>
                </c:pt>
                <c:pt idx="9" formatCode="0;\-0;">
                  <c:v>0</c:v>
                </c:pt>
                <c:pt idx="10" formatCode="0;\-0;">
                  <c:v>0</c:v>
                </c:pt>
                <c:pt idx="12" formatCode="0;\-0;">
                  <c:v>0</c:v>
                </c:pt>
                <c:pt idx="13" formatCode="0;\-0;">
                  <c:v>0</c:v>
                </c:pt>
                <c:pt idx="14" formatCode="0;\-0;">
                  <c:v>0</c:v>
                </c:pt>
                <c:pt idx="16" formatCode="0;\-0;">
                  <c:v>0</c:v>
                </c:pt>
                <c:pt idx="17" formatCode="0;\-0;">
                  <c:v>-50</c:v>
                </c:pt>
                <c:pt idx="20" formatCode="0;\-0;">
                  <c:v>0</c:v>
                </c:pt>
                <c:pt idx="22" formatCode="0;\-0;">
                  <c:v>55</c:v>
                </c:pt>
                <c:pt idx="23" formatCode="0;\-0;">
                  <c:v>1</c:v>
                </c:pt>
                <c:pt idx="25" formatCode="0;\-0;">
                  <c:v>0</c:v>
                </c:pt>
                <c:pt idx="26" formatCode="0;\-0;">
                  <c:v>0</c:v>
                </c:pt>
                <c:pt idx="27" formatCode="0;\-0;">
                  <c:v>0</c:v>
                </c:pt>
                <c:pt idx="28" formatCode="0;\-0;">
                  <c:v>0</c:v>
                </c:pt>
                <c:pt idx="29" formatCode="0;\-0;">
                  <c:v>0</c:v>
                </c:pt>
                <c:pt idx="30" formatCode="0;\-0;">
                  <c:v>150</c:v>
                </c:pt>
                <c:pt idx="31" formatCode="0;\-0;">
                  <c:v>0</c:v>
                </c:pt>
                <c:pt idx="33" formatCode="0;\-0;">
                  <c:v>0</c:v>
                </c:pt>
                <c:pt idx="34" formatCode="0;\-0;">
                  <c:v>0</c:v>
                </c:pt>
                <c:pt idx="35" formatCode="0;\-0;">
                  <c:v>0</c:v>
                </c:pt>
                <c:pt idx="36" formatCode="0;\-0;">
                  <c:v>0</c:v>
                </c:pt>
                <c:pt idx="37" formatCode="0;\-0;">
                  <c:v>1057</c:v>
                </c:pt>
              </c:numCache>
            </c:numRef>
          </c:val>
          <c:extLst>
            <c:ext xmlns:c16="http://schemas.microsoft.com/office/drawing/2014/chart" uri="{C3380CC4-5D6E-409C-BE32-E72D297353CC}">
              <c16:uniqueId val="{00000011-6072-4DE2-815B-BCAA68CF4EC8}"/>
            </c:ext>
          </c:extLst>
        </c:ser>
        <c:ser>
          <c:idx val="18"/>
          <c:order val="18"/>
          <c:spPr>
            <a:solidFill>
              <a:srgbClr val="CCFFCC"/>
            </a:solidFill>
            <a:ln w="12700">
              <a:solidFill>
                <a:srgbClr val="000000"/>
              </a:solidFill>
              <a:prstDash val="solid"/>
            </a:ln>
          </c:spPr>
          <c:invertIfNegative val="0"/>
          <c:cat>
            <c:strRef>
              <c:f>Preschedule!$A$1:$A$38</c:f>
              <c:strCache>
                <c:ptCount val="38"/>
                <c:pt idx="0">
                  <c:v>01-Dec-00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Preschedule!$T$1:$T$38</c:f>
              <c:numCache>
                <c:formatCode>mmmm\ d\,\ yyyy</c:formatCode>
                <c:ptCount val="38"/>
                <c:pt idx="1">
                  <c:v>0</c:v>
                </c:pt>
                <c:pt idx="2" formatCode="General">
                  <c:v>19</c:v>
                </c:pt>
                <c:pt idx="3" formatCode="0">
                  <c:v>838</c:v>
                </c:pt>
                <c:pt idx="4" formatCode="0;\-0;">
                  <c:v>25</c:v>
                </c:pt>
                <c:pt idx="7" formatCode="0;\-0;">
                  <c:v>0</c:v>
                </c:pt>
                <c:pt idx="8" formatCode="0;\-0;">
                  <c:v>0</c:v>
                </c:pt>
                <c:pt idx="9" formatCode="0;\-0;">
                  <c:v>0</c:v>
                </c:pt>
                <c:pt idx="10" formatCode="0;\-0;">
                  <c:v>0</c:v>
                </c:pt>
                <c:pt idx="12" formatCode="0;\-0;">
                  <c:v>20</c:v>
                </c:pt>
                <c:pt idx="13" formatCode="0;\-0;">
                  <c:v>0</c:v>
                </c:pt>
                <c:pt idx="14" formatCode="0;\-0;">
                  <c:v>0</c:v>
                </c:pt>
                <c:pt idx="16" formatCode="0;\-0;">
                  <c:v>0</c:v>
                </c:pt>
                <c:pt idx="17" formatCode="0;\-0;">
                  <c:v>-50</c:v>
                </c:pt>
                <c:pt idx="20" formatCode="0;\-0;">
                  <c:v>0</c:v>
                </c:pt>
                <c:pt idx="22" formatCode="0;\-0;">
                  <c:v>100</c:v>
                </c:pt>
                <c:pt idx="23" formatCode="0;\-0;">
                  <c:v>1</c:v>
                </c:pt>
                <c:pt idx="25" formatCode="0;\-0;">
                  <c:v>0</c:v>
                </c:pt>
                <c:pt idx="26" formatCode="0;\-0;">
                  <c:v>0</c:v>
                </c:pt>
                <c:pt idx="27" formatCode="0;\-0;">
                  <c:v>0</c:v>
                </c:pt>
                <c:pt idx="28" formatCode="0;\-0;">
                  <c:v>0</c:v>
                </c:pt>
                <c:pt idx="29" formatCode="0;\-0;">
                  <c:v>0</c:v>
                </c:pt>
                <c:pt idx="30" formatCode="0;\-0;">
                  <c:v>100</c:v>
                </c:pt>
                <c:pt idx="31" formatCode="0;\-0;">
                  <c:v>0</c:v>
                </c:pt>
                <c:pt idx="33" formatCode="0;\-0;">
                  <c:v>0</c:v>
                </c:pt>
                <c:pt idx="34" formatCode="0;\-0;">
                  <c:v>0</c:v>
                </c:pt>
                <c:pt idx="35" formatCode="0;\-0;">
                  <c:v>0</c:v>
                </c:pt>
                <c:pt idx="36" formatCode="0;\-0;">
                  <c:v>0</c:v>
                </c:pt>
                <c:pt idx="37" formatCode="0;\-0;">
                  <c:v>1064</c:v>
                </c:pt>
              </c:numCache>
            </c:numRef>
          </c:val>
          <c:extLst>
            <c:ext xmlns:c16="http://schemas.microsoft.com/office/drawing/2014/chart" uri="{C3380CC4-5D6E-409C-BE32-E72D297353CC}">
              <c16:uniqueId val="{00000012-6072-4DE2-815B-BCAA68CF4EC8}"/>
            </c:ext>
          </c:extLst>
        </c:ser>
        <c:ser>
          <c:idx val="19"/>
          <c:order val="19"/>
          <c:spPr>
            <a:solidFill>
              <a:srgbClr val="FFFF99"/>
            </a:solidFill>
            <a:ln w="12700">
              <a:solidFill>
                <a:srgbClr val="000000"/>
              </a:solidFill>
              <a:prstDash val="solid"/>
            </a:ln>
          </c:spPr>
          <c:invertIfNegative val="0"/>
          <c:cat>
            <c:strRef>
              <c:f>Preschedule!$A$1:$A$38</c:f>
              <c:strCache>
                <c:ptCount val="38"/>
                <c:pt idx="0">
                  <c:v>01-Dec-00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Preschedule!$U$1:$U$38</c:f>
              <c:numCache>
                <c:formatCode>mmmm\ d\,\ yyyy</c:formatCode>
                <c:ptCount val="38"/>
                <c:pt idx="1">
                  <c:v>0</c:v>
                </c:pt>
                <c:pt idx="2" formatCode="General">
                  <c:v>20</c:v>
                </c:pt>
                <c:pt idx="3" formatCode="0">
                  <c:v>827</c:v>
                </c:pt>
                <c:pt idx="4" formatCode="0;\-0;">
                  <c:v>25</c:v>
                </c:pt>
                <c:pt idx="7" formatCode="0;\-0;">
                  <c:v>0</c:v>
                </c:pt>
                <c:pt idx="8" formatCode="0;\-0;">
                  <c:v>0</c:v>
                </c:pt>
                <c:pt idx="9" formatCode="0;\-0;">
                  <c:v>0</c:v>
                </c:pt>
                <c:pt idx="10" formatCode="0;\-0;">
                  <c:v>0</c:v>
                </c:pt>
                <c:pt idx="12" formatCode="0;\-0;">
                  <c:v>20</c:v>
                </c:pt>
                <c:pt idx="13" formatCode="0;\-0;">
                  <c:v>0</c:v>
                </c:pt>
                <c:pt idx="14" formatCode="0;\-0;">
                  <c:v>0</c:v>
                </c:pt>
                <c:pt idx="16" formatCode="0;\-0;">
                  <c:v>0</c:v>
                </c:pt>
                <c:pt idx="17" formatCode="0;\-0;">
                  <c:v>-50</c:v>
                </c:pt>
                <c:pt idx="20" formatCode="0;\-0;">
                  <c:v>0</c:v>
                </c:pt>
                <c:pt idx="22" formatCode="0;\-0;">
                  <c:v>110</c:v>
                </c:pt>
                <c:pt idx="23" formatCode="0;\-0;">
                  <c:v>11</c:v>
                </c:pt>
                <c:pt idx="25" formatCode="0;\-0;">
                  <c:v>0</c:v>
                </c:pt>
                <c:pt idx="26" formatCode="0;\-0;">
                  <c:v>0</c:v>
                </c:pt>
                <c:pt idx="27" formatCode="0;\-0;">
                  <c:v>25</c:v>
                </c:pt>
                <c:pt idx="28" formatCode="0;\-0;">
                  <c:v>0</c:v>
                </c:pt>
                <c:pt idx="29" formatCode="0;\-0;">
                  <c:v>0</c:v>
                </c:pt>
                <c:pt idx="30" formatCode="0;\-0;">
                  <c:v>100</c:v>
                </c:pt>
                <c:pt idx="31" formatCode="0;\-0;">
                  <c:v>0</c:v>
                </c:pt>
                <c:pt idx="33" formatCode="0;\-0;">
                  <c:v>0</c:v>
                </c:pt>
                <c:pt idx="34" formatCode="0;\-0;">
                  <c:v>0</c:v>
                </c:pt>
                <c:pt idx="35" formatCode="0;\-0;">
                  <c:v>0</c:v>
                </c:pt>
                <c:pt idx="36" formatCode="0;\-0;">
                  <c:v>0</c:v>
                </c:pt>
                <c:pt idx="37" formatCode="0;\-0;">
                  <c:v>1098</c:v>
                </c:pt>
              </c:numCache>
            </c:numRef>
          </c:val>
          <c:extLst>
            <c:ext xmlns:c16="http://schemas.microsoft.com/office/drawing/2014/chart" uri="{C3380CC4-5D6E-409C-BE32-E72D297353CC}">
              <c16:uniqueId val="{00000013-6072-4DE2-815B-BCAA68CF4EC8}"/>
            </c:ext>
          </c:extLst>
        </c:ser>
        <c:ser>
          <c:idx val="20"/>
          <c:order val="20"/>
          <c:spPr>
            <a:solidFill>
              <a:srgbClr val="99CCFF"/>
            </a:solidFill>
            <a:ln w="12700">
              <a:solidFill>
                <a:srgbClr val="000000"/>
              </a:solidFill>
              <a:prstDash val="solid"/>
            </a:ln>
          </c:spPr>
          <c:invertIfNegative val="0"/>
          <c:cat>
            <c:strRef>
              <c:f>Preschedule!$A$1:$A$38</c:f>
              <c:strCache>
                <c:ptCount val="38"/>
                <c:pt idx="0">
                  <c:v>01-Dec-00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Preschedule!$V$1:$V$38</c:f>
              <c:numCache>
                <c:formatCode>mmmm\ d\,\ yyyy</c:formatCode>
                <c:ptCount val="38"/>
                <c:pt idx="1">
                  <c:v>0</c:v>
                </c:pt>
                <c:pt idx="2" formatCode="General">
                  <c:v>21</c:v>
                </c:pt>
                <c:pt idx="3" formatCode="0">
                  <c:v>803</c:v>
                </c:pt>
                <c:pt idx="4" formatCode="0;\-0;">
                  <c:v>25</c:v>
                </c:pt>
                <c:pt idx="7" formatCode="0;\-0;">
                  <c:v>0</c:v>
                </c:pt>
                <c:pt idx="8" formatCode="0;\-0;">
                  <c:v>0</c:v>
                </c:pt>
                <c:pt idx="9" formatCode="0;\-0;">
                  <c:v>0</c:v>
                </c:pt>
                <c:pt idx="10" formatCode="0;\-0;">
                  <c:v>0</c:v>
                </c:pt>
                <c:pt idx="12" formatCode="0;\-0;">
                  <c:v>20</c:v>
                </c:pt>
                <c:pt idx="13" formatCode="0;\-0;">
                  <c:v>0</c:v>
                </c:pt>
                <c:pt idx="14" formatCode="0;\-0;">
                  <c:v>0</c:v>
                </c:pt>
                <c:pt idx="17" formatCode="0;\-0;">
                  <c:v>-50</c:v>
                </c:pt>
                <c:pt idx="20" formatCode="0;\-0;">
                  <c:v>0</c:v>
                </c:pt>
                <c:pt idx="22" formatCode="0;\-0;">
                  <c:v>100</c:v>
                </c:pt>
                <c:pt idx="23" formatCode="0;\-0;">
                  <c:v>11</c:v>
                </c:pt>
                <c:pt idx="25" formatCode="0;\-0;">
                  <c:v>0</c:v>
                </c:pt>
                <c:pt idx="26" formatCode="0;\-0;">
                  <c:v>0</c:v>
                </c:pt>
                <c:pt idx="27" formatCode="0;\-0;">
                  <c:v>0</c:v>
                </c:pt>
                <c:pt idx="28" formatCode="0;\-0;">
                  <c:v>0</c:v>
                </c:pt>
                <c:pt idx="29" formatCode="0;\-0;">
                  <c:v>0</c:v>
                </c:pt>
                <c:pt idx="30" formatCode="0;\-0;">
                  <c:v>100</c:v>
                </c:pt>
                <c:pt idx="31" formatCode="0;\-0;">
                  <c:v>0</c:v>
                </c:pt>
                <c:pt idx="33" formatCode="0;\-0;">
                  <c:v>0</c:v>
                </c:pt>
                <c:pt idx="34" formatCode="0;\-0;">
                  <c:v>0</c:v>
                </c:pt>
                <c:pt idx="35" formatCode="0;\-0;">
                  <c:v>0</c:v>
                </c:pt>
                <c:pt idx="36" formatCode="0;\-0;">
                  <c:v>0</c:v>
                </c:pt>
                <c:pt idx="37" formatCode="0;\-0;">
                  <c:v>1039</c:v>
                </c:pt>
              </c:numCache>
            </c:numRef>
          </c:val>
          <c:extLst>
            <c:ext xmlns:c16="http://schemas.microsoft.com/office/drawing/2014/chart" uri="{C3380CC4-5D6E-409C-BE32-E72D297353CC}">
              <c16:uniqueId val="{00000014-6072-4DE2-815B-BCAA68CF4EC8}"/>
            </c:ext>
          </c:extLst>
        </c:ser>
        <c:ser>
          <c:idx val="21"/>
          <c:order val="21"/>
          <c:spPr>
            <a:solidFill>
              <a:srgbClr val="FF99CC"/>
            </a:solidFill>
            <a:ln w="12700">
              <a:solidFill>
                <a:srgbClr val="000000"/>
              </a:solidFill>
              <a:prstDash val="solid"/>
            </a:ln>
          </c:spPr>
          <c:invertIfNegative val="0"/>
          <c:cat>
            <c:strRef>
              <c:f>Preschedule!$A$1:$A$38</c:f>
              <c:strCache>
                <c:ptCount val="38"/>
                <c:pt idx="0">
                  <c:v>01-Dec-00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Preschedule!$W$1:$W$38</c:f>
              <c:numCache>
                <c:formatCode>mmmm\ d\,\ yyyy</c:formatCode>
                <c:ptCount val="38"/>
                <c:pt idx="1">
                  <c:v>0</c:v>
                </c:pt>
                <c:pt idx="2" formatCode="General">
                  <c:v>22</c:v>
                </c:pt>
                <c:pt idx="3" formatCode="0">
                  <c:v>774</c:v>
                </c:pt>
                <c:pt idx="4" formatCode="0;\-0;">
                  <c:v>25</c:v>
                </c:pt>
                <c:pt idx="7" formatCode="0;\-0;">
                  <c:v>0</c:v>
                </c:pt>
                <c:pt idx="8" formatCode="0;\-0;">
                  <c:v>0</c:v>
                </c:pt>
                <c:pt idx="9" formatCode="0;\-0;">
                  <c:v>0</c:v>
                </c:pt>
                <c:pt idx="10" formatCode="0;\-0;">
                  <c:v>0</c:v>
                </c:pt>
                <c:pt idx="12" formatCode="0;\-0;">
                  <c:v>20</c:v>
                </c:pt>
                <c:pt idx="13" formatCode="0;\-0;">
                  <c:v>0</c:v>
                </c:pt>
                <c:pt idx="14" formatCode="0;\-0;">
                  <c:v>0</c:v>
                </c:pt>
                <c:pt idx="16" formatCode="0;\-0;">
                  <c:v>0</c:v>
                </c:pt>
                <c:pt idx="17" formatCode="0;\-0;">
                  <c:v>-50</c:v>
                </c:pt>
                <c:pt idx="20" formatCode="0;\-0;">
                  <c:v>0</c:v>
                </c:pt>
                <c:pt idx="22" formatCode="0;\-0;">
                  <c:v>90</c:v>
                </c:pt>
                <c:pt idx="23" formatCode="0;\-0;">
                  <c:v>11</c:v>
                </c:pt>
                <c:pt idx="25" formatCode="0;\-0;">
                  <c:v>0</c:v>
                </c:pt>
                <c:pt idx="26" formatCode="0;\-0;">
                  <c:v>0</c:v>
                </c:pt>
                <c:pt idx="27" formatCode="0;\-0;">
                  <c:v>0</c:v>
                </c:pt>
                <c:pt idx="28" formatCode="0;\-0;">
                  <c:v>60</c:v>
                </c:pt>
                <c:pt idx="29" formatCode="0;\-0;">
                  <c:v>0</c:v>
                </c:pt>
                <c:pt idx="30" formatCode="0;\-0;">
                  <c:v>100</c:v>
                </c:pt>
                <c:pt idx="31" formatCode="0;\-0;">
                  <c:v>0</c:v>
                </c:pt>
                <c:pt idx="33" formatCode="0;\-0;">
                  <c:v>0</c:v>
                </c:pt>
                <c:pt idx="34" formatCode="0;\-0;">
                  <c:v>0</c:v>
                </c:pt>
                <c:pt idx="35" formatCode="0;\-0;">
                  <c:v>0</c:v>
                </c:pt>
                <c:pt idx="36" formatCode="0;\-0;">
                  <c:v>0</c:v>
                </c:pt>
                <c:pt idx="37" formatCode="0;\-0;">
                  <c:v>1060</c:v>
                </c:pt>
              </c:numCache>
            </c:numRef>
          </c:val>
          <c:extLst>
            <c:ext xmlns:c16="http://schemas.microsoft.com/office/drawing/2014/chart" uri="{C3380CC4-5D6E-409C-BE32-E72D297353CC}">
              <c16:uniqueId val="{00000015-6072-4DE2-815B-BCAA68CF4EC8}"/>
            </c:ext>
          </c:extLst>
        </c:ser>
        <c:ser>
          <c:idx val="22"/>
          <c:order val="22"/>
          <c:spPr>
            <a:solidFill>
              <a:srgbClr val="CC99FF"/>
            </a:solidFill>
            <a:ln w="12700">
              <a:solidFill>
                <a:srgbClr val="000000"/>
              </a:solidFill>
              <a:prstDash val="solid"/>
            </a:ln>
          </c:spPr>
          <c:invertIfNegative val="0"/>
          <c:cat>
            <c:strRef>
              <c:f>Preschedule!$A$1:$A$38</c:f>
              <c:strCache>
                <c:ptCount val="38"/>
                <c:pt idx="0">
                  <c:v>01-Dec-00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Preschedule!$X$1:$X$38</c:f>
              <c:numCache>
                <c:formatCode>mmmm\ d\,\ yyyy</c:formatCode>
                <c:ptCount val="38"/>
                <c:pt idx="1">
                  <c:v>0</c:v>
                </c:pt>
                <c:pt idx="2" formatCode="General">
                  <c:v>23</c:v>
                </c:pt>
                <c:pt idx="3" formatCode="0">
                  <c:v>743</c:v>
                </c:pt>
                <c:pt idx="4" formatCode="0;\-0;">
                  <c:v>25</c:v>
                </c:pt>
                <c:pt idx="7" formatCode="0;\-0;">
                  <c:v>0</c:v>
                </c:pt>
                <c:pt idx="8" formatCode="0;\-0;">
                  <c:v>0</c:v>
                </c:pt>
                <c:pt idx="9" formatCode="0;\-0;">
                  <c:v>0</c:v>
                </c:pt>
                <c:pt idx="10" formatCode="0;\-0;">
                  <c:v>0</c:v>
                </c:pt>
                <c:pt idx="12" formatCode="0;\-0;">
                  <c:v>0</c:v>
                </c:pt>
                <c:pt idx="13" formatCode="0;\-0;">
                  <c:v>0</c:v>
                </c:pt>
                <c:pt idx="14" formatCode="0;\-0;">
                  <c:v>0</c:v>
                </c:pt>
                <c:pt idx="16" formatCode="0;\-0;">
                  <c:v>0</c:v>
                </c:pt>
                <c:pt idx="17" formatCode="0;\-0;">
                  <c:v>-50</c:v>
                </c:pt>
                <c:pt idx="20" formatCode="0;\-0;">
                  <c:v>0</c:v>
                </c:pt>
                <c:pt idx="22" formatCode="0;\-0;">
                  <c:v>40</c:v>
                </c:pt>
                <c:pt idx="23" formatCode="0;\-0;">
                  <c:v>11</c:v>
                </c:pt>
                <c:pt idx="25" formatCode="0;\-0;">
                  <c:v>40</c:v>
                </c:pt>
                <c:pt idx="26" formatCode="0;\-0;">
                  <c:v>0</c:v>
                </c:pt>
                <c:pt idx="27" formatCode="0;\-0;">
                  <c:v>0</c:v>
                </c:pt>
                <c:pt idx="28" formatCode="0;\-0;">
                  <c:v>75</c:v>
                </c:pt>
                <c:pt idx="29" formatCode="0;\-0;">
                  <c:v>0</c:v>
                </c:pt>
                <c:pt idx="30" formatCode="0;\-0;">
                  <c:v>50</c:v>
                </c:pt>
                <c:pt idx="31" formatCode="0;\-0;">
                  <c:v>0</c:v>
                </c:pt>
                <c:pt idx="33" formatCode="0;\-0;">
                  <c:v>0</c:v>
                </c:pt>
                <c:pt idx="34" formatCode="0;\-0;">
                  <c:v>0</c:v>
                </c:pt>
                <c:pt idx="35" formatCode="0;\-0;">
                  <c:v>0</c:v>
                </c:pt>
                <c:pt idx="36" formatCode="0;\-0;">
                  <c:v>0</c:v>
                </c:pt>
                <c:pt idx="37" formatCode="0;\-0;">
                  <c:v>984</c:v>
                </c:pt>
              </c:numCache>
            </c:numRef>
          </c:val>
          <c:extLst>
            <c:ext xmlns:c16="http://schemas.microsoft.com/office/drawing/2014/chart" uri="{C3380CC4-5D6E-409C-BE32-E72D297353CC}">
              <c16:uniqueId val="{00000016-6072-4DE2-815B-BCAA68CF4EC8}"/>
            </c:ext>
          </c:extLst>
        </c:ser>
        <c:ser>
          <c:idx val="23"/>
          <c:order val="23"/>
          <c:spPr>
            <a:solidFill>
              <a:srgbClr val="FFCC99"/>
            </a:solidFill>
            <a:ln w="12700">
              <a:solidFill>
                <a:srgbClr val="000000"/>
              </a:solidFill>
              <a:prstDash val="solid"/>
            </a:ln>
          </c:spPr>
          <c:invertIfNegative val="0"/>
          <c:cat>
            <c:strRef>
              <c:f>Preschedule!$A$1:$A$38</c:f>
              <c:strCache>
                <c:ptCount val="38"/>
                <c:pt idx="0">
                  <c:v>01-Dec-00</c:v>
                </c:pt>
                <c:pt idx="2">
                  <c:v>                            </c:v>
                </c:pt>
                <c:pt idx="3">
                  <c:v>LOAD (Incl,RGC,CFE)</c:v>
                </c:pt>
                <c:pt idx="4">
                  <c:v>TNP</c:v>
                </c:pt>
                <c:pt idx="5">
                  <c:v>Purchases</c:v>
                </c:pt>
                <c:pt idx="6">
                  <c:v>Incremental Purchases</c:v>
                </c:pt>
                <c:pt idx="7">
                  <c:v>4C Prescheduled</c:v>
                </c:pt>
                <c:pt idx="8">
                  <c:v>4C Balancing</c:v>
                </c:pt>
                <c:pt idx="9">
                  <c:v>4C Real-time</c:v>
                </c:pt>
                <c:pt idx="10">
                  <c:v>PV Prescheduled</c:v>
                </c:pt>
                <c:pt idx="11">
                  <c:v>PV Balancing</c:v>
                </c:pt>
                <c:pt idx="12">
                  <c:v>PV Direct Bill</c:v>
                </c:pt>
                <c:pt idx="13">
                  <c:v>PV Real-time</c:v>
                </c:pt>
                <c:pt idx="14">
                  <c:v>Hidalgo Prescheduled</c:v>
                </c:pt>
                <c:pt idx="16">
                  <c:v>Hidalgo Real-time</c:v>
                </c:pt>
                <c:pt idx="17">
                  <c:v>Artesia Direct Bill</c:v>
                </c:pt>
                <c:pt idx="18">
                  <c:v>Artesia Prescheduled</c:v>
                </c:pt>
                <c:pt idx="19">
                  <c:v>Artesia Balancing</c:v>
                </c:pt>
                <c:pt idx="20">
                  <c:v>Artesia Real-time</c:v>
                </c:pt>
                <c:pt idx="21">
                  <c:v>Sales</c:v>
                </c:pt>
                <c:pt idx="22">
                  <c:v>IID (150 MW)</c:v>
                </c:pt>
                <c:pt idx="23">
                  <c:v>PNM (56 MW)</c:v>
                </c:pt>
                <c:pt idx="24">
                  <c:v>Incremental Sales</c:v>
                </c:pt>
                <c:pt idx="25">
                  <c:v>4C PRESCHEDULED</c:v>
                </c:pt>
                <c:pt idx="26">
                  <c:v>4C BALANCING</c:v>
                </c:pt>
                <c:pt idx="27">
                  <c:v>4C REAL-TIME</c:v>
                </c:pt>
                <c:pt idx="28">
                  <c:v>PV PRESCHEDULED</c:v>
                </c:pt>
                <c:pt idx="29">
                  <c:v>PV BALANCING</c:v>
                </c:pt>
                <c:pt idx="30">
                  <c:v>PV REAL-TIME</c:v>
                </c:pt>
                <c:pt idx="31">
                  <c:v>Hidalgo Prescheduled</c:v>
                </c:pt>
                <c:pt idx="33">
                  <c:v>Hidalgo Real-time</c:v>
                </c:pt>
                <c:pt idx="34">
                  <c:v>Artesia Prescheduled</c:v>
                </c:pt>
                <c:pt idx="35">
                  <c:v>Artesia Balancing</c:v>
                </c:pt>
                <c:pt idx="36">
                  <c:v>Artesia Real-time</c:v>
                </c:pt>
                <c:pt idx="37">
                  <c:v>Total Obligations</c:v>
                </c:pt>
              </c:strCache>
            </c:strRef>
          </c:cat>
          <c:val>
            <c:numRef>
              <c:f>Preschedule!$Y$1:$Y$38</c:f>
              <c:numCache>
                <c:formatCode>mmmm\ d\,\ yyyy</c:formatCode>
                <c:ptCount val="38"/>
                <c:pt idx="1">
                  <c:v>0</c:v>
                </c:pt>
                <c:pt idx="2" formatCode="General">
                  <c:v>24</c:v>
                </c:pt>
                <c:pt idx="3" formatCode="0">
                  <c:v>665</c:v>
                </c:pt>
                <c:pt idx="4" formatCode="0;\-0;">
                  <c:v>25</c:v>
                </c:pt>
                <c:pt idx="7" formatCode="0;\-0;">
                  <c:v>0</c:v>
                </c:pt>
                <c:pt idx="8" formatCode="0;\-0;">
                  <c:v>0</c:v>
                </c:pt>
                <c:pt idx="9" formatCode="0;\-0;">
                  <c:v>0</c:v>
                </c:pt>
                <c:pt idx="10" formatCode="0;\-0;">
                  <c:v>0</c:v>
                </c:pt>
                <c:pt idx="12" formatCode="0;\-0;">
                  <c:v>0</c:v>
                </c:pt>
                <c:pt idx="13" formatCode="0;\-0;">
                  <c:v>0</c:v>
                </c:pt>
                <c:pt idx="14" formatCode="0;\-0;">
                  <c:v>0</c:v>
                </c:pt>
                <c:pt idx="16" formatCode="0;\-0;">
                  <c:v>0</c:v>
                </c:pt>
                <c:pt idx="17" formatCode="0;\-0;">
                  <c:v>-50</c:v>
                </c:pt>
                <c:pt idx="20" formatCode="0;\-0;">
                  <c:v>0</c:v>
                </c:pt>
                <c:pt idx="22" formatCode="0;\-0;">
                  <c:v>50</c:v>
                </c:pt>
                <c:pt idx="23" formatCode="0;\-0;">
                  <c:v>11</c:v>
                </c:pt>
                <c:pt idx="25" formatCode="0;\-0;">
                  <c:v>80</c:v>
                </c:pt>
                <c:pt idx="26" formatCode="0;\-0;">
                  <c:v>0</c:v>
                </c:pt>
                <c:pt idx="27" formatCode="0;\-0;">
                  <c:v>0</c:v>
                </c:pt>
                <c:pt idx="28" formatCode="0;\-0;">
                  <c:v>150</c:v>
                </c:pt>
                <c:pt idx="29" formatCode="0;\-0;">
                  <c:v>0</c:v>
                </c:pt>
                <c:pt idx="30" formatCode="0;\-0;">
                  <c:v>0</c:v>
                </c:pt>
                <c:pt idx="31" formatCode="0;\-0;">
                  <c:v>0</c:v>
                </c:pt>
                <c:pt idx="33" formatCode="0;\-0;">
                  <c:v>0</c:v>
                </c:pt>
                <c:pt idx="34" formatCode="0;\-0;">
                  <c:v>0</c:v>
                </c:pt>
                <c:pt idx="35" formatCode="0;\-0;">
                  <c:v>0</c:v>
                </c:pt>
                <c:pt idx="36" formatCode="0;\-0;">
                  <c:v>0</c:v>
                </c:pt>
                <c:pt idx="37" formatCode="0;\-0;">
                  <c:v>981</c:v>
                </c:pt>
              </c:numCache>
            </c:numRef>
          </c:val>
          <c:extLst>
            <c:ext xmlns:c16="http://schemas.microsoft.com/office/drawing/2014/chart" uri="{C3380CC4-5D6E-409C-BE32-E72D297353CC}">
              <c16:uniqueId val="{00000017-6072-4DE2-815B-BCAA68CF4EC8}"/>
            </c:ext>
          </c:extLst>
        </c:ser>
        <c:dLbls>
          <c:showLegendKey val="0"/>
          <c:showVal val="0"/>
          <c:showCatName val="0"/>
          <c:showSerName val="0"/>
          <c:showPercent val="0"/>
          <c:showBubbleSize val="0"/>
        </c:dLbls>
        <c:gapWidth val="150"/>
        <c:axId val="186512944"/>
        <c:axId val="1"/>
      </c:barChart>
      <c:catAx>
        <c:axId val="186512944"/>
        <c:scaling>
          <c:orientation val="minMax"/>
        </c:scaling>
        <c:delete val="0"/>
        <c:axPos val="b"/>
        <c:numFmt formatCode="General" sourceLinked="1"/>
        <c:majorTickMark val="out"/>
        <c:minorTickMark val="none"/>
        <c:tickLblPos val="nextTo"/>
        <c:spPr>
          <a:ln w="3175">
            <a:solidFill>
              <a:srgbClr val="000000"/>
            </a:solidFill>
            <a:prstDash val="solid"/>
          </a:ln>
        </c:spPr>
        <c:txPr>
          <a:bodyPr rot="-5400000" vert="horz"/>
          <a:lstStyle/>
          <a:p>
            <a:pPr>
              <a:defRPr sz="950" b="0" i="0" u="none" strike="noStrike" baseline="0">
                <a:solidFill>
                  <a:srgbClr val="000000"/>
                </a:solidFill>
                <a:latin typeface="Arial"/>
                <a:ea typeface="Arial"/>
                <a:cs typeface="Arial"/>
              </a:defRPr>
            </a:pPr>
            <a:endParaRPr lang="en-US"/>
          </a:p>
        </c:txPr>
        <c:crossAx val="1"/>
        <c:crosses val="autoZero"/>
        <c:auto val="1"/>
        <c:lblAlgn val="ctr"/>
        <c:lblOffset val="100"/>
        <c:tickLblSkip val="1"/>
        <c:tickMarkSkip val="1"/>
        <c:noMultiLvlLbl val="0"/>
      </c:catAx>
      <c:valAx>
        <c:axId val="1"/>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950" b="0" i="0" u="none" strike="noStrike" baseline="0">
                <a:solidFill>
                  <a:srgbClr val="000000"/>
                </a:solidFill>
                <a:latin typeface="Arial"/>
                <a:ea typeface="Arial"/>
                <a:cs typeface="Arial"/>
              </a:defRPr>
            </a:pPr>
            <a:endParaRPr lang="en-US"/>
          </a:p>
        </c:txPr>
        <c:crossAx val="186512944"/>
        <c:crosses val="autoZero"/>
        <c:crossBetween val="between"/>
      </c:valAx>
      <c:spPr>
        <a:solidFill>
          <a:srgbClr val="C0C0C0"/>
        </a:solidFill>
        <a:ln w="12700">
          <a:solidFill>
            <a:srgbClr val="808080"/>
          </a:solidFill>
          <a:prstDash val="solid"/>
        </a:ln>
      </c:spPr>
    </c:plotArea>
    <c:legend>
      <c:legendPos val="r"/>
      <c:layout>
        <c:manualLayout>
          <c:xMode val="edge"/>
          <c:yMode val="edge"/>
          <c:x val="0.92135761589403986"/>
          <c:y val="0.21739130434782608"/>
          <c:w val="7.4503311258278151E-2"/>
          <c:h val="0.78396739130434789"/>
        </c:manualLayout>
      </c:layout>
      <c:overlay val="0"/>
      <c:spPr>
        <a:solidFill>
          <a:srgbClr val="FFFFFF"/>
        </a:solidFill>
        <a:ln w="3175">
          <a:solidFill>
            <a:srgbClr val="000000"/>
          </a:solidFill>
          <a:prstDash val="solid"/>
        </a:ln>
      </c:spPr>
      <c:txPr>
        <a:bodyPr/>
        <a:lstStyle/>
        <a:p>
          <a:pPr>
            <a:defRPr sz="870" b="0" i="0" u="none" strike="noStrike" baseline="0">
              <a:solidFill>
                <a:srgbClr val="000000"/>
              </a:solidFill>
              <a:latin typeface="Arial"/>
              <a:ea typeface="Arial"/>
              <a:cs typeface="Arial"/>
            </a:defRPr>
          </a:pPr>
          <a:endParaRPr lang="en-US"/>
        </a:p>
      </c:txPr>
    </c:legend>
    <c:plotVisOnly val="1"/>
    <c:dispBlanksAs val="gap"/>
    <c:showDLblsOverMax val="0"/>
  </c:chart>
  <c:spPr>
    <a:noFill/>
    <a:ln w="6350">
      <a:noFill/>
    </a:ln>
  </c:spPr>
  <c:txPr>
    <a:bodyPr/>
    <a:lstStyle/>
    <a:p>
      <a:pPr>
        <a:defRPr sz="950" b="0" i="0" u="none" strike="noStrike" baseline="0">
          <a:solidFill>
            <a:srgbClr val="000000"/>
          </a:solidFill>
          <a:latin typeface="Arial"/>
          <a:ea typeface="Arial"/>
          <a:cs typeface="Arial"/>
        </a:defRPr>
      </a:pPr>
      <a:endParaRPr lang="en-US"/>
    </a:p>
  </c:txPr>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0562913907284767E-2"/>
          <c:y val="3.2608695652173912E-2"/>
          <c:w val="0.87831125827814582"/>
          <c:h val="0.90353260869565211"/>
        </c:manualLayout>
      </c:layout>
      <c:barChart>
        <c:barDir val="col"/>
        <c:grouping val="clustered"/>
        <c:varyColors val="0"/>
        <c:ser>
          <c:idx val="0"/>
          <c:order val="0"/>
          <c:spPr>
            <a:solidFill>
              <a:srgbClr val="9999FF"/>
            </a:solidFill>
            <a:ln w="12700">
              <a:solidFill>
                <a:srgbClr val="000000"/>
              </a:solidFill>
              <a:prstDash val="solid"/>
            </a:ln>
          </c:spPr>
          <c:invertIfNegative val="0"/>
          <c:val>
            <c:numRef>
              <c:f>Deals!#REF!</c:f>
              <c:numCache>
                <c:formatCode>General</c:formatCode>
                <c:ptCount val="1"/>
                <c:pt idx="0">
                  <c:v>1</c:v>
                </c:pt>
              </c:numCache>
            </c:numRef>
          </c:val>
          <c:extLst>
            <c:ext xmlns:c16="http://schemas.microsoft.com/office/drawing/2014/chart" uri="{C3380CC4-5D6E-409C-BE32-E72D297353CC}">
              <c16:uniqueId val="{00000000-D506-4731-B9E0-290629D77CC3}"/>
            </c:ext>
          </c:extLst>
        </c:ser>
        <c:ser>
          <c:idx val="1"/>
          <c:order val="1"/>
          <c:spPr>
            <a:solidFill>
              <a:srgbClr val="993366"/>
            </a:solidFill>
            <a:ln w="12700">
              <a:solidFill>
                <a:srgbClr val="000000"/>
              </a:solidFill>
              <a:prstDash val="solid"/>
            </a:ln>
          </c:spPr>
          <c:invertIfNegative val="0"/>
          <c:val>
            <c:numRef>
              <c:f>Deals!#REF!</c:f>
              <c:numCache>
                <c:formatCode>General</c:formatCode>
                <c:ptCount val="1"/>
                <c:pt idx="0">
                  <c:v>1</c:v>
                </c:pt>
              </c:numCache>
            </c:numRef>
          </c:val>
          <c:extLst>
            <c:ext xmlns:c16="http://schemas.microsoft.com/office/drawing/2014/chart" uri="{C3380CC4-5D6E-409C-BE32-E72D297353CC}">
              <c16:uniqueId val="{00000001-D506-4731-B9E0-290629D77CC3}"/>
            </c:ext>
          </c:extLst>
        </c:ser>
        <c:ser>
          <c:idx val="2"/>
          <c:order val="2"/>
          <c:spPr>
            <a:solidFill>
              <a:srgbClr val="FFFFCC"/>
            </a:solidFill>
            <a:ln w="12700">
              <a:solidFill>
                <a:srgbClr val="000000"/>
              </a:solidFill>
              <a:prstDash val="solid"/>
            </a:ln>
          </c:spPr>
          <c:invertIfNegative val="0"/>
          <c:val>
            <c:numRef>
              <c:f>Deals!#REF!</c:f>
              <c:numCache>
                <c:formatCode>General</c:formatCode>
                <c:ptCount val="1"/>
                <c:pt idx="0">
                  <c:v>1</c:v>
                </c:pt>
              </c:numCache>
            </c:numRef>
          </c:val>
          <c:extLst>
            <c:ext xmlns:c16="http://schemas.microsoft.com/office/drawing/2014/chart" uri="{C3380CC4-5D6E-409C-BE32-E72D297353CC}">
              <c16:uniqueId val="{00000002-D506-4731-B9E0-290629D77CC3}"/>
            </c:ext>
          </c:extLst>
        </c:ser>
        <c:ser>
          <c:idx val="3"/>
          <c:order val="3"/>
          <c:spPr>
            <a:solidFill>
              <a:srgbClr val="CCFFFF"/>
            </a:solidFill>
            <a:ln w="12700">
              <a:solidFill>
                <a:srgbClr val="000000"/>
              </a:solidFill>
              <a:prstDash val="solid"/>
            </a:ln>
          </c:spPr>
          <c:invertIfNegative val="0"/>
          <c:val>
            <c:numRef>
              <c:f>Deals!#REF!</c:f>
              <c:numCache>
                <c:formatCode>General</c:formatCode>
                <c:ptCount val="1"/>
                <c:pt idx="0">
                  <c:v>1</c:v>
                </c:pt>
              </c:numCache>
            </c:numRef>
          </c:val>
          <c:extLst>
            <c:ext xmlns:c16="http://schemas.microsoft.com/office/drawing/2014/chart" uri="{C3380CC4-5D6E-409C-BE32-E72D297353CC}">
              <c16:uniqueId val="{00000003-D506-4731-B9E0-290629D77CC3}"/>
            </c:ext>
          </c:extLst>
        </c:ser>
        <c:ser>
          <c:idx val="4"/>
          <c:order val="4"/>
          <c:spPr>
            <a:solidFill>
              <a:srgbClr val="660066"/>
            </a:solidFill>
            <a:ln w="12700">
              <a:solidFill>
                <a:srgbClr val="000000"/>
              </a:solidFill>
              <a:prstDash val="solid"/>
            </a:ln>
          </c:spPr>
          <c:invertIfNegative val="0"/>
          <c:val>
            <c:numRef>
              <c:f>Deals!#REF!</c:f>
              <c:numCache>
                <c:formatCode>General</c:formatCode>
                <c:ptCount val="1"/>
                <c:pt idx="0">
                  <c:v>1</c:v>
                </c:pt>
              </c:numCache>
            </c:numRef>
          </c:val>
          <c:extLst>
            <c:ext xmlns:c16="http://schemas.microsoft.com/office/drawing/2014/chart" uri="{C3380CC4-5D6E-409C-BE32-E72D297353CC}">
              <c16:uniqueId val="{00000004-D506-4731-B9E0-290629D77CC3}"/>
            </c:ext>
          </c:extLst>
        </c:ser>
        <c:ser>
          <c:idx val="5"/>
          <c:order val="5"/>
          <c:spPr>
            <a:solidFill>
              <a:srgbClr val="FF8080"/>
            </a:solidFill>
            <a:ln w="12700">
              <a:solidFill>
                <a:srgbClr val="000000"/>
              </a:solidFill>
              <a:prstDash val="solid"/>
            </a:ln>
          </c:spPr>
          <c:invertIfNegative val="0"/>
          <c:val>
            <c:numRef>
              <c:f>Deals!#REF!</c:f>
              <c:numCache>
                <c:formatCode>General</c:formatCode>
                <c:ptCount val="1"/>
                <c:pt idx="0">
                  <c:v>1</c:v>
                </c:pt>
              </c:numCache>
            </c:numRef>
          </c:val>
          <c:extLst>
            <c:ext xmlns:c16="http://schemas.microsoft.com/office/drawing/2014/chart" uri="{C3380CC4-5D6E-409C-BE32-E72D297353CC}">
              <c16:uniqueId val="{00000005-D506-4731-B9E0-290629D77CC3}"/>
            </c:ext>
          </c:extLst>
        </c:ser>
        <c:ser>
          <c:idx val="6"/>
          <c:order val="6"/>
          <c:spPr>
            <a:solidFill>
              <a:srgbClr val="0066CC"/>
            </a:solidFill>
            <a:ln w="12700">
              <a:solidFill>
                <a:srgbClr val="000000"/>
              </a:solidFill>
              <a:prstDash val="solid"/>
            </a:ln>
          </c:spPr>
          <c:invertIfNegative val="0"/>
          <c:val>
            <c:numRef>
              <c:f>Deals!#REF!</c:f>
              <c:numCache>
                <c:formatCode>General</c:formatCode>
                <c:ptCount val="1"/>
                <c:pt idx="0">
                  <c:v>1</c:v>
                </c:pt>
              </c:numCache>
            </c:numRef>
          </c:val>
          <c:extLst>
            <c:ext xmlns:c16="http://schemas.microsoft.com/office/drawing/2014/chart" uri="{C3380CC4-5D6E-409C-BE32-E72D297353CC}">
              <c16:uniqueId val="{00000006-D506-4731-B9E0-290629D77CC3}"/>
            </c:ext>
          </c:extLst>
        </c:ser>
        <c:dLbls>
          <c:showLegendKey val="0"/>
          <c:showVal val="0"/>
          <c:showCatName val="0"/>
          <c:showSerName val="0"/>
          <c:showPercent val="0"/>
          <c:showBubbleSize val="0"/>
        </c:dLbls>
        <c:gapWidth val="150"/>
        <c:axId val="186547856"/>
        <c:axId val="1"/>
      </c:barChart>
      <c:catAx>
        <c:axId val="186547856"/>
        <c:scaling>
          <c:orientation val="minMax"/>
        </c:scaling>
        <c:delete val="0"/>
        <c:axPos val="b"/>
        <c:numFmt formatCode="General" sourceLinked="1"/>
        <c:majorTickMark val="out"/>
        <c:minorTickMark val="none"/>
        <c:tickLblPos val="nextTo"/>
        <c:spPr>
          <a:ln w="3175">
            <a:solidFill>
              <a:srgbClr val="000000"/>
            </a:solidFill>
            <a:prstDash val="solid"/>
          </a:ln>
        </c:spPr>
        <c:txPr>
          <a:bodyPr rot="0" vert="horz"/>
          <a:lstStyle/>
          <a:p>
            <a:pPr>
              <a:defRPr sz="950" b="0" i="0" u="none" strike="noStrike" baseline="0">
                <a:solidFill>
                  <a:srgbClr val="000000"/>
                </a:solidFill>
                <a:latin typeface="Arial"/>
                <a:ea typeface="Arial"/>
                <a:cs typeface="Arial"/>
              </a:defRPr>
            </a:pPr>
            <a:endParaRPr lang="en-US"/>
          </a:p>
        </c:txPr>
        <c:crossAx val="1"/>
        <c:crosses val="autoZero"/>
        <c:auto val="1"/>
        <c:lblAlgn val="ctr"/>
        <c:lblOffset val="100"/>
        <c:tickLblSkip val="1"/>
        <c:tickMarkSkip val="1"/>
        <c:noMultiLvlLbl val="0"/>
      </c:catAx>
      <c:valAx>
        <c:axId val="1"/>
        <c:scaling>
          <c:orientation val="minMax"/>
        </c:scaling>
        <c:delete val="0"/>
        <c:axPos val="l"/>
        <c:majorGridlines>
          <c:spPr>
            <a:ln w="3175">
              <a:solidFill>
                <a:srgbClr val="000000"/>
              </a:solidFill>
              <a:prstDash val="solid"/>
            </a:ln>
          </c:spPr>
        </c:majorGridlines>
        <c:numFmt formatCode="General" sourceLinked="1"/>
        <c:majorTickMark val="out"/>
        <c:minorTickMark val="none"/>
        <c:tickLblPos val="nextTo"/>
        <c:spPr>
          <a:ln w="3175">
            <a:solidFill>
              <a:srgbClr val="000000"/>
            </a:solidFill>
            <a:prstDash val="solid"/>
          </a:ln>
        </c:spPr>
        <c:txPr>
          <a:bodyPr rot="0" vert="horz"/>
          <a:lstStyle/>
          <a:p>
            <a:pPr>
              <a:defRPr sz="950" b="0" i="0" u="none" strike="noStrike" baseline="0">
                <a:solidFill>
                  <a:srgbClr val="000000"/>
                </a:solidFill>
                <a:latin typeface="Arial"/>
                <a:ea typeface="Arial"/>
                <a:cs typeface="Arial"/>
              </a:defRPr>
            </a:pPr>
            <a:endParaRPr lang="en-US"/>
          </a:p>
        </c:txPr>
        <c:crossAx val="186547856"/>
        <c:crosses val="autoZero"/>
        <c:crossBetween val="between"/>
      </c:valAx>
      <c:spPr>
        <a:solidFill>
          <a:srgbClr val="C0C0C0"/>
        </a:solidFill>
        <a:ln w="12700">
          <a:solidFill>
            <a:srgbClr val="808080"/>
          </a:solidFill>
          <a:prstDash val="solid"/>
        </a:ln>
      </c:spPr>
    </c:plotArea>
    <c:legend>
      <c:legendPos val="r"/>
      <c:layout>
        <c:manualLayout>
          <c:xMode val="edge"/>
          <c:yMode val="edge"/>
          <c:x val="0.92963576158940397"/>
          <c:y val="0.36956521739130432"/>
          <c:w val="6.7052980132450341E-2"/>
          <c:h val="0.2296195652173913"/>
        </c:manualLayout>
      </c:layout>
      <c:overlay val="0"/>
      <c:spPr>
        <a:solidFill>
          <a:srgbClr val="FFFFFF"/>
        </a:solidFill>
        <a:ln w="3175">
          <a:solidFill>
            <a:srgbClr val="000000"/>
          </a:solidFill>
          <a:prstDash val="solid"/>
        </a:ln>
      </c:spPr>
      <c:txPr>
        <a:bodyPr/>
        <a:lstStyle/>
        <a:p>
          <a:pPr>
            <a:defRPr sz="870" b="0" i="0" u="none" strike="noStrike" baseline="0">
              <a:solidFill>
                <a:srgbClr val="000000"/>
              </a:solidFill>
              <a:latin typeface="Arial"/>
              <a:ea typeface="Arial"/>
              <a:cs typeface="Arial"/>
            </a:defRPr>
          </a:pPr>
          <a:endParaRPr lang="en-US"/>
        </a:p>
      </c:txPr>
    </c:legend>
    <c:plotVisOnly val="1"/>
    <c:dispBlanksAs val="gap"/>
    <c:showDLblsOverMax val="0"/>
  </c:chart>
  <c:spPr>
    <a:noFill/>
    <a:ln w="6350">
      <a:noFill/>
    </a:ln>
  </c:spPr>
  <c:txPr>
    <a:bodyPr/>
    <a:lstStyle/>
    <a:p>
      <a:pPr>
        <a:defRPr sz="950" b="0" i="0" u="none" strike="noStrike" baseline="0">
          <a:solidFill>
            <a:srgbClr val="000000"/>
          </a:solidFill>
          <a:latin typeface="Arial"/>
          <a:ea typeface="Arial"/>
          <a:cs typeface="Arial"/>
        </a:defRPr>
      </a:pPr>
      <a:endParaRPr lang="en-US"/>
    </a:p>
  </c:txPr>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3.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5.xml"/></Relationships>
</file>

<file path=xl/chartsheets/_rels/sheet3.xml.rels><?xml version="1.0" encoding="UTF-8" standalone="yes"?>
<Relationships xmlns="http://schemas.openxmlformats.org/package/2006/relationships"><Relationship Id="rId1" Type="http://schemas.openxmlformats.org/officeDocument/2006/relationships/drawing" Target="../drawings/drawing6.xml"/></Relationships>
</file>

<file path=xl/chartsheets/sheet1.xml><?xml version="1.0" encoding="utf-8"?>
<chartsheet xmlns="http://schemas.openxmlformats.org/spreadsheetml/2006/main" xmlns:r="http://schemas.openxmlformats.org/officeDocument/2006/relationships">
  <sheetPr/>
  <sheetViews>
    <sheetView zoomScale="87" workbookViewId="0"/>
  </sheetViews>
  <pageMargins left="0.75" right="0.75" top="1" bottom="1" header="0.5" footer="0.5"/>
  <headerFooter alignWithMargins="0"/>
  <drawing r:id="rId1"/>
</chartsheet>
</file>

<file path=xl/chartsheets/sheet2.xml><?xml version="1.0" encoding="utf-8"?>
<chartsheet xmlns="http://schemas.openxmlformats.org/spreadsheetml/2006/main" xmlns:r="http://schemas.openxmlformats.org/officeDocument/2006/relationships">
  <sheetPr codeName="Chart1"/>
  <sheetViews>
    <sheetView workbookViewId="0" zoomToFit="1"/>
  </sheetViews>
  <pageMargins left="0.75" right="0.75" top="1" bottom="1" header="0.5" footer="0.5"/>
  <headerFooter alignWithMargins="0"/>
  <drawing r:id="rId1"/>
</chartsheet>
</file>

<file path=xl/chartsheets/sheet3.xml><?xml version="1.0" encoding="utf-8"?>
<chartsheet xmlns="http://schemas.openxmlformats.org/spreadsheetml/2006/main" xmlns:r="http://schemas.openxmlformats.org/officeDocument/2006/relationships">
  <sheetPr codeName="Chart3"/>
  <sheetViews>
    <sheetView workbookViewId="0" zoomToFit="1"/>
  </sheetViews>
  <pageMargins left="0.75" right="0.75" top="1" bottom="1" header="0.5" footer="0.5"/>
  <headerFooter alignWithMargins="0"/>
  <drawing r:id="rId1"/>
</chartsheet>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ctrlProps/ctrlProp8.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6.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320040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205740</xdr:colOff>
          <xdr:row>95</xdr:row>
          <xdr:rowOff>167640</xdr:rowOff>
        </xdr:from>
        <xdr:to>
          <xdr:col>12</xdr:col>
          <xdr:colOff>99060</xdr:colOff>
          <xdr:row>96</xdr:row>
          <xdr:rowOff>99060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243840</xdr:colOff>
      <xdr:row>97</xdr:row>
      <xdr:rowOff>0</xdr:rowOff>
    </xdr:from>
    <xdr:to>
      <xdr:col>24</xdr:col>
      <xdr:colOff>259080</xdr:colOff>
      <xdr:row>120</xdr:row>
      <xdr:rowOff>76200</xdr:rowOff>
    </xdr:to>
    <xdr:sp macro="" textlink="">
      <xdr:nvSpPr>
        <xdr:cNvPr id="2303" name="Text Box 255"/>
        <xdr:cNvSpPr txBox="1">
          <a:spLocks noChangeArrowheads="1"/>
        </xdr:cNvSpPr>
      </xdr:nvSpPr>
      <xdr:spPr bwMode="auto">
        <a:xfrm>
          <a:off x="5539740" y="16459200"/>
          <a:ext cx="6713220" cy="40538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xdr:absoluteAnchor>
    <xdr:pos x="0" y="0"/>
    <xdr:ext cx="9204960" cy="5608320"/>
    <xdr:graphicFrame macro="">
      <xdr:nvGraphicFramePr>
        <xdr:cNvPr id="2" name="shape"/>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1</xdr:col>
          <xdr:colOff>0</xdr:colOff>
          <xdr:row>1</xdr:row>
          <xdr:rowOff>0</xdr:rowOff>
        </xdr:to>
        <xdr:sp macro="" textlink="">
          <xdr:nvSpPr>
            <xdr:cNvPr id="1027" name="Button 3" hidden="1">
              <a:extLst>
                <a:ext uri="{63B3BB69-23CF-44E3-9099-C40C66FF867C}">
                  <a14:compatExt spid="_x0000_s1027"/>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36576" tIns="27432" rIns="36576" bIns="27432" anchor="ctr" upright="1"/>
            <a:lstStyle/>
            <a:p>
              <a:pPr algn="ctr" rtl="0">
                <a:defRPr sz="1000"/>
              </a:pPr>
              <a:r>
                <a:rPr lang="en-US" sz="1000" b="0" i="0" u="none" strike="noStrike" baseline="0">
                  <a:solidFill>
                    <a:srgbClr val="FF0000"/>
                  </a:solidFill>
                  <a:latin typeface="Arial"/>
                  <a:cs typeface="Arial"/>
                </a:rPr>
                <a:t>Refresh</a:t>
              </a:r>
            </a:p>
          </xdr:txBody>
        </xdr:sp>
        <xdr:clientData fPrintsWithSheet="0"/>
      </xdr:twoCellAnchor>
    </mc:Choice>
    <mc:Fallback/>
  </mc:AlternateContent>
</xdr:wsDr>
</file>

<file path=xl/drawings/drawing5.xml><?xml version="1.0" encoding="utf-8"?>
<xdr:wsDr xmlns:xdr="http://schemas.openxmlformats.org/drawingml/2006/spreadsheetDrawing" xmlns:a="http://schemas.openxmlformats.org/drawingml/2006/main">
  <xdr:absoluteAnchor>
    <xdr:pos x="0" y="0"/>
    <xdr:ext cx="9204960" cy="5608320"/>
    <xdr:graphicFrame macro="">
      <xdr:nvGraphicFramePr>
        <xdr:cNvPr id="2" name="shape"/>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6.xml><?xml version="1.0" encoding="utf-8"?>
<xdr:wsDr xmlns:xdr="http://schemas.openxmlformats.org/drawingml/2006/spreadsheetDrawing" xmlns:a="http://schemas.openxmlformats.org/drawingml/2006/main">
  <xdr:absoluteAnchor>
    <xdr:pos x="0" y="0"/>
    <xdr:ext cx="9204960" cy="5608320"/>
    <xdr:graphicFrame macro="">
      <xdr:nvGraphicFramePr>
        <xdr:cNvPr id="2" name="shape"/>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7.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3act.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pivotCache/pivotCacheDefinition1.xml><?xml version="1.0" encoding="utf-8"?>
<pivotCacheDefinition xmlns="http://schemas.openxmlformats.org/spreadsheetml/2006/main" xmlns:r="http://schemas.openxmlformats.org/officeDocument/2006/relationships" saveData="0" refreshedBy="ECT" refreshedDate="36170.179029398147" createdVersion="1" recordCount="140">
  <cacheSource type="worksheet">
    <worksheetSource name="dataall"/>
  </cacheSource>
  <cacheFields count="32">
    <cacheField name="Counter Party" numFmtId="0">
      <sharedItems containsBlank="1" containsMixedTypes="1" containsNumber="1" containsInteger="1" minValue="1" maxValue="24" count="57">
        <s v="IID"/>
        <s v="SPS"/>
        <s v="TNP"/>
        <s v="PNM"/>
        <s v="LIST ALL SALES BELOW"/>
        <s v="leave this row blank"/>
        <s v="AEP"/>
        <s v="PAC"/>
        <s v="CISO"/>
        <s v="APS"/>
        <s v="SRP"/>
        <m/>
        <s v="LADWP"/>
        <s v="LIST ALL PURCHASES BELOW"/>
        <s v="Hour"/>
        <s v="PST"/>
        <n v="24"/>
        <n v="1"/>
        <n v="2"/>
        <n v="3"/>
        <n v="4"/>
        <n v="5"/>
        <n v="6"/>
        <n v="7"/>
        <n v="8"/>
        <n v="9"/>
        <n v="10"/>
        <n v="11"/>
        <n v="12"/>
        <n v="13"/>
        <n v="14"/>
        <n v="15"/>
        <n v="16"/>
        <n v="17"/>
        <n v="18"/>
        <n v="19"/>
        <n v="20"/>
        <n v="21"/>
        <n v="22"/>
        <n v="23"/>
        <s v="IPMI" u="1"/>
        <s v="ECI" u="1"/>
        <s v="CLP" u="1"/>
        <s v="sdge" u="1"/>
        <s v="SCE" u="1"/>
        <s v="PACE" u="1"/>
        <s v="PSPL" u="1"/>
        <s v="PLAINS" u="1"/>
        <s v="NES" u="1"/>
        <s v="TEP" u="1"/>
        <s v="Comments:" u="1"/>
        <s v="APS=ISO" u="1"/>
        <s v="APS=LA" u="1"/>
        <s v="TNP @ Hidalgo" u="1"/>
        <s v=" " u="1"/>
        <s v="Calpx" u="1"/>
        <s v="SPS Direct Bill deal for HE 7 is at 23.50 and is firm." u="1"/>
      </sharedItems>
    </cacheField>
    <cacheField name="Type" numFmtId="0">
      <sharedItems containsBlank="1" containsMixedTypes="1" containsNumber="1" containsInteger="1" minValue="1" maxValue="24" count="34">
        <s v="FirmT"/>
        <s v="econ"/>
        <s v="Cont"/>
        <m/>
        <s v="Pre"/>
        <s v="Firm"/>
        <s v="AZ3"/>
        <s v="Price"/>
        <s v="MST"/>
        <n v="1"/>
        <n v="2"/>
        <n v="3"/>
        <n v="4"/>
        <n v="5"/>
        <n v="6"/>
        <n v="7"/>
        <n v="8"/>
        <n v="9"/>
        <n v="10"/>
        <n v="11"/>
        <n v="12"/>
        <n v="13"/>
        <n v="14"/>
        <n v="15"/>
        <n v="16"/>
        <n v="17"/>
        <n v="18"/>
        <n v="19"/>
        <n v="20"/>
        <n v="21"/>
        <n v="22"/>
        <n v="23"/>
        <n v="24"/>
        <s v="DIRECT BILL" u="1"/>
      </sharedItems>
    </cacheField>
    <cacheField name="Delivery Point" numFmtId="0">
      <sharedItems containsBlank="1" containsMixedTypes="1" containsNumber="1" minValue="15.99" maxValue="28.99" count="25">
        <s v="PV"/>
        <s v="SPS"/>
        <m/>
        <s v="4C"/>
        <s v="Volume"/>
        <n v="24.22"/>
        <n v="19.989999999999998"/>
        <n v="16.989999999999998"/>
        <n v="15.99"/>
        <n v="21.3"/>
        <n v="22.56"/>
        <n v="24.85"/>
        <n v="24.42"/>
        <n v="24.58"/>
        <n v="24.49"/>
        <n v="24.23"/>
        <n v="23.47"/>
        <n v="24.01"/>
        <n v="28.99"/>
        <n v="27.49"/>
        <n v="26.5"/>
        <n v="26.99"/>
        <n v="24.07"/>
        <n v="21.74"/>
        <s v="DIRECT BILL" u="1"/>
      </sharedItems>
    </cacheField>
    <cacheField name="Price" numFmtId="0">
      <sharedItems containsString="0" containsNumber="1"/>
    </cacheField>
    <cacheField name="Resell Price" numFmtId="0">
      <sharedItems containsString="0" containsBlank="1" containsNumber="1" containsInteger="1" minValue="10" maxValue="10" count="2">
        <n v="10"/>
        <m/>
      </sharedItems>
    </cacheField>
    <cacheField name="1" numFmtId="0">
      <sharedItems containsString="0" containsBlank="1" containsNumber="1" containsInteger="1" minValue="6" maxValue="80" count="9">
        <n v="10"/>
        <m/>
        <n v="15"/>
        <n v="6"/>
        <n v="45"/>
        <n v="25"/>
        <n v="75"/>
        <n v="80"/>
        <n v="50"/>
      </sharedItems>
    </cacheField>
    <cacheField name="2" numFmtId="0">
      <sharedItems containsString="0" containsNumber="1" containsInteger="1"/>
    </cacheField>
    <cacheField name="3" numFmtId="0">
      <sharedItems containsString="0" containsNumber="1" containsInteger="1"/>
    </cacheField>
    <cacheField name="4" numFmtId="0">
      <sharedItems containsBlank="1" containsMixedTypes="1" containsNumber="1" minValue="0.96" maxValue="90" count="30">
        <m/>
        <n v="15"/>
        <n v="1"/>
        <n v="45"/>
        <n v="25"/>
        <n v="75"/>
        <n v="90"/>
        <n v="0.96"/>
        <s v="Volume"/>
        <n v="22"/>
        <n v="17.59"/>
        <n v="16"/>
        <n v="15.99"/>
        <n v="25.25"/>
        <n v="27.74"/>
        <n v="28.49"/>
        <n v="29.43"/>
        <n v="28.09"/>
        <n v="26"/>
        <n v="24.73"/>
        <n v="24.74"/>
        <n v="26.49"/>
        <n v="31.49"/>
        <n v="30.34"/>
        <n v="27.99"/>
        <n v="26.5"/>
        <n v="22.84"/>
        <n v="21.74"/>
        <s v="Max Peak"/>
        <s v="Peak"/>
      </sharedItems>
    </cacheField>
    <cacheField name="5" numFmtId="0">
      <sharedItems containsBlank="1" containsMixedTypes="1" containsNumber="1" minValue="6" maxValue="90" count="30">
        <m/>
        <n v="15"/>
        <n v="6"/>
        <n v="45"/>
        <n v="25"/>
        <n v="75"/>
        <n v="90"/>
        <s v="Price*.96"/>
        <n v="21.12"/>
        <n v="16.89"/>
        <n v="15.36"/>
        <n v="15.35"/>
        <n v="24.24"/>
        <n v="26.63"/>
        <n v="27.35"/>
        <n v="28.25"/>
        <n v="26.97"/>
        <n v="24.96"/>
        <n v="24"/>
        <n v="23.74"/>
        <n v="23.75"/>
        <n v="25.43"/>
        <n v="30.23"/>
        <n v="29.13"/>
        <n v="26.87"/>
        <n v="25.44"/>
        <n v="21.93"/>
        <n v="20.87"/>
        <n v="34.996600000000001"/>
        <n v="29.374331250000001"/>
      </sharedItems>
    </cacheField>
    <cacheField name="6" numFmtId="0">
      <sharedItems containsString="0" containsBlank="1" containsNumber="1" minValue="6" maxValue="30481.4" count="10">
        <n v="10"/>
        <m/>
        <n v="15"/>
        <n v="6"/>
        <n v="45"/>
        <n v="25"/>
        <n v="75"/>
        <n v="90"/>
        <n v="30481.4"/>
        <n v="27764.793749999997"/>
      </sharedItems>
    </cacheField>
    <cacheField name="7" numFmtId="0">
      <sharedItems containsString="0" containsBlank="1" containsNumber="1" containsInteger="1" minValue="6" maxValue="90" count="8">
        <n v="20"/>
        <m/>
        <n v="15"/>
        <n v="6"/>
        <n v="45"/>
        <n v="25"/>
        <n v="75"/>
        <n v="90"/>
      </sharedItems>
    </cacheField>
    <cacheField name="8" numFmtId="0">
      <sharedItems containsString="0" containsBlank="1" containsNumber="1" containsInteger="1" minValue="6" maxValue="90" count="7">
        <n v="20"/>
        <m/>
        <n v="25"/>
        <n v="6"/>
        <n v="75"/>
        <n v="90"/>
        <n v="50"/>
      </sharedItems>
    </cacheField>
    <cacheField name="9" numFmtId="0">
      <sharedItems containsString="0" containsBlank="1" containsNumber="1" containsInteger="1" minValue="6" maxValue="75" count="7">
        <n v="20"/>
        <m/>
        <n v="25"/>
        <n v="6"/>
        <n v="75"/>
        <n v="50"/>
        <n v="40"/>
      </sharedItems>
    </cacheField>
    <cacheField name="10" numFmtId="0">
      <sharedItems containsString="0" containsBlank="1" containsNumber="1" containsInteger="1" minValue="-60" maxValue="75" count="8">
        <n v="30"/>
        <m/>
        <n v="25"/>
        <n v="18"/>
        <n v="75"/>
        <n v="40"/>
        <n v="50"/>
        <n v="-60"/>
      </sharedItems>
    </cacheField>
    <cacheField name="11" numFmtId="0">
      <sharedItems containsString="0" containsBlank="1" containsNumber="1" containsInteger="1" minValue="-60" maxValue="75" count="8">
        <n v="30"/>
        <m/>
        <n v="25"/>
        <n v="18"/>
        <n v="75"/>
        <n v="40"/>
        <n v="50"/>
        <n v="-60"/>
      </sharedItems>
    </cacheField>
    <cacheField name="12" numFmtId="0">
      <sharedItems containsString="0" containsBlank="1" containsNumber="1" containsInteger="1" minValue="-60" maxValue="75" count="7">
        <n v="40"/>
        <m/>
        <n v="25"/>
        <n v="18"/>
        <n v="75"/>
        <n v="50"/>
        <n v="-60"/>
      </sharedItems>
    </cacheField>
    <cacheField name="13" numFmtId="0">
      <sharedItems containsString="0" containsBlank="1" containsNumber="1" containsInteger="1" minValue="-60" maxValue="75" count="7">
        <n v="40"/>
        <m/>
        <n v="25"/>
        <n v="18"/>
        <n v="75"/>
        <n v="45"/>
        <n v="-60"/>
      </sharedItems>
    </cacheField>
    <cacheField name="14" numFmtId="0">
      <sharedItems containsBlank="1" containsMixedTypes="1" containsNumber="1" containsInteger="1" minValue="8" maxValue="75" count="7">
        <n v="40"/>
        <m/>
        <n v="25"/>
        <n v="8"/>
        <n v="75"/>
        <n v="45"/>
        <s v=" "/>
      </sharedItems>
    </cacheField>
    <cacheField name="15" numFmtId="0">
      <sharedItems containsString="0" containsBlank="1" containsNumber="1" containsInteger="1" minValue="8" maxValue="75" count="6">
        <n v="40"/>
        <m/>
        <n v="25"/>
        <n v="8"/>
        <n v="75"/>
        <n v="45"/>
      </sharedItems>
    </cacheField>
    <cacheField name="16" numFmtId="0">
      <sharedItems containsString="0" containsBlank="1" containsNumber="1" containsInteger="1" minValue="8" maxValue="75" count="6">
        <n v="40"/>
        <m/>
        <n v="25"/>
        <n v="8"/>
        <n v="75"/>
        <n v="45"/>
      </sharedItems>
    </cacheField>
    <cacheField name="17" numFmtId="0">
      <sharedItems containsString="0" containsBlank="1" containsNumber="1" containsInteger="1" minValue="8" maxValue="75" count="5">
        <n v="40"/>
        <m/>
        <n v="25"/>
        <n v="8"/>
        <n v="75"/>
      </sharedItems>
    </cacheField>
    <cacheField name="18" numFmtId="0">
      <sharedItems containsString="0" containsBlank="1" containsNumber="1" containsInteger="1" minValue="13" maxValue="75" count="6">
        <n v="40"/>
        <m/>
        <n v="25"/>
        <n v="13"/>
        <n v="75"/>
        <n v="50"/>
      </sharedItems>
    </cacheField>
    <cacheField name="19" numFmtId="0">
      <sharedItems containsString="0" containsBlank="1" containsNumber="1" containsInteger="1" minValue="18" maxValue="60" count="6">
        <n v="60"/>
        <m/>
        <n v="25"/>
        <n v="18"/>
        <n v="50"/>
        <n v="40"/>
      </sharedItems>
    </cacheField>
    <cacheField name="20" numFmtId="0">
      <sharedItems containsString="0" containsBlank="1" containsNumber="1" containsInteger="1" minValue="18" maxValue="60" count="6">
        <n v="60"/>
        <m/>
        <n v="25"/>
        <n v="18"/>
        <n v="50"/>
        <n v="40"/>
      </sharedItems>
    </cacheField>
    <cacheField name="21" numFmtId="0">
      <sharedItems containsBlank="1" containsMixedTypes="1" containsNumber="1" containsInteger="1" minValue="18" maxValue="75" count="9">
        <n v="60"/>
        <m/>
        <n v="25"/>
        <n v="18"/>
        <n v="75"/>
        <n v="50"/>
        <s v="Total per Model"/>
        <s v="EPE Sales to EPMI"/>
        <s v="EPE Purch from EPMI"/>
      </sharedItems>
    </cacheField>
    <cacheField name="22" numFmtId="0">
      <sharedItems containsString="0" containsBlank="1" containsNumber="1" containsInteger="1" minValue="18" maxValue="75" count="6">
        <n v="60"/>
        <m/>
        <n v="25"/>
        <n v="18"/>
        <n v="75"/>
        <n v="50"/>
      </sharedItems>
    </cacheField>
    <cacheField name="23" numFmtId="0">
      <sharedItems containsString="0" containsBlank="1" containsNumber="1" containsInteger="1" minValue="18" maxValue="90" count="6">
        <n v="40"/>
        <m/>
        <n v="25"/>
        <n v="18"/>
        <n v="75"/>
        <n v="90"/>
      </sharedItems>
    </cacheField>
    <cacheField name="24" numFmtId="0">
      <sharedItems containsString="0" containsBlank="1" containsNumber="1" containsInteger="1" minValue="15" maxValue="75" count="6">
        <n v="15"/>
        <m/>
        <n v="25"/>
        <n v="18"/>
        <n v="45"/>
        <n v="75"/>
      </sharedItems>
    </cacheField>
    <cacheField name="Total Volume" numFmtId="0">
      <sharedItems containsString="0" containsBlank="1" containsNumber="1" containsInteger="1" minValue="-120" maxValue="7745" count="22">
        <n v="715"/>
        <n v="0"/>
        <n v="530"/>
        <n v="269"/>
        <m/>
        <n v="360"/>
        <n v="400"/>
        <n v="200"/>
        <n v="600"/>
        <n v="80"/>
        <n v="75"/>
        <n v="50"/>
        <n v="90"/>
        <n v="25"/>
        <n v="100"/>
        <n v="40"/>
        <n v="370"/>
        <n v="175"/>
        <n v="180"/>
        <n v="120"/>
        <n v="-120"/>
        <n v="7745"/>
      </sharedItems>
    </cacheField>
    <cacheField name="Total Billing" numFmtId="0">
      <sharedItems containsString="0" containsNumber="1"/>
    </cacheField>
    <cacheField name="Position" numFmtId="0">
      <sharedItems containsBlank="1" count="3">
        <s v="sell"/>
        <m/>
        <s v="buy"/>
      </sharedItems>
    </cacheField>
  </cacheFields>
  <extLst>
    <ext xmlns:x14="http://schemas.microsoft.com/office/spreadsheetml/2009/9/main" uri="{725AE2AE-9491-48be-B2B4-4EB974FC3084}">
      <x14:pivotCacheDefinition/>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dataOnRows="1" applyNumberFormats="0" applyBorderFormats="0" applyFontFormats="0" applyPatternFormats="0" applyAlignmentFormats="0" applyWidthHeightFormats="1" dataCaption="Data" showMissing="0" showItems="0" showMultipleLabel="0" showMemberPropertyTips="0" subtotalHiddenItems="1" itemPrintTitles="1" indent="0" compact="0" compactData="0" gridDropZones="1">
  <location ref="A4:AI81" firstHeaderRow="1" firstDataRow="2" firstDataCol="3" rowPageCount="1" colPageCount="1"/>
  <pivotFields count="32">
    <pivotField axis="axisRow" compact="0" outline="0" subtotalTop="0" showAll="0" includeNewItemsInFilter="1" defaultSubtotal="0">
      <items count="57">
        <item x="0"/>
        <item x="3"/>
        <item x="1"/>
        <item x="2"/>
        <item h="1" x="11"/>
        <item x="4"/>
        <item x="13"/>
        <item x="5"/>
        <item x="10"/>
        <item x="7"/>
        <item x="12"/>
        <item m="1" x="40"/>
        <item m="1" x="41"/>
        <item m="1" x="42"/>
        <item m="1" x="43"/>
        <item m="1" x="44"/>
        <item m="1" x="45"/>
        <item m="1" x="46"/>
        <item m="1" x="47"/>
        <item m="1" x="48"/>
        <item x="9"/>
        <item m="1" x="49"/>
        <item m="1" x="50"/>
        <item m="1" x="51"/>
        <item m="1" x="52"/>
        <item m="1" x="53"/>
        <item m="1" x="54"/>
        <item m="1" x="55"/>
        <item m="1" x="56"/>
        <item x="6"/>
        <item x="8"/>
        <item x="14"/>
        <item x="15"/>
        <item x="16"/>
        <item x="17"/>
        <item x="18"/>
        <item x="19"/>
        <item x="20"/>
        <item x="21"/>
        <item x="22"/>
        <item x="23"/>
        <item x="24"/>
        <item x="25"/>
        <item x="26"/>
        <item x="27"/>
        <item x="28"/>
        <item x="29"/>
        <item x="30"/>
        <item x="31"/>
        <item x="32"/>
        <item x="33"/>
        <item x="34"/>
        <item x="35"/>
        <item x="36"/>
        <item x="37"/>
        <item x="38"/>
        <item x="39"/>
      </items>
    </pivotField>
    <pivotField axis="axisCol" compact="0" outline="0" subtotalTop="0" showAll="0" includeNewItemsInFilter="1">
      <items count="35">
        <item x="2"/>
        <item h="1" x="3"/>
        <item x="0"/>
        <item x="4"/>
        <item x="1"/>
        <item m="1" x="33"/>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axis="axisPage" compact="0" outline="0" subtotalTop="0" showAll="0" includeNewItemsInFilter="1">
      <items count="26">
        <item x="0"/>
        <item x="1"/>
        <item h="1" x="2"/>
        <item x="3"/>
        <item m="1" x="24"/>
        <item x="4"/>
        <item x="5"/>
        <item x="6"/>
        <item x="7"/>
        <item x="8"/>
        <item x="9"/>
        <item x="10"/>
        <item x="11"/>
        <item x="12"/>
        <item x="13"/>
        <item x="14"/>
        <item x="15"/>
        <item x="16"/>
        <item x="17"/>
        <item x="18"/>
        <item x="19"/>
        <item x="20"/>
        <item x="21"/>
        <item x="22"/>
        <item x="23"/>
        <item t="default"/>
      </items>
    </pivotField>
    <pivotField compact="0" outline="0" subtotalTop="0" showAll="0" includeNewItemsInFilter="1" avgSubtotal="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compact="0" outline="0" subtotalTop="0" showAll="0" includeNewItemsInFilter="1"/>
    <pivotField dataField="1" compact="0" outline="0" subtotalTop="0" showAll="0" includeNewItemsInFilter="1"/>
    <pivotField dataField="1" compact="0" outline="0" subtotalTop="0" showAll="0" includeNewItemsInFilter="1"/>
    <pivotField axis="axisRow" compact="0" outline="0" subtotalTop="0" showAll="0" includeNewItemsInFilter="1">
      <items count="4">
        <item x="0"/>
        <item x="1"/>
        <item x="2"/>
        <item t="default"/>
      </items>
    </pivotField>
  </pivotFields>
  <rowFields count="3">
    <field x="0"/>
    <field x="31"/>
    <field x="-2"/>
  </rowFields>
  <rowItems count="76">
    <i>
      <x/>
      <x/>
      <x/>
    </i>
    <i r="2" i="1">
      <x v="1"/>
    </i>
    <i>
      <x v="1"/>
      <x/>
      <x/>
    </i>
    <i r="2" i="1">
      <x v="1"/>
    </i>
    <i>
      <x v="2"/>
      <x/>
      <x/>
    </i>
    <i r="2" i="1">
      <x v="1"/>
    </i>
    <i r="1">
      <x v="2"/>
      <x/>
    </i>
    <i r="2" i="1">
      <x v="1"/>
    </i>
    <i>
      <x v="3"/>
      <x/>
      <x/>
    </i>
    <i r="2" i="1">
      <x v="1"/>
    </i>
    <i>
      <x v="8"/>
      <x/>
      <x/>
    </i>
    <i r="2" i="1">
      <x v="1"/>
    </i>
    <i>
      <x v="9"/>
      <x/>
      <x/>
    </i>
    <i r="2" i="1">
      <x v="1"/>
    </i>
    <i>
      <x v="10"/>
      <x/>
      <x/>
    </i>
    <i r="2" i="1">
      <x v="1"/>
    </i>
    <i>
      <x v="20"/>
      <x/>
      <x/>
    </i>
    <i r="2" i="1">
      <x v="1"/>
    </i>
    <i>
      <x v="29"/>
      <x/>
      <x/>
    </i>
    <i r="2" i="1">
      <x v="1"/>
    </i>
    <i>
      <x v="30"/>
      <x/>
      <x/>
    </i>
    <i r="2" i="1">
      <x v="1"/>
    </i>
    <i>
      <x v="31"/>
      <x v="1"/>
      <x/>
    </i>
    <i r="2" i="1">
      <x v="1"/>
    </i>
    <i>
      <x v="32"/>
      <x v="1"/>
      <x/>
    </i>
    <i r="2" i="1">
      <x v="1"/>
    </i>
    <i>
      <x v="33"/>
      <x v="1"/>
      <x/>
    </i>
    <i r="2" i="1">
      <x v="1"/>
    </i>
    <i>
      <x v="34"/>
      <x v="1"/>
      <x/>
    </i>
    <i r="2" i="1">
      <x v="1"/>
    </i>
    <i>
      <x v="35"/>
      <x v="1"/>
      <x/>
    </i>
    <i r="2" i="1">
      <x v="1"/>
    </i>
    <i>
      <x v="36"/>
      <x v="1"/>
      <x/>
    </i>
    <i r="2" i="1">
      <x v="1"/>
    </i>
    <i>
      <x v="37"/>
      <x v="1"/>
      <x/>
    </i>
    <i r="2" i="1">
      <x v="1"/>
    </i>
    <i>
      <x v="38"/>
      <x v="1"/>
      <x/>
    </i>
    <i r="2" i="1">
      <x v="1"/>
    </i>
    <i>
      <x v="39"/>
      <x v="1"/>
      <x/>
    </i>
    <i r="2" i="1">
      <x v="1"/>
    </i>
    <i>
      <x v="40"/>
      <x v="1"/>
      <x/>
    </i>
    <i r="2" i="1">
      <x v="1"/>
    </i>
    <i>
      <x v="41"/>
      <x v="1"/>
      <x/>
    </i>
    <i r="2" i="1">
      <x v="1"/>
    </i>
    <i>
      <x v="42"/>
      <x v="1"/>
      <x/>
    </i>
    <i r="2" i="1">
      <x v="1"/>
    </i>
    <i>
      <x v="43"/>
      <x v="1"/>
      <x/>
    </i>
    <i r="2" i="1">
      <x v="1"/>
    </i>
    <i>
      <x v="44"/>
      <x v="1"/>
      <x/>
    </i>
    <i r="2" i="1">
      <x v="1"/>
    </i>
    <i>
      <x v="45"/>
      <x v="1"/>
      <x/>
    </i>
    <i r="2" i="1">
      <x v="1"/>
    </i>
    <i>
      <x v="46"/>
      <x v="1"/>
      <x/>
    </i>
    <i r="2" i="1">
      <x v="1"/>
    </i>
    <i>
      <x v="47"/>
      <x v="1"/>
      <x/>
    </i>
    <i r="2" i="1">
      <x v="1"/>
    </i>
    <i>
      <x v="48"/>
      <x v="1"/>
      <x/>
    </i>
    <i r="2" i="1">
      <x v="1"/>
    </i>
    <i>
      <x v="49"/>
      <x v="1"/>
      <x/>
    </i>
    <i r="2" i="1">
      <x v="1"/>
    </i>
    <i>
      <x v="50"/>
      <x v="1"/>
      <x/>
    </i>
    <i r="2" i="1">
      <x v="1"/>
    </i>
    <i>
      <x v="51"/>
      <x v="1"/>
      <x/>
    </i>
    <i r="2" i="1">
      <x v="1"/>
    </i>
    <i>
      <x v="52"/>
      <x v="1"/>
      <x/>
    </i>
    <i r="2" i="1">
      <x v="1"/>
    </i>
    <i>
      <x v="53"/>
      <x v="1"/>
      <x/>
    </i>
    <i r="2" i="1">
      <x v="1"/>
    </i>
    <i>
      <x v="54"/>
      <x v="1"/>
      <x/>
    </i>
    <i r="2" i="1">
      <x v="1"/>
    </i>
    <i>
      <x v="55"/>
      <x v="1"/>
      <x/>
    </i>
    <i r="2" i="1">
      <x v="1"/>
    </i>
    <i>
      <x v="56"/>
      <x v="1"/>
      <x/>
    </i>
    <i r="2" i="1">
      <x v="1"/>
    </i>
    <i t="grand">
      <x/>
    </i>
    <i t="grand" i="1">
      <x/>
    </i>
  </rowItems>
  <colFields count="1">
    <field x="1"/>
  </colFields>
  <colItems count="32">
    <i>
      <x/>
    </i>
    <i>
      <x v="2"/>
    </i>
    <i>
      <x v="3"/>
    </i>
    <i>
      <x v="4"/>
    </i>
    <i>
      <x v="6"/>
    </i>
    <i>
      <x v="8"/>
    </i>
    <i>
      <x v="9"/>
    </i>
    <i>
      <x v="10"/>
    </i>
    <i>
      <x v="11"/>
    </i>
    <i>
      <x v="12"/>
    </i>
    <i>
      <x v="13"/>
    </i>
    <i>
      <x v="14"/>
    </i>
    <i>
      <x v="15"/>
    </i>
    <i>
      <x v="16"/>
    </i>
    <i>
      <x v="17"/>
    </i>
    <i>
      <x v="18"/>
    </i>
    <i>
      <x v="19"/>
    </i>
    <i>
      <x v="20"/>
    </i>
    <i>
      <x v="21"/>
    </i>
    <i>
      <x v="22"/>
    </i>
    <i>
      <x v="23"/>
    </i>
    <i>
      <x v="24"/>
    </i>
    <i>
      <x v="25"/>
    </i>
    <i>
      <x v="26"/>
    </i>
    <i>
      <x v="27"/>
    </i>
    <i>
      <x v="28"/>
    </i>
    <i>
      <x v="29"/>
    </i>
    <i>
      <x v="30"/>
    </i>
    <i>
      <x v="31"/>
    </i>
    <i>
      <x v="32"/>
    </i>
    <i>
      <x v="33"/>
    </i>
    <i t="grand">
      <x/>
    </i>
  </colItems>
  <pageFields count="1">
    <pageField fld="2" hier="0"/>
  </pageFields>
  <dataFields count="2">
    <dataField name="Volume" fld="29" baseField="0" baseItem="4294967293"/>
    <dataField name="Billing ($)" fld="30" baseField="0" baseItem="4294967293" numFmtId="201"/>
  </dataFields>
  <pivotTableStyleInfo showRowHeaders="1" showColHeaders="1" showRowStripes="0" showColStripes="0"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6.bin"/><Relationship Id="rId1" Type="http://schemas.openxmlformats.org/officeDocument/2006/relationships/pivotTable" Target="../pivotTables/pivotTable1.xml"/><Relationship Id="rId5" Type="http://schemas.openxmlformats.org/officeDocument/2006/relationships/ctrlProp" Target="../ctrlProps/ctrlProp7.xml"/><Relationship Id="rId4"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printerSettings" Target="../printerSettings/printerSettings10.bin"/><Relationship Id="rId4" Type="http://schemas.openxmlformats.org/officeDocument/2006/relationships/ctrlProp" Target="../ctrlProps/ctrlProp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IV321"/>
  <sheetViews>
    <sheetView showGridLines="0" tabSelected="1" zoomScale="65" zoomScaleNormal="67" workbookViewId="0">
      <pane ySplit="2" topLeftCell="A110" activePane="bottomLeft" state="frozen"/>
      <selection activeCell="D20" activeCellId="1" sqref="M27:R27 D20"/>
      <selection pane="bottomLeft" activeCell="M151" sqref="M151"/>
    </sheetView>
  </sheetViews>
  <sheetFormatPr defaultColWidth="6.109375" defaultRowHeight="13.2" x14ac:dyDescent="0.25"/>
  <cols>
    <col min="1" max="1" width="16.44140625" style="409" customWidth="1"/>
    <col min="2" max="2" width="13.109375" style="409" customWidth="1"/>
    <col min="3" max="3" width="9.6640625" style="409" customWidth="1"/>
    <col min="4" max="4" width="12.88671875" style="409" customWidth="1"/>
    <col min="5" max="5" width="6.109375" style="409" customWidth="1"/>
    <col min="6" max="6" width="9.5546875" style="409" customWidth="1"/>
    <col min="7" max="7" width="9.44140625" style="409" customWidth="1"/>
    <col min="8" max="8" width="6" style="409" customWidth="1"/>
    <col min="9" max="9" width="5.6640625" style="409" customWidth="1"/>
    <col min="10" max="10" width="5.88671875" style="409" customWidth="1"/>
    <col min="11" max="11" width="6" style="409" customWidth="1"/>
    <col min="12" max="12" width="5.5546875" style="409" customWidth="1"/>
    <col min="13" max="13" width="6.109375" style="424" customWidth="1"/>
    <col min="14" max="14" width="6" style="424" customWidth="1"/>
    <col min="15" max="20" width="5.6640625" style="409" customWidth="1"/>
    <col min="21" max="21" width="5.44140625" style="409" customWidth="1"/>
    <col min="22" max="24" width="5.6640625" style="409" customWidth="1"/>
    <col min="25" max="25" width="5.33203125" style="409" customWidth="1"/>
    <col min="26" max="26" width="6" style="409" customWidth="1"/>
    <col min="27" max="27" width="5.88671875" style="409" customWidth="1"/>
    <col min="28" max="28" width="6" style="409" customWidth="1"/>
    <col min="29" max="29" width="6.88671875" style="527" customWidth="1"/>
    <col min="30" max="30" width="9.88671875" style="409" customWidth="1"/>
    <col min="31" max="31" width="14.5546875" style="413" customWidth="1"/>
    <col min="32" max="16384" width="6.109375" style="409"/>
  </cols>
  <sheetData>
    <row r="1" spans="1:256" s="387" customFormat="1" ht="15.75" customHeight="1" x14ac:dyDescent="0.25">
      <c r="A1" s="383"/>
      <c r="B1" s="384"/>
      <c r="C1" s="384"/>
      <c r="D1" s="384"/>
      <c r="E1" s="384"/>
      <c r="F1" s="384"/>
      <c r="G1" s="384"/>
      <c r="H1" s="384"/>
      <c r="I1" s="384"/>
      <c r="J1" s="384" t="s">
        <v>418</v>
      </c>
      <c r="K1" s="384"/>
      <c r="L1" s="384"/>
      <c r="M1" s="384"/>
      <c r="N1" s="384"/>
      <c r="O1" s="384"/>
      <c r="P1" s="384" t="s">
        <v>15</v>
      </c>
      <c r="Q1" s="384"/>
      <c r="R1" s="384"/>
      <c r="S1" s="384"/>
      <c r="T1" s="384"/>
      <c r="U1" s="384"/>
      <c r="V1" s="384"/>
      <c r="W1" s="384" t="s">
        <v>15</v>
      </c>
      <c r="X1" s="384"/>
      <c r="Y1" s="384"/>
      <c r="Z1" s="384"/>
      <c r="AA1" s="384"/>
      <c r="AB1" s="384" t="s">
        <v>15</v>
      </c>
      <c r="AC1" s="525"/>
      <c r="AD1" s="384"/>
      <c r="AE1" s="385"/>
      <c r="AF1" s="386"/>
    </row>
    <row r="2" spans="1:256" s="382" customFormat="1" ht="25.5" customHeight="1" x14ac:dyDescent="0.25">
      <c r="A2" s="388" t="s">
        <v>61</v>
      </c>
      <c r="B2" s="389" t="s">
        <v>60</v>
      </c>
      <c r="C2" s="389" t="s">
        <v>58</v>
      </c>
      <c r="D2" s="389" t="s">
        <v>9</v>
      </c>
      <c r="E2" s="389"/>
      <c r="F2" s="390">
        <v>1</v>
      </c>
      <c r="G2" s="390">
        <v>2</v>
      </c>
      <c r="H2" s="390">
        <v>3</v>
      </c>
      <c r="I2" s="390">
        <v>4</v>
      </c>
      <c r="J2" s="390">
        <v>5</v>
      </c>
      <c r="K2" s="390">
        <v>6</v>
      </c>
      <c r="L2" s="390">
        <v>7</v>
      </c>
      <c r="M2" s="390">
        <v>8</v>
      </c>
      <c r="N2" s="390">
        <v>9</v>
      </c>
      <c r="O2" s="390">
        <v>10</v>
      </c>
      <c r="P2" s="390">
        <v>11</v>
      </c>
      <c r="Q2" s="390">
        <v>12</v>
      </c>
      <c r="R2" s="390">
        <v>13</v>
      </c>
      <c r="S2" s="390">
        <v>14</v>
      </c>
      <c r="T2" s="390">
        <v>15</v>
      </c>
      <c r="U2" s="390">
        <v>16</v>
      </c>
      <c r="V2" s="390">
        <v>17</v>
      </c>
      <c r="W2" s="390">
        <v>18</v>
      </c>
      <c r="X2" s="390">
        <v>19</v>
      </c>
      <c r="Y2" s="390">
        <v>20</v>
      </c>
      <c r="Z2" s="390">
        <v>21</v>
      </c>
      <c r="AA2" s="390">
        <v>22</v>
      </c>
      <c r="AB2" s="390">
        <v>23</v>
      </c>
      <c r="AC2" s="526">
        <v>24</v>
      </c>
      <c r="AD2" s="389" t="s">
        <v>21</v>
      </c>
      <c r="AE2" s="391" t="s">
        <v>212</v>
      </c>
      <c r="AF2" s="392" t="s">
        <v>10</v>
      </c>
    </row>
    <row r="3" spans="1:256" s="382" customFormat="1" ht="12.75" customHeight="1" x14ac:dyDescent="0.25">
      <c r="A3" s="547" t="s">
        <v>66</v>
      </c>
      <c r="B3" s="393" t="s">
        <v>64</v>
      </c>
      <c r="C3" s="394" t="s">
        <v>159</v>
      </c>
      <c r="D3" s="394"/>
      <c r="E3" s="394"/>
      <c r="F3" s="660">
        <v>150</v>
      </c>
      <c r="G3" s="660">
        <v>100</v>
      </c>
      <c r="H3" s="660">
        <v>75</v>
      </c>
      <c r="I3" s="660">
        <v>75</v>
      </c>
      <c r="J3" s="660">
        <v>75</v>
      </c>
      <c r="K3" s="660">
        <v>75</v>
      </c>
      <c r="L3" s="660">
        <v>75</v>
      </c>
      <c r="M3" s="660">
        <v>85</v>
      </c>
      <c r="N3" s="660">
        <v>85</v>
      </c>
      <c r="O3" s="660">
        <v>135</v>
      </c>
      <c r="P3" s="660">
        <v>150</v>
      </c>
      <c r="Q3" s="660">
        <v>115</v>
      </c>
      <c r="R3" s="660">
        <v>105</v>
      </c>
      <c r="S3" s="660">
        <v>95</v>
      </c>
      <c r="T3" s="660">
        <v>95</v>
      </c>
      <c r="U3" s="660">
        <v>95</v>
      </c>
      <c r="V3" s="660">
        <v>95</v>
      </c>
      <c r="W3" s="660">
        <v>55</v>
      </c>
      <c r="X3" s="660">
        <v>100</v>
      </c>
      <c r="Y3" s="660">
        <v>110</v>
      </c>
      <c r="Z3" s="660">
        <v>100</v>
      </c>
      <c r="AA3" s="660">
        <v>90</v>
      </c>
      <c r="AB3" s="660">
        <v>40</v>
      </c>
      <c r="AC3" s="660">
        <v>50</v>
      </c>
      <c r="AD3" s="545">
        <f t="shared" ref="AD3:AD8" si="0">SUM(F3:AC3)</f>
        <v>2225</v>
      </c>
      <c r="AE3" s="661">
        <f t="shared" ref="AE3:AE8" si="1">AD3*D3</f>
        <v>0</v>
      </c>
      <c r="AF3" s="396" t="str">
        <f t="shared" ref="AF3:AF8" si="2">IF(AD3&lt;0,"buy","sell")</f>
        <v>sell</v>
      </c>
      <c r="AG3" s="382">
        <v>120</v>
      </c>
      <c r="AH3" s="382">
        <v>0</v>
      </c>
      <c r="AI3" s="382">
        <v>0</v>
      </c>
      <c r="AJ3" s="382">
        <v>140</v>
      </c>
      <c r="AK3" s="382">
        <v>0</v>
      </c>
      <c r="AL3" s="382">
        <v>0</v>
      </c>
      <c r="AM3" s="382">
        <v>150</v>
      </c>
      <c r="AN3" s="382">
        <v>0</v>
      </c>
      <c r="AO3" s="382">
        <v>0</v>
      </c>
      <c r="AP3" s="382">
        <v>150</v>
      </c>
      <c r="AQ3" s="382">
        <v>0</v>
      </c>
      <c r="AR3" s="382">
        <v>0</v>
      </c>
      <c r="AS3" s="382">
        <v>150</v>
      </c>
      <c r="AT3" s="382">
        <v>0</v>
      </c>
      <c r="AU3" s="382">
        <v>0</v>
      </c>
      <c r="AV3" s="382">
        <v>150</v>
      </c>
      <c r="AW3" s="382">
        <v>0</v>
      </c>
      <c r="AX3" s="382">
        <v>0</v>
      </c>
      <c r="AY3" s="382">
        <v>150</v>
      </c>
      <c r="AZ3" s="382">
        <v>0</v>
      </c>
      <c r="BA3" s="382">
        <v>0</v>
      </c>
      <c r="BB3" s="382">
        <v>150</v>
      </c>
      <c r="BC3" s="382">
        <v>0</v>
      </c>
      <c r="BD3" s="382">
        <v>0</v>
      </c>
      <c r="BE3" s="382">
        <v>150</v>
      </c>
      <c r="BF3" s="382">
        <v>0</v>
      </c>
      <c r="BG3" s="382">
        <v>0</v>
      </c>
      <c r="BH3" s="382">
        <v>150</v>
      </c>
      <c r="BI3" s="382">
        <v>0</v>
      </c>
      <c r="BJ3" s="382">
        <v>0</v>
      </c>
      <c r="BK3" s="382">
        <v>150</v>
      </c>
      <c r="BL3" s="382">
        <v>0</v>
      </c>
      <c r="BM3" s="382">
        <v>0</v>
      </c>
      <c r="BN3" s="382">
        <v>130</v>
      </c>
      <c r="BO3" s="382">
        <v>0</v>
      </c>
      <c r="BP3" s="382">
        <v>0</v>
      </c>
      <c r="BQ3" s="382">
        <v>110</v>
      </c>
      <c r="BR3" s="382">
        <v>0</v>
      </c>
      <c r="BS3" s="382">
        <v>0</v>
      </c>
      <c r="BT3" s="382">
        <v>90</v>
      </c>
      <c r="BU3" s="382">
        <v>0</v>
      </c>
      <c r="BV3" s="382">
        <v>0</v>
      </c>
      <c r="BW3" s="395">
        <v>150</v>
      </c>
      <c r="IV3" s="395">
        <v>150</v>
      </c>
    </row>
    <row r="4" spans="1:256" s="382" customFormat="1" ht="12.75" customHeight="1" x14ac:dyDescent="0.25">
      <c r="A4" s="547" t="s">
        <v>71</v>
      </c>
      <c r="B4" s="393" t="s">
        <v>64</v>
      </c>
      <c r="C4" s="394"/>
      <c r="D4" s="394"/>
      <c r="E4" s="394"/>
      <c r="F4" s="660">
        <v>25</v>
      </c>
      <c r="G4" s="628">
        <v>25</v>
      </c>
      <c r="H4" s="628">
        <v>25</v>
      </c>
      <c r="I4" s="628">
        <v>25</v>
      </c>
      <c r="J4" s="628">
        <v>25</v>
      </c>
      <c r="K4" s="628">
        <v>25</v>
      </c>
      <c r="L4" s="628">
        <v>25</v>
      </c>
      <c r="M4" s="628">
        <v>25</v>
      </c>
      <c r="N4" s="628">
        <v>25</v>
      </c>
      <c r="O4" s="628">
        <v>25</v>
      </c>
      <c r="P4" s="628">
        <v>25</v>
      </c>
      <c r="Q4" s="628">
        <v>25</v>
      </c>
      <c r="R4" s="628">
        <v>25</v>
      </c>
      <c r="S4" s="628">
        <v>25</v>
      </c>
      <c r="T4" s="628">
        <v>25</v>
      </c>
      <c r="U4" s="628">
        <v>25</v>
      </c>
      <c r="V4" s="628">
        <v>25</v>
      </c>
      <c r="W4" s="628">
        <v>25</v>
      </c>
      <c r="X4" s="628">
        <v>25</v>
      </c>
      <c r="Y4" s="628">
        <v>25</v>
      </c>
      <c r="Z4" s="628">
        <v>25</v>
      </c>
      <c r="AA4" s="628">
        <v>25</v>
      </c>
      <c r="AB4" s="628">
        <v>25</v>
      </c>
      <c r="AC4" s="628">
        <v>25</v>
      </c>
      <c r="AD4" s="545">
        <f t="shared" si="0"/>
        <v>600</v>
      </c>
      <c r="AE4" s="661">
        <f t="shared" si="1"/>
        <v>0</v>
      </c>
      <c r="AF4" s="396" t="str">
        <f t="shared" si="2"/>
        <v>sell</v>
      </c>
    </row>
    <row r="5" spans="1:256" s="382" customFormat="1" ht="12.75" customHeight="1" x14ac:dyDescent="0.25">
      <c r="A5" s="547" t="s">
        <v>3</v>
      </c>
      <c r="B5" s="393" t="s">
        <v>64</v>
      </c>
      <c r="C5" s="624" t="s">
        <v>276</v>
      </c>
      <c r="D5" s="625">
        <v>28.25</v>
      </c>
      <c r="E5" s="625"/>
      <c r="F5" s="659">
        <v>-50</v>
      </c>
      <c r="G5" s="659">
        <v>-50</v>
      </c>
      <c r="H5" s="659">
        <v>-50</v>
      </c>
      <c r="I5" s="659">
        <v>-50</v>
      </c>
      <c r="J5" s="659">
        <v>-50</v>
      </c>
      <c r="K5" s="659">
        <v>-50</v>
      </c>
      <c r="L5" s="659">
        <v>-50</v>
      </c>
      <c r="M5" s="659">
        <v>-50</v>
      </c>
      <c r="N5" s="659">
        <v>-50</v>
      </c>
      <c r="O5" s="659">
        <v>-50</v>
      </c>
      <c r="P5" s="659">
        <v>-50</v>
      </c>
      <c r="Q5" s="659">
        <v>-50</v>
      </c>
      <c r="R5" s="659">
        <v>-50</v>
      </c>
      <c r="S5" s="659">
        <v>-50</v>
      </c>
      <c r="T5" s="659">
        <v>-50</v>
      </c>
      <c r="U5" s="659">
        <v>-50</v>
      </c>
      <c r="V5" s="659">
        <v>-50</v>
      </c>
      <c r="W5" s="659">
        <v>-50</v>
      </c>
      <c r="X5" s="659">
        <v>-50</v>
      </c>
      <c r="Y5" s="659">
        <v>-50</v>
      </c>
      <c r="Z5" s="659">
        <v>-50</v>
      </c>
      <c r="AA5" s="659">
        <v>-50</v>
      </c>
      <c r="AB5" s="659">
        <v>-50</v>
      </c>
      <c r="AC5" s="659">
        <v>-50</v>
      </c>
      <c r="AD5" s="713">
        <f t="shared" si="0"/>
        <v>-1200</v>
      </c>
      <c r="AE5" s="661">
        <f t="shared" si="1"/>
        <v>-33900</v>
      </c>
      <c r="AF5" s="396" t="str">
        <f t="shared" si="2"/>
        <v>buy</v>
      </c>
    </row>
    <row r="6" spans="1:256" s="382" customFormat="1" ht="12.75" customHeight="1" x14ac:dyDescent="0.25">
      <c r="A6" s="547" t="s">
        <v>414</v>
      </c>
      <c r="B6" s="393"/>
      <c r="C6" s="624"/>
      <c r="D6" s="394"/>
      <c r="E6" s="394"/>
      <c r="F6" s="628"/>
      <c r="G6" s="628"/>
      <c r="H6" s="628"/>
      <c r="I6" s="628"/>
      <c r="J6" s="628"/>
      <c r="K6" s="628"/>
      <c r="L6" s="628"/>
      <c r="M6" s="628"/>
      <c r="N6" s="628">
        <v>20</v>
      </c>
      <c r="O6" s="628">
        <v>20</v>
      </c>
      <c r="P6" s="628"/>
      <c r="Q6" s="628"/>
      <c r="R6" s="628"/>
      <c r="S6" s="628"/>
      <c r="T6" s="628"/>
      <c r="U6" s="628"/>
      <c r="V6" s="628"/>
      <c r="W6" s="628"/>
      <c r="X6" s="628">
        <v>20</v>
      </c>
      <c r="Y6" s="628">
        <v>20</v>
      </c>
      <c r="Z6" s="628">
        <v>20</v>
      </c>
      <c r="AA6" s="628">
        <v>20</v>
      </c>
      <c r="AB6" s="628"/>
      <c r="AC6" s="628">
        <v>20</v>
      </c>
      <c r="AD6" s="545">
        <f t="shared" si="0"/>
        <v>140</v>
      </c>
      <c r="AE6" s="661">
        <f t="shared" si="1"/>
        <v>0</v>
      </c>
      <c r="AF6" s="396" t="str">
        <f t="shared" si="2"/>
        <v>sell</v>
      </c>
    </row>
    <row r="7" spans="1:256" s="382" customFormat="1" x14ac:dyDescent="0.25">
      <c r="A7" s="547" t="s">
        <v>413</v>
      </c>
      <c r="B7" s="393"/>
      <c r="C7" s="624"/>
      <c r="D7" s="394"/>
      <c r="E7" s="394"/>
      <c r="F7" s="628"/>
      <c r="G7" s="628"/>
      <c r="H7" s="628"/>
      <c r="I7" s="628"/>
      <c r="J7" s="628"/>
      <c r="K7" s="628"/>
      <c r="L7" s="628"/>
      <c r="M7" s="628"/>
      <c r="N7" s="628"/>
      <c r="O7" s="628"/>
      <c r="P7" s="628"/>
      <c r="Q7" s="628"/>
      <c r="R7" s="628"/>
      <c r="S7" s="628"/>
      <c r="T7" s="628"/>
      <c r="U7" s="628"/>
      <c r="V7" s="628"/>
      <c r="W7" s="628"/>
      <c r="X7" s="628"/>
      <c r="Y7" s="628"/>
      <c r="Z7" s="628"/>
      <c r="AA7" s="628"/>
      <c r="AB7" s="628"/>
      <c r="AC7" s="628"/>
      <c r="AD7" s="545">
        <f t="shared" si="0"/>
        <v>0</v>
      </c>
      <c r="AE7" s="661">
        <f t="shared" si="1"/>
        <v>0</v>
      </c>
      <c r="AF7" s="396" t="str">
        <f t="shared" si="2"/>
        <v>sell</v>
      </c>
    </row>
    <row r="8" spans="1:256" s="382" customFormat="1" x14ac:dyDescent="0.25">
      <c r="A8" s="547" t="s">
        <v>69</v>
      </c>
      <c r="B8" s="394" t="s">
        <v>63</v>
      </c>
      <c r="C8" s="394" t="s">
        <v>313</v>
      </c>
      <c r="D8" s="394"/>
      <c r="E8" s="394"/>
      <c r="F8" s="712">
        <v>11</v>
      </c>
      <c r="G8" s="712">
        <v>1</v>
      </c>
      <c r="H8" s="712">
        <v>1</v>
      </c>
      <c r="I8" s="712">
        <v>1</v>
      </c>
      <c r="J8" s="712">
        <v>1</v>
      </c>
      <c r="K8" s="712">
        <v>11</v>
      </c>
      <c r="L8" s="712">
        <v>11</v>
      </c>
      <c r="M8" s="712">
        <v>11</v>
      </c>
      <c r="N8" s="712">
        <v>11</v>
      </c>
      <c r="O8" s="712">
        <v>11</v>
      </c>
      <c r="P8" s="712">
        <v>11</v>
      </c>
      <c r="Q8" s="712">
        <v>11</v>
      </c>
      <c r="R8" s="712">
        <v>11</v>
      </c>
      <c r="S8" s="712">
        <v>11</v>
      </c>
      <c r="T8" s="712">
        <v>1</v>
      </c>
      <c r="U8" s="712">
        <v>1</v>
      </c>
      <c r="V8" s="712">
        <v>1</v>
      </c>
      <c r="W8" s="712">
        <v>1</v>
      </c>
      <c r="X8" s="712">
        <v>1</v>
      </c>
      <c r="Y8" s="712">
        <v>11</v>
      </c>
      <c r="Z8" s="712">
        <v>11</v>
      </c>
      <c r="AA8" s="712">
        <v>11</v>
      </c>
      <c r="AB8" s="712">
        <v>11</v>
      </c>
      <c r="AC8" s="712">
        <v>11</v>
      </c>
      <c r="AD8" s="545">
        <f t="shared" si="0"/>
        <v>174</v>
      </c>
      <c r="AE8" s="661">
        <f t="shared" si="1"/>
        <v>0</v>
      </c>
      <c r="AF8" s="396" t="str">
        <f t="shared" si="2"/>
        <v>sell</v>
      </c>
    </row>
    <row r="9" spans="1:256" s="382" customFormat="1" x14ac:dyDescent="0.25">
      <c r="A9" s="397" t="s">
        <v>213</v>
      </c>
      <c r="B9" s="398"/>
      <c r="C9" s="398"/>
      <c r="D9" s="399"/>
      <c r="E9" s="399"/>
      <c r="F9" s="623"/>
      <c r="G9" s="626"/>
      <c r="H9" s="441"/>
      <c r="I9" s="441"/>
      <c r="J9" s="441"/>
      <c r="K9" s="441"/>
      <c r="L9" s="441"/>
      <c r="M9" s="441"/>
      <c r="N9" s="441"/>
      <c r="O9" s="441"/>
      <c r="P9" s="441"/>
      <c r="Q9" s="441"/>
      <c r="R9" s="441"/>
      <c r="S9" s="441"/>
      <c r="T9" s="441"/>
      <c r="U9" s="441"/>
      <c r="V9" s="441"/>
      <c r="W9" s="441"/>
      <c r="X9" s="441"/>
      <c r="Y9" s="441"/>
      <c r="Z9" s="441"/>
      <c r="AA9" s="441"/>
      <c r="AB9" s="441"/>
      <c r="AC9" s="519"/>
      <c r="AD9" s="442"/>
      <c r="AE9" s="443"/>
      <c r="AF9" s="444"/>
    </row>
    <row r="10" spans="1:256" s="382" customFormat="1" x14ac:dyDescent="0.25">
      <c r="A10" s="400" t="s">
        <v>214</v>
      </c>
      <c r="B10" s="401"/>
      <c r="C10" s="401"/>
      <c r="D10" s="401"/>
      <c r="E10" s="401"/>
      <c r="F10" s="622"/>
      <c r="G10" s="401"/>
      <c r="H10" s="401"/>
      <c r="I10" s="401"/>
      <c r="J10" s="401"/>
      <c r="K10" s="401"/>
      <c r="L10" s="401"/>
      <c r="M10" s="401"/>
      <c r="N10" s="401"/>
      <c r="O10" s="401"/>
      <c r="P10" s="401"/>
      <c r="Q10" s="401"/>
      <c r="R10" s="401"/>
      <c r="S10" s="401"/>
      <c r="T10" s="401"/>
      <c r="U10" s="401"/>
      <c r="V10" s="401"/>
      <c r="W10" s="401"/>
      <c r="X10" s="401"/>
      <c r="Y10" s="401"/>
      <c r="Z10" s="401"/>
      <c r="AA10" s="401"/>
      <c r="AB10" s="401"/>
      <c r="AC10" s="548"/>
      <c r="AD10" s="549"/>
      <c r="AE10" s="550"/>
      <c r="AF10" s="402"/>
    </row>
    <row r="11" spans="1:256" s="382" customFormat="1" x14ac:dyDescent="0.25">
      <c r="A11" s="537" t="s">
        <v>303</v>
      </c>
      <c r="B11" s="533" t="s">
        <v>248</v>
      </c>
      <c r="C11" s="533" t="s">
        <v>159</v>
      </c>
      <c r="D11" s="534">
        <f t="shared" ref="D11:D34" si="3">F100</f>
        <v>157.76</v>
      </c>
      <c r="E11" s="534"/>
      <c r="F11" s="541">
        <v>80</v>
      </c>
      <c r="G11" s="544"/>
      <c r="H11" s="541"/>
      <c r="I11" s="541"/>
      <c r="J11" s="541"/>
      <c r="K11" s="541"/>
      <c r="L11" s="541"/>
      <c r="M11" s="541"/>
      <c r="N11" s="541"/>
      <c r="O11" s="541"/>
      <c r="P11" s="541"/>
      <c r="Q11" s="541"/>
      <c r="R11" s="541"/>
      <c r="S11" s="541"/>
      <c r="T11" s="541"/>
      <c r="U11" s="541"/>
      <c r="V11" s="541"/>
      <c r="W11" s="541"/>
      <c r="X11" s="541"/>
      <c r="Y11" s="541"/>
      <c r="Z11" s="541"/>
      <c r="AA11" s="541"/>
      <c r="AB11" s="541"/>
      <c r="AC11" s="543"/>
      <c r="AD11" s="509">
        <f t="shared" ref="AD11:AD84" si="4">SUM(F11:AC11)</f>
        <v>80</v>
      </c>
      <c r="AE11" s="540">
        <f t="shared" ref="AE11:AE84" si="5">AD11*D11</f>
        <v>12620.8</v>
      </c>
      <c r="AF11" s="510" t="str">
        <f>IF(AD11&lt;0,"buy","sell")</f>
        <v>sell</v>
      </c>
    </row>
    <row r="12" spans="1:256" s="382" customFormat="1" x14ac:dyDescent="0.25">
      <c r="A12" s="537" t="s">
        <v>303</v>
      </c>
      <c r="B12" s="533" t="s">
        <v>248</v>
      </c>
      <c r="C12" s="533" t="s">
        <v>159</v>
      </c>
      <c r="D12" s="534">
        <f t="shared" si="3"/>
        <v>150.94999999999999</v>
      </c>
      <c r="E12" s="534"/>
      <c r="F12" s="541"/>
      <c r="G12" s="541">
        <v>115</v>
      </c>
      <c r="H12" s="541"/>
      <c r="I12" s="541"/>
      <c r="J12" s="541"/>
      <c r="K12" s="541"/>
      <c r="L12" s="541"/>
      <c r="M12" s="541"/>
      <c r="N12" s="541"/>
      <c r="O12" s="541"/>
      <c r="P12" s="541"/>
      <c r="Q12" s="541"/>
      <c r="R12" s="541"/>
      <c r="S12" s="541"/>
      <c r="T12" s="541"/>
      <c r="U12" s="541"/>
      <c r="V12" s="541"/>
      <c r="W12" s="541"/>
      <c r="X12" s="541"/>
      <c r="Y12" s="541"/>
      <c r="Z12" s="541"/>
      <c r="AA12" s="541"/>
      <c r="AB12" s="543"/>
      <c r="AC12" s="543"/>
      <c r="AD12" s="509">
        <f t="shared" si="4"/>
        <v>115</v>
      </c>
      <c r="AE12" s="540">
        <f t="shared" si="5"/>
        <v>17359.25</v>
      </c>
      <c r="AF12" s="510" t="str">
        <f t="shared" ref="AF12:AF34" si="6">IF(AD12&lt;0,"buy","sell")</f>
        <v>sell</v>
      </c>
    </row>
    <row r="13" spans="1:256" s="382" customFormat="1" x14ac:dyDescent="0.25">
      <c r="A13" s="537" t="s">
        <v>303</v>
      </c>
      <c r="B13" s="533" t="s">
        <v>248</v>
      </c>
      <c r="C13" s="533" t="s">
        <v>159</v>
      </c>
      <c r="D13" s="534">
        <f t="shared" si="3"/>
        <v>109.75</v>
      </c>
      <c r="E13" s="534"/>
      <c r="F13" s="541"/>
      <c r="G13" s="544"/>
      <c r="H13" s="541">
        <v>115</v>
      </c>
      <c r="I13" s="541"/>
      <c r="J13" s="541"/>
      <c r="K13" s="541"/>
      <c r="L13" s="541"/>
      <c r="M13" s="541"/>
      <c r="N13" s="541"/>
      <c r="O13" s="541"/>
      <c r="P13" s="541"/>
      <c r="Q13" s="541"/>
      <c r="R13" s="541"/>
      <c r="S13" s="541"/>
      <c r="T13" s="541"/>
      <c r="U13" s="541"/>
      <c r="V13" s="541"/>
      <c r="W13" s="541"/>
      <c r="X13" s="541"/>
      <c r="Y13" s="541"/>
      <c r="Z13" s="541"/>
      <c r="AA13" s="541"/>
      <c r="AB13" s="541"/>
      <c r="AC13" s="543"/>
      <c r="AD13" s="509">
        <f t="shared" si="4"/>
        <v>115</v>
      </c>
      <c r="AE13" s="540">
        <f t="shared" si="5"/>
        <v>12621.25</v>
      </c>
      <c r="AF13" s="510" t="str">
        <f t="shared" si="6"/>
        <v>sell</v>
      </c>
    </row>
    <row r="14" spans="1:256" s="382" customFormat="1" x14ac:dyDescent="0.25">
      <c r="A14" s="537" t="s">
        <v>303</v>
      </c>
      <c r="B14" s="533" t="s">
        <v>248</v>
      </c>
      <c r="C14" s="533" t="s">
        <v>159</v>
      </c>
      <c r="D14" s="534">
        <f t="shared" si="3"/>
        <v>94.75</v>
      </c>
      <c r="E14" s="534"/>
      <c r="F14" s="541"/>
      <c r="G14" s="544"/>
      <c r="H14" s="541"/>
      <c r="I14" s="541">
        <v>125</v>
      </c>
      <c r="J14" s="541"/>
      <c r="K14" s="541"/>
      <c r="L14" s="541"/>
      <c r="M14" s="541"/>
      <c r="N14" s="541"/>
      <c r="O14" s="541"/>
      <c r="P14" s="541"/>
      <c r="Q14" s="541"/>
      <c r="R14" s="541"/>
      <c r="S14" s="541"/>
      <c r="T14" s="541"/>
      <c r="U14" s="541"/>
      <c r="V14" s="541"/>
      <c r="W14" s="541"/>
      <c r="X14" s="541"/>
      <c r="Y14" s="541"/>
      <c r="Z14" s="541"/>
      <c r="AA14" s="541"/>
      <c r="AB14" s="541"/>
      <c r="AC14" s="543"/>
      <c r="AD14" s="509">
        <f t="shared" si="4"/>
        <v>125</v>
      </c>
      <c r="AE14" s="540">
        <f t="shared" si="5"/>
        <v>11843.75</v>
      </c>
      <c r="AF14" s="510" t="str">
        <f t="shared" si="6"/>
        <v>sell</v>
      </c>
    </row>
    <row r="15" spans="1:256" s="382" customFormat="1" x14ac:dyDescent="0.25">
      <c r="A15" s="537" t="s">
        <v>303</v>
      </c>
      <c r="B15" s="533" t="s">
        <v>248</v>
      </c>
      <c r="C15" s="533" t="s">
        <v>159</v>
      </c>
      <c r="D15" s="534">
        <f t="shared" si="3"/>
        <v>99.75</v>
      </c>
      <c r="E15" s="534"/>
      <c r="F15" s="541"/>
      <c r="G15" s="544"/>
      <c r="H15" s="541"/>
      <c r="I15" s="541"/>
      <c r="J15" s="541">
        <v>120</v>
      </c>
      <c r="K15" s="541"/>
      <c r="L15" s="541"/>
      <c r="M15" s="541"/>
      <c r="N15" s="541"/>
      <c r="O15" s="541"/>
      <c r="P15" s="541"/>
      <c r="Q15" s="541"/>
      <c r="R15" s="541"/>
      <c r="S15" s="541"/>
      <c r="T15" s="541"/>
      <c r="U15" s="541"/>
      <c r="V15" s="541"/>
      <c r="W15" s="541"/>
      <c r="X15" s="541"/>
      <c r="Y15" s="541"/>
      <c r="Z15" s="541"/>
      <c r="AA15" s="541"/>
      <c r="AB15" s="541"/>
      <c r="AC15" s="543"/>
      <c r="AD15" s="509">
        <f t="shared" si="4"/>
        <v>120</v>
      </c>
      <c r="AE15" s="540">
        <f t="shared" si="5"/>
        <v>11970</v>
      </c>
      <c r="AF15" s="510" t="str">
        <f>IF(AD15&lt;0,"buy","sell")</f>
        <v>sell</v>
      </c>
    </row>
    <row r="16" spans="1:256" s="382" customFormat="1" x14ac:dyDescent="0.25">
      <c r="A16" s="537" t="s">
        <v>303</v>
      </c>
      <c r="B16" s="533" t="s">
        <v>248</v>
      </c>
      <c r="C16" s="533" t="s">
        <v>159</v>
      </c>
      <c r="D16" s="534">
        <f t="shared" si="3"/>
        <v>149.76</v>
      </c>
      <c r="E16" s="534"/>
      <c r="F16" s="541"/>
      <c r="G16" s="544"/>
      <c r="H16" s="541"/>
      <c r="I16" s="541"/>
      <c r="J16" s="541"/>
      <c r="K16" s="541">
        <v>105</v>
      </c>
      <c r="L16" s="541"/>
      <c r="M16" s="541"/>
      <c r="N16" s="541"/>
      <c r="O16" s="541"/>
      <c r="P16" s="541"/>
      <c r="Q16" s="541"/>
      <c r="R16" s="541"/>
      <c r="S16" s="541"/>
      <c r="T16" s="541"/>
      <c r="U16" s="541"/>
      <c r="V16" s="541"/>
      <c r="W16" s="541"/>
      <c r="X16" s="541"/>
      <c r="Y16" s="541"/>
      <c r="Z16" s="541"/>
      <c r="AA16" s="541"/>
      <c r="AB16" s="541"/>
      <c r="AC16" s="541"/>
      <c r="AD16" s="509">
        <f t="shared" si="4"/>
        <v>105</v>
      </c>
      <c r="AE16" s="540">
        <f t="shared" si="5"/>
        <v>15724.8</v>
      </c>
      <c r="AF16" s="510" t="str">
        <f t="shared" si="6"/>
        <v>sell</v>
      </c>
    </row>
    <row r="17" spans="1:32" s="382" customFormat="1" x14ac:dyDescent="0.25">
      <c r="A17" s="537" t="s">
        <v>303</v>
      </c>
      <c r="B17" s="533" t="s">
        <v>248</v>
      </c>
      <c r="C17" s="533" t="s">
        <v>159</v>
      </c>
      <c r="D17" s="534">
        <f t="shared" si="3"/>
        <v>179.75</v>
      </c>
      <c r="E17" s="534"/>
      <c r="F17" s="541"/>
      <c r="G17" s="544"/>
      <c r="H17" s="541"/>
      <c r="I17" s="541"/>
      <c r="J17" s="541"/>
      <c r="K17" s="541"/>
      <c r="L17" s="541">
        <v>50</v>
      </c>
      <c r="M17" s="541"/>
      <c r="N17" s="541"/>
      <c r="O17" s="541"/>
      <c r="P17" s="541"/>
      <c r="Q17" s="541"/>
      <c r="R17" s="541"/>
      <c r="S17" s="541"/>
      <c r="T17" s="541"/>
      <c r="U17" s="541"/>
      <c r="V17" s="541"/>
      <c r="W17" s="541"/>
      <c r="X17" s="541"/>
      <c r="Y17" s="541"/>
      <c r="Z17" s="541"/>
      <c r="AA17" s="541"/>
      <c r="AB17" s="541"/>
      <c r="AC17" s="541"/>
      <c r="AD17" s="509">
        <f t="shared" si="4"/>
        <v>50</v>
      </c>
      <c r="AE17" s="540">
        <f t="shared" si="5"/>
        <v>8987.5</v>
      </c>
      <c r="AF17" s="510" t="str">
        <f t="shared" si="6"/>
        <v>sell</v>
      </c>
    </row>
    <row r="18" spans="1:32" s="382" customFormat="1" x14ac:dyDescent="0.25">
      <c r="A18" s="537" t="s">
        <v>303</v>
      </c>
      <c r="B18" s="533" t="s">
        <v>248</v>
      </c>
      <c r="C18" s="533" t="s">
        <v>159</v>
      </c>
      <c r="D18" s="534">
        <f t="shared" si="3"/>
        <v>200.74</v>
      </c>
      <c r="E18" s="534"/>
      <c r="F18" s="541"/>
      <c r="G18" s="544"/>
      <c r="H18" s="541"/>
      <c r="I18" s="541"/>
      <c r="J18" s="541"/>
      <c r="K18" s="541"/>
      <c r="L18" s="541"/>
      <c r="M18" s="541">
        <v>50</v>
      </c>
      <c r="N18" s="541"/>
      <c r="O18" s="541"/>
      <c r="P18" s="541"/>
      <c r="Q18" s="541"/>
      <c r="R18" s="541"/>
      <c r="S18" s="541"/>
      <c r="T18" s="541"/>
      <c r="U18" s="541"/>
      <c r="V18" s="541"/>
      <c r="W18" s="541"/>
      <c r="X18" s="541"/>
      <c r="Y18" s="541"/>
      <c r="Z18" s="541"/>
      <c r="AA18" s="541"/>
      <c r="AB18" s="541"/>
      <c r="AC18" s="541"/>
      <c r="AD18" s="509">
        <f t="shared" si="4"/>
        <v>50</v>
      </c>
      <c r="AE18" s="540">
        <f t="shared" si="5"/>
        <v>10037</v>
      </c>
      <c r="AF18" s="510" t="str">
        <f t="shared" si="6"/>
        <v>sell</v>
      </c>
    </row>
    <row r="19" spans="1:32" s="382" customFormat="1" x14ac:dyDescent="0.25">
      <c r="A19" s="537" t="s">
        <v>303</v>
      </c>
      <c r="B19" s="533" t="s">
        <v>248</v>
      </c>
      <c r="C19" s="533" t="s">
        <v>159</v>
      </c>
      <c r="D19" s="534">
        <f t="shared" si="3"/>
        <v>249.74</v>
      </c>
      <c r="E19" s="534"/>
      <c r="F19" s="541"/>
      <c r="G19" s="544"/>
      <c r="H19" s="541"/>
      <c r="I19" s="541"/>
      <c r="J19" s="541"/>
      <c r="K19" s="541"/>
      <c r="L19" s="541"/>
      <c r="M19" s="541"/>
      <c r="N19" s="541">
        <v>35</v>
      </c>
      <c r="O19" s="541"/>
      <c r="P19" s="541"/>
      <c r="Q19" s="541"/>
      <c r="R19" s="541"/>
      <c r="S19" s="541"/>
      <c r="T19" s="541"/>
      <c r="U19" s="541"/>
      <c r="V19" s="541"/>
      <c r="W19" s="541"/>
      <c r="X19" s="541"/>
      <c r="Y19" s="541"/>
      <c r="Z19" s="541"/>
      <c r="AA19" s="541"/>
      <c r="AB19" s="541"/>
      <c r="AC19" s="541"/>
      <c r="AD19" s="509">
        <f t="shared" si="4"/>
        <v>35</v>
      </c>
      <c r="AE19" s="540">
        <f t="shared" si="5"/>
        <v>8740.9</v>
      </c>
      <c r="AF19" s="510" t="str">
        <f t="shared" si="6"/>
        <v>sell</v>
      </c>
    </row>
    <row r="20" spans="1:32" s="382" customFormat="1" x14ac:dyDescent="0.25">
      <c r="A20" s="537" t="s">
        <v>303</v>
      </c>
      <c r="B20" s="533" t="s">
        <v>248</v>
      </c>
      <c r="C20" s="533" t="s">
        <v>159</v>
      </c>
      <c r="D20" s="534">
        <f t="shared" si="3"/>
        <v>230.74</v>
      </c>
      <c r="E20" s="534"/>
      <c r="F20" s="541"/>
      <c r="G20" s="544"/>
      <c r="H20" s="541"/>
      <c r="I20" s="541"/>
      <c r="J20" s="541"/>
      <c r="K20" s="541"/>
      <c r="L20" s="541"/>
      <c r="M20" s="541"/>
      <c r="N20" s="541"/>
      <c r="O20" s="541">
        <v>20</v>
      </c>
      <c r="P20" s="541"/>
      <c r="Q20" s="541"/>
      <c r="R20" s="541"/>
      <c r="S20" s="541"/>
      <c r="T20" s="541"/>
      <c r="U20" s="541"/>
      <c r="V20" s="541"/>
      <c r="W20" s="541"/>
      <c r="X20" s="541"/>
      <c r="Y20" s="541"/>
      <c r="Z20" s="541"/>
      <c r="AA20" s="541"/>
      <c r="AB20" s="541"/>
      <c r="AC20" s="541"/>
      <c r="AD20" s="509">
        <f t="shared" si="4"/>
        <v>20</v>
      </c>
      <c r="AE20" s="540">
        <f t="shared" si="5"/>
        <v>4614.8</v>
      </c>
      <c r="AF20" s="510" t="str">
        <f t="shared" si="6"/>
        <v>sell</v>
      </c>
    </row>
    <row r="21" spans="1:32" s="382" customFormat="1" x14ac:dyDescent="0.25">
      <c r="A21" s="537" t="s">
        <v>303</v>
      </c>
      <c r="B21" s="533" t="s">
        <v>248</v>
      </c>
      <c r="C21" s="533" t="s">
        <v>159</v>
      </c>
      <c r="D21" s="534">
        <f t="shared" si="3"/>
        <v>230.74</v>
      </c>
      <c r="E21" s="534"/>
      <c r="F21" s="541"/>
      <c r="G21" s="544"/>
      <c r="H21" s="541"/>
      <c r="I21" s="541"/>
      <c r="J21" s="541"/>
      <c r="K21" s="541"/>
      <c r="L21" s="541"/>
      <c r="M21" s="541"/>
      <c r="N21" s="541"/>
      <c r="O21" s="541"/>
      <c r="P21" s="541">
        <v>0</v>
      </c>
      <c r="Q21" s="541"/>
      <c r="R21" s="541"/>
      <c r="S21" s="541"/>
      <c r="T21" s="541"/>
      <c r="U21" s="541"/>
      <c r="V21" s="541"/>
      <c r="W21" s="541"/>
      <c r="X21" s="541"/>
      <c r="Y21" s="541"/>
      <c r="Z21" s="541"/>
      <c r="AA21" s="541"/>
      <c r="AB21" s="541"/>
      <c r="AC21" s="541"/>
      <c r="AD21" s="509">
        <f t="shared" si="4"/>
        <v>0</v>
      </c>
      <c r="AE21" s="540">
        <f t="shared" si="5"/>
        <v>0</v>
      </c>
      <c r="AF21" s="510" t="str">
        <f t="shared" si="6"/>
        <v>sell</v>
      </c>
    </row>
    <row r="22" spans="1:32" s="382" customFormat="1" x14ac:dyDescent="0.25">
      <c r="A22" s="537" t="s">
        <v>303</v>
      </c>
      <c r="B22" s="533" t="s">
        <v>248</v>
      </c>
      <c r="C22" s="533" t="s">
        <v>159</v>
      </c>
      <c r="D22" s="534">
        <f t="shared" si="3"/>
        <v>229.74</v>
      </c>
      <c r="E22" s="534"/>
      <c r="F22" s="541"/>
      <c r="G22" s="544"/>
      <c r="H22" s="541"/>
      <c r="I22" s="541"/>
      <c r="J22" s="541"/>
      <c r="K22" s="541"/>
      <c r="L22" s="541"/>
      <c r="M22" s="541"/>
      <c r="N22" s="541"/>
      <c r="O22" s="541"/>
      <c r="P22" s="541"/>
      <c r="Q22" s="541">
        <v>0</v>
      </c>
      <c r="R22" s="541"/>
      <c r="S22" s="541"/>
      <c r="T22" s="541"/>
      <c r="U22" s="541"/>
      <c r="V22" s="541"/>
      <c r="W22" s="541"/>
      <c r="X22" s="541"/>
      <c r="Y22" s="541"/>
      <c r="Z22" s="541"/>
      <c r="AA22" s="541"/>
      <c r="AB22" s="541"/>
      <c r="AC22" s="541"/>
      <c r="AD22" s="509">
        <f t="shared" si="4"/>
        <v>0</v>
      </c>
      <c r="AE22" s="540">
        <f t="shared" si="5"/>
        <v>0</v>
      </c>
      <c r="AF22" s="510" t="str">
        <f t="shared" si="6"/>
        <v>sell</v>
      </c>
    </row>
    <row r="23" spans="1:32" s="382" customFormat="1" x14ac:dyDescent="0.25">
      <c r="A23" s="537" t="s">
        <v>303</v>
      </c>
      <c r="B23" s="533" t="s">
        <v>248</v>
      </c>
      <c r="C23" s="533" t="s">
        <v>159</v>
      </c>
      <c r="D23" s="534">
        <f t="shared" si="3"/>
        <v>229.74</v>
      </c>
      <c r="E23" s="534"/>
      <c r="F23" s="541"/>
      <c r="G23" s="544"/>
      <c r="H23" s="541"/>
      <c r="I23" s="541"/>
      <c r="J23" s="541"/>
      <c r="K23" s="541"/>
      <c r="L23" s="541"/>
      <c r="M23" s="541"/>
      <c r="N23" s="541"/>
      <c r="O23" s="541"/>
      <c r="P23" s="541"/>
      <c r="Q23" s="541"/>
      <c r="R23" s="541">
        <v>0</v>
      </c>
      <c r="S23" s="541"/>
      <c r="T23" s="541"/>
      <c r="U23" s="541"/>
      <c r="V23" s="541"/>
      <c r="W23" s="541"/>
      <c r="X23" s="541"/>
      <c r="Y23" s="541"/>
      <c r="Z23" s="541"/>
      <c r="AA23" s="541"/>
      <c r="AB23" s="541"/>
      <c r="AC23" s="541"/>
      <c r="AD23" s="509">
        <f t="shared" si="4"/>
        <v>0</v>
      </c>
      <c r="AE23" s="540">
        <f t="shared" si="5"/>
        <v>0</v>
      </c>
      <c r="AF23" s="510" t="str">
        <f t="shared" si="6"/>
        <v>sell</v>
      </c>
    </row>
    <row r="24" spans="1:32" s="382" customFormat="1" x14ac:dyDescent="0.25">
      <c r="A24" s="537" t="s">
        <v>303</v>
      </c>
      <c r="B24" s="533" t="s">
        <v>248</v>
      </c>
      <c r="C24" s="533" t="s">
        <v>159</v>
      </c>
      <c r="D24" s="534">
        <f t="shared" si="3"/>
        <v>209.74</v>
      </c>
      <c r="E24" s="534"/>
      <c r="F24" s="541"/>
      <c r="G24" s="544"/>
      <c r="H24" s="541"/>
      <c r="I24" s="541"/>
      <c r="J24" s="541"/>
      <c r="K24" s="541"/>
      <c r="L24" s="541"/>
      <c r="M24" s="541"/>
      <c r="N24" s="541"/>
      <c r="O24" s="541"/>
      <c r="P24" s="541"/>
      <c r="Q24" s="541"/>
      <c r="R24" s="541"/>
      <c r="S24" s="541">
        <v>0</v>
      </c>
      <c r="T24" s="541"/>
      <c r="U24" s="541"/>
      <c r="V24" s="541"/>
      <c r="W24" s="541"/>
      <c r="X24" s="541"/>
      <c r="Y24" s="541"/>
      <c r="Z24" s="541"/>
      <c r="AA24" s="541"/>
      <c r="AB24" s="541"/>
      <c r="AC24" s="541"/>
      <c r="AD24" s="509">
        <f t="shared" si="4"/>
        <v>0</v>
      </c>
      <c r="AE24" s="540">
        <f t="shared" si="5"/>
        <v>0</v>
      </c>
      <c r="AF24" s="510" t="str">
        <f t="shared" si="6"/>
        <v>sell</v>
      </c>
    </row>
    <row r="25" spans="1:32" s="382" customFormat="1" x14ac:dyDescent="0.25">
      <c r="A25" s="537" t="s">
        <v>303</v>
      </c>
      <c r="B25" s="533" t="s">
        <v>248</v>
      </c>
      <c r="C25" s="533" t="s">
        <v>159</v>
      </c>
      <c r="D25" s="534">
        <f t="shared" si="3"/>
        <v>204.74</v>
      </c>
      <c r="E25" s="534"/>
      <c r="F25" s="541"/>
      <c r="G25" s="544"/>
      <c r="H25" s="541"/>
      <c r="I25" s="541"/>
      <c r="J25" s="541"/>
      <c r="K25" s="541"/>
      <c r="L25" s="541"/>
      <c r="M25" s="541"/>
      <c r="N25" s="541"/>
      <c r="O25" s="541"/>
      <c r="P25" s="541"/>
      <c r="Q25" s="541"/>
      <c r="R25" s="541"/>
      <c r="S25" s="541"/>
      <c r="T25" s="541">
        <v>0</v>
      </c>
      <c r="U25" s="541"/>
      <c r="V25" s="541"/>
      <c r="W25" s="541"/>
      <c r="X25" s="541"/>
      <c r="Y25" s="541"/>
      <c r="Z25" s="541"/>
      <c r="AA25" s="541"/>
      <c r="AB25" s="541"/>
      <c r="AC25" s="541"/>
      <c r="AD25" s="509">
        <f t="shared" si="4"/>
        <v>0</v>
      </c>
      <c r="AE25" s="540">
        <f t="shared" si="5"/>
        <v>0</v>
      </c>
      <c r="AF25" s="510" t="str">
        <f t="shared" si="6"/>
        <v>sell</v>
      </c>
    </row>
    <row r="26" spans="1:32" s="382" customFormat="1" x14ac:dyDescent="0.25">
      <c r="A26" s="537" t="s">
        <v>303</v>
      </c>
      <c r="B26" s="533" t="s">
        <v>248</v>
      </c>
      <c r="C26" s="533" t="s">
        <v>159</v>
      </c>
      <c r="D26" s="534">
        <f t="shared" si="3"/>
        <v>194.65</v>
      </c>
      <c r="E26" s="534"/>
      <c r="F26" s="541"/>
      <c r="G26" s="544"/>
      <c r="H26" s="541"/>
      <c r="I26" s="541"/>
      <c r="J26" s="541"/>
      <c r="K26" s="541"/>
      <c r="L26" s="541"/>
      <c r="M26" s="541"/>
      <c r="N26" s="541"/>
      <c r="O26" s="541"/>
      <c r="P26" s="541"/>
      <c r="Q26" s="541"/>
      <c r="R26" s="541"/>
      <c r="S26" s="541"/>
      <c r="T26" s="541"/>
      <c r="U26" s="541">
        <v>20</v>
      </c>
      <c r="V26" s="541"/>
      <c r="W26" s="541"/>
      <c r="X26" s="541"/>
      <c r="Y26" s="541"/>
      <c r="Z26" s="541"/>
      <c r="AA26" s="541"/>
      <c r="AB26" s="541"/>
      <c r="AC26" s="541"/>
      <c r="AD26" s="509">
        <f t="shared" si="4"/>
        <v>20</v>
      </c>
      <c r="AE26" s="540">
        <f t="shared" si="5"/>
        <v>3893</v>
      </c>
      <c r="AF26" s="510" t="str">
        <f t="shared" si="6"/>
        <v>sell</v>
      </c>
    </row>
    <row r="27" spans="1:32" s="382" customFormat="1" x14ac:dyDescent="0.25">
      <c r="A27" s="537" t="s">
        <v>303</v>
      </c>
      <c r="B27" s="533" t="s">
        <v>248</v>
      </c>
      <c r="C27" s="533" t="s">
        <v>159</v>
      </c>
      <c r="D27" s="534">
        <f t="shared" si="3"/>
        <v>164.75</v>
      </c>
      <c r="E27" s="534"/>
      <c r="F27" s="541"/>
      <c r="G27" s="544"/>
      <c r="H27" s="541"/>
      <c r="I27" s="541"/>
      <c r="J27" s="541"/>
      <c r="K27" s="541"/>
      <c r="L27" s="541"/>
      <c r="M27" s="541"/>
      <c r="N27" s="541"/>
      <c r="O27" s="541"/>
      <c r="P27" s="541"/>
      <c r="Q27" s="541"/>
      <c r="R27" s="541"/>
      <c r="S27" s="541"/>
      <c r="T27" s="541"/>
      <c r="U27" s="541"/>
      <c r="V27" s="541">
        <v>20</v>
      </c>
      <c r="W27" s="541"/>
      <c r="X27" s="541"/>
      <c r="Y27" s="541"/>
      <c r="Z27" s="541"/>
      <c r="AA27" s="542"/>
      <c r="AB27" s="541"/>
      <c r="AC27" s="541"/>
      <c r="AD27" s="509">
        <f t="shared" si="4"/>
        <v>20</v>
      </c>
      <c r="AE27" s="540">
        <f t="shared" si="5"/>
        <v>3295</v>
      </c>
      <c r="AF27" s="510" t="str">
        <f t="shared" si="6"/>
        <v>sell</v>
      </c>
    </row>
    <row r="28" spans="1:32" s="382" customFormat="1" x14ac:dyDescent="0.25">
      <c r="A28" s="537" t="s">
        <v>303</v>
      </c>
      <c r="B28" s="533" t="s">
        <v>248</v>
      </c>
      <c r="C28" s="533" t="s">
        <v>159</v>
      </c>
      <c r="D28" s="534">
        <f t="shared" si="3"/>
        <v>224.65</v>
      </c>
      <c r="E28" s="534"/>
      <c r="F28" s="541"/>
      <c r="G28" s="544"/>
      <c r="H28" s="541"/>
      <c r="I28" s="541"/>
      <c r="J28" s="541"/>
      <c r="K28" s="541"/>
      <c r="L28" s="541"/>
      <c r="M28" s="541"/>
      <c r="N28" s="541"/>
      <c r="O28" s="541"/>
      <c r="P28" s="541"/>
      <c r="Q28" s="541"/>
      <c r="R28" s="541"/>
      <c r="S28" s="541"/>
      <c r="T28" s="541"/>
      <c r="U28" s="541"/>
      <c r="V28" s="541"/>
      <c r="W28" s="541">
        <v>0</v>
      </c>
      <c r="X28" s="541"/>
      <c r="Y28" s="541"/>
      <c r="Z28" s="541"/>
      <c r="AA28" s="541"/>
      <c r="AB28" s="541"/>
      <c r="AC28" s="541"/>
      <c r="AD28" s="509">
        <f t="shared" si="4"/>
        <v>0</v>
      </c>
      <c r="AE28" s="540">
        <f t="shared" si="5"/>
        <v>0</v>
      </c>
      <c r="AF28" s="510" t="str">
        <f t="shared" si="6"/>
        <v>sell</v>
      </c>
    </row>
    <row r="29" spans="1:32" s="382" customFormat="1" x14ac:dyDescent="0.25">
      <c r="A29" s="537" t="s">
        <v>303</v>
      </c>
      <c r="B29" s="533" t="s">
        <v>248</v>
      </c>
      <c r="C29" s="533" t="s">
        <v>159</v>
      </c>
      <c r="D29" s="534">
        <f t="shared" si="3"/>
        <v>249.74299999999999</v>
      </c>
      <c r="E29" s="534"/>
      <c r="F29" s="541"/>
      <c r="G29" s="544"/>
      <c r="H29" s="541"/>
      <c r="I29" s="541"/>
      <c r="J29" s="541"/>
      <c r="K29" s="541"/>
      <c r="L29" s="541"/>
      <c r="M29" s="541"/>
      <c r="N29" s="541"/>
      <c r="O29" s="541"/>
      <c r="P29" s="541"/>
      <c r="Q29" s="541"/>
      <c r="R29" s="541"/>
      <c r="S29" s="541"/>
      <c r="T29" s="541"/>
      <c r="U29" s="541"/>
      <c r="V29" s="541"/>
      <c r="W29" s="541"/>
      <c r="X29" s="541">
        <v>0</v>
      </c>
      <c r="Y29" s="541"/>
      <c r="Z29" s="541"/>
      <c r="AA29" s="541"/>
      <c r="AB29" s="541"/>
      <c r="AC29" s="541"/>
      <c r="AD29" s="509">
        <f t="shared" si="4"/>
        <v>0</v>
      </c>
      <c r="AE29" s="540">
        <f t="shared" si="5"/>
        <v>0</v>
      </c>
      <c r="AF29" s="510" t="str">
        <f t="shared" si="6"/>
        <v>sell</v>
      </c>
    </row>
    <row r="30" spans="1:32" s="382" customFormat="1" x14ac:dyDescent="0.25">
      <c r="A30" s="537" t="s">
        <v>303</v>
      </c>
      <c r="B30" s="533" t="s">
        <v>248</v>
      </c>
      <c r="C30" s="533" t="s">
        <v>159</v>
      </c>
      <c r="D30" s="534">
        <f t="shared" si="3"/>
        <v>249.74</v>
      </c>
      <c r="E30" s="534"/>
      <c r="F30" s="541"/>
      <c r="G30" s="544"/>
      <c r="H30" s="541"/>
      <c r="I30" s="541"/>
      <c r="J30" s="541"/>
      <c r="K30" s="541"/>
      <c r="L30" s="541"/>
      <c r="M30" s="541"/>
      <c r="N30" s="541"/>
      <c r="O30" s="541"/>
      <c r="P30" s="541"/>
      <c r="Q30" s="541"/>
      <c r="R30" s="541"/>
      <c r="S30" s="541"/>
      <c r="T30" s="541"/>
      <c r="U30" s="541"/>
      <c r="V30" s="541"/>
      <c r="W30" s="541"/>
      <c r="X30" s="541"/>
      <c r="Y30" s="541">
        <v>0</v>
      </c>
      <c r="Z30" s="541"/>
      <c r="AA30" s="541"/>
      <c r="AB30" s="541"/>
      <c r="AC30" s="541"/>
      <c r="AD30" s="509">
        <f t="shared" si="4"/>
        <v>0</v>
      </c>
      <c r="AE30" s="540">
        <f t="shared" si="5"/>
        <v>0</v>
      </c>
      <c r="AF30" s="510" t="str">
        <f t="shared" si="6"/>
        <v>sell</v>
      </c>
    </row>
    <row r="31" spans="1:32" s="382" customFormat="1" x14ac:dyDescent="0.25">
      <c r="A31" s="537" t="s">
        <v>303</v>
      </c>
      <c r="B31" s="533" t="s">
        <v>248</v>
      </c>
      <c r="C31" s="533" t="s">
        <v>159</v>
      </c>
      <c r="D31" s="534">
        <f t="shared" si="3"/>
        <v>249.74</v>
      </c>
      <c r="E31" s="534"/>
      <c r="F31" s="541"/>
      <c r="G31" s="544"/>
      <c r="H31" s="541"/>
      <c r="I31" s="541"/>
      <c r="J31" s="541"/>
      <c r="K31" s="541"/>
      <c r="L31" s="541"/>
      <c r="M31" s="541"/>
      <c r="N31" s="541"/>
      <c r="O31" s="541"/>
      <c r="P31" s="541"/>
      <c r="Q31" s="541"/>
      <c r="R31" s="541"/>
      <c r="S31" s="541"/>
      <c r="T31" s="541"/>
      <c r="U31" s="541"/>
      <c r="V31" s="541"/>
      <c r="W31" s="541"/>
      <c r="X31" s="541"/>
      <c r="Y31" s="541"/>
      <c r="Z31" s="541">
        <v>0</v>
      </c>
      <c r="AA31" s="541"/>
      <c r="AB31" s="541"/>
      <c r="AC31" s="541"/>
      <c r="AD31" s="509">
        <f t="shared" si="4"/>
        <v>0</v>
      </c>
      <c r="AE31" s="540">
        <f t="shared" si="5"/>
        <v>0</v>
      </c>
      <c r="AF31" s="510" t="str">
        <f t="shared" si="6"/>
        <v>sell</v>
      </c>
    </row>
    <row r="32" spans="1:32" s="382" customFormat="1" x14ac:dyDescent="0.25">
      <c r="A32" s="537" t="s">
        <v>303</v>
      </c>
      <c r="B32" s="533" t="s">
        <v>248</v>
      </c>
      <c r="C32" s="533" t="s">
        <v>159</v>
      </c>
      <c r="D32" s="534">
        <f t="shared" si="3"/>
        <v>249.74</v>
      </c>
      <c r="E32" s="534"/>
      <c r="F32" s="541"/>
      <c r="G32" s="544"/>
      <c r="H32" s="541"/>
      <c r="I32" s="541"/>
      <c r="J32" s="541"/>
      <c r="K32" s="541"/>
      <c r="L32" s="541"/>
      <c r="M32" s="541"/>
      <c r="N32" s="541"/>
      <c r="O32" s="541"/>
      <c r="P32" s="541"/>
      <c r="Q32" s="541"/>
      <c r="R32" s="541"/>
      <c r="S32" s="541"/>
      <c r="T32" s="541"/>
      <c r="U32" s="541"/>
      <c r="V32" s="541"/>
      <c r="W32" s="541"/>
      <c r="X32" s="541"/>
      <c r="Y32" s="541"/>
      <c r="Z32" s="541"/>
      <c r="AA32" s="541">
        <v>60</v>
      </c>
      <c r="AB32" s="541"/>
      <c r="AC32" s="541"/>
      <c r="AD32" s="509">
        <f t="shared" si="4"/>
        <v>60</v>
      </c>
      <c r="AE32" s="540">
        <f t="shared" si="5"/>
        <v>14984.400000000001</v>
      </c>
      <c r="AF32" s="510" t="str">
        <f t="shared" si="6"/>
        <v>sell</v>
      </c>
    </row>
    <row r="33" spans="1:32" s="382" customFormat="1" x14ac:dyDescent="0.25">
      <c r="A33" s="537" t="s">
        <v>303</v>
      </c>
      <c r="B33" s="533" t="s">
        <v>248</v>
      </c>
      <c r="C33" s="533" t="s">
        <v>159</v>
      </c>
      <c r="D33" s="534">
        <f t="shared" si="3"/>
        <v>179.75</v>
      </c>
      <c r="E33" s="534"/>
      <c r="F33" s="541"/>
      <c r="G33" s="544"/>
      <c r="H33" s="541"/>
      <c r="I33" s="541"/>
      <c r="J33" s="541"/>
      <c r="K33" s="541"/>
      <c r="L33" s="541"/>
      <c r="M33" s="541"/>
      <c r="N33" s="541"/>
      <c r="O33" s="541"/>
      <c r="P33" s="541"/>
      <c r="Q33" s="541"/>
      <c r="R33" s="541"/>
      <c r="S33" s="541"/>
      <c r="T33" s="541"/>
      <c r="U33" s="541"/>
      <c r="V33" s="541"/>
      <c r="W33" s="541"/>
      <c r="X33" s="541"/>
      <c r="Y33" s="541"/>
      <c r="Z33" s="541"/>
      <c r="AA33" s="541"/>
      <c r="AB33" s="541">
        <v>75</v>
      </c>
      <c r="AC33" s="541"/>
      <c r="AD33" s="509">
        <f t="shared" si="4"/>
        <v>75</v>
      </c>
      <c r="AE33" s="540">
        <f t="shared" si="5"/>
        <v>13481.25</v>
      </c>
      <c r="AF33" s="510" t="str">
        <f t="shared" si="6"/>
        <v>sell</v>
      </c>
    </row>
    <row r="34" spans="1:32" s="382" customFormat="1" x14ac:dyDescent="0.25">
      <c r="A34" s="537" t="s">
        <v>303</v>
      </c>
      <c r="B34" s="533" t="s">
        <v>248</v>
      </c>
      <c r="C34" s="533" t="s">
        <v>159</v>
      </c>
      <c r="D34" s="534">
        <f t="shared" si="3"/>
        <v>179.74</v>
      </c>
      <c r="E34" s="534"/>
      <c r="F34" s="541"/>
      <c r="G34" s="544"/>
      <c r="H34" s="541"/>
      <c r="I34" s="541"/>
      <c r="J34" s="541"/>
      <c r="K34" s="541"/>
      <c r="L34" s="541"/>
      <c r="M34" s="541"/>
      <c r="N34" s="541"/>
      <c r="O34" s="541"/>
      <c r="P34" s="541"/>
      <c r="Q34" s="541"/>
      <c r="R34" s="541"/>
      <c r="S34" s="541"/>
      <c r="T34" s="541"/>
      <c r="U34" s="541"/>
      <c r="V34" s="541"/>
      <c r="W34" s="541"/>
      <c r="X34" s="541"/>
      <c r="Y34" s="541"/>
      <c r="Z34" s="541"/>
      <c r="AA34" s="541"/>
      <c r="AB34" s="541"/>
      <c r="AC34" s="541">
        <v>100</v>
      </c>
      <c r="AD34" s="509">
        <f t="shared" si="4"/>
        <v>100</v>
      </c>
      <c r="AE34" s="540">
        <f t="shared" si="5"/>
        <v>17974</v>
      </c>
      <c r="AF34" s="510" t="str">
        <f t="shared" si="6"/>
        <v>sell</v>
      </c>
    </row>
    <row r="35" spans="1:32" s="382" customFormat="1" x14ac:dyDescent="0.25">
      <c r="A35" s="537"/>
      <c r="B35" s="533"/>
      <c r="C35" s="533"/>
      <c r="D35" s="534"/>
      <c r="E35" s="534"/>
      <c r="F35" s="541"/>
      <c r="G35" s="544"/>
      <c r="H35" s="541"/>
      <c r="I35" s="541"/>
      <c r="J35" s="541"/>
      <c r="K35" s="541"/>
      <c r="L35" s="541"/>
      <c r="M35" s="541"/>
      <c r="N35" s="541"/>
      <c r="O35" s="541"/>
      <c r="P35" s="541"/>
      <c r="Q35" s="541"/>
      <c r="R35" s="541"/>
      <c r="S35" s="541"/>
      <c r="T35" s="541"/>
      <c r="U35" s="541"/>
      <c r="V35" s="541"/>
      <c r="W35" s="541"/>
      <c r="X35" s="541"/>
      <c r="Y35" s="541"/>
      <c r="Z35" s="541"/>
      <c r="AA35" s="541"/>
      <c r="AB35" s="541"/>
      <c r="AC35" s="541"/>
      <c r="AD35" s="509">
        <f t="shared" si="4"/>
        <v>0</v>
      </c>
      <c r="AE35" s="540">
        <f t="shared" si="5"/>
        <v>0</v>
      </c>
      <c r="AF35" s="510"/>
    </row>
    <row r="36" spans="1:32" s="382" customFormat="1" x14ac:dyDescent="0.25">
      <c r="A36" s="537" t="s">
        <v>303</v>
      </c>
      <c r="B36" s="533" t="s">
        <v>248</v>
      </c>
      <c r="C36" s="533" t="s">
        <v>314</v>
      </c>
      <c r="D36" s="534">
        <f>F130</f>
        <v>75.739999999999995</v>
      </c>
      <c r="E36" s="534"/>
      <c r="F36" s="541">
        <v>120</v>
      </c>
      <c r="G36" s="544"/>
      <c r="H36" s="541"/>
      <c r="I36" s="541"/>
      <c r="J36" s="541"/>
      <c r="K36" s="541"/>
      <c r="L36" s="541"/>
      <c r="M36" s="541"/>
      <c r="N36" s="541"/>
      <c r="O36" s="541"/>
      <c r="P36" s="541"/>
      <c r="Q36" s="541"/>
      <c r="R36" s="541"/>
      <c r="S36" s="541"/>
      <c r="T36" s="541"/>
      <c r="U36" s="541"/>
      <c r="V36" s="541"/>
      <c r="W36" s="541"/>
      <c r="X36" s="541"/>
      <c r="Y36" s="541"/>
      <c r="Z36" s="541"/>
      <c r="AA36" s="541"/>
      <c r="AB36" s="541"/>
      <c r="AC36" s="541"/>
      <c r="AD36" s="509">
        <f t="shared" si="4"/>
        <v>120</v>
      </c>
      <c r="AE36" s="540">
        <f t="shared" si="5"/>
        <v>9088.7999999999993</v>
      </c>
      <c r="AF36" s="510" t="str">
        <f>IF(AD36&lt;0,"buy","sell")</f>
        <v>sell</v>
      </c>
    </row>
    <row r="37" spans="1:32" s="382" customFormat="1" x14ac:dyDescent="0.25">
      <c r="A37" s="537" t="s">
        <v>303</v>
      </c>
      <c r="B37" s="533" t="s">
        <v>248</v>
      </c>
      <c r="C37" s="533" t="s">
        <v>314</v>
      </c>
      <c r="D37" s="534">
        <f>F131</f>
        <v>150.94999999999999</v>
      </c>
      <c r="E37" s="534"/>
      <c r="F37" s="541"/>
      <c r="G37" s="541">
        <v>100</v>
      </c>
      <c r="H37" s="541"/>
      <c r="I37" s="541"/>
      <c r="J37" s="541"/>
      <c r="K37" s="541"/>
      <c r="L37" s="541"/>
      <c r="M37" s="541"/>
      <c r="N37" s="541"/>
      <c r="O37" s="541"/>
      <c r="P37" s="541"/>
      <c r="Q37" s="541"/>
      <c r="R37" s="541"/>
      <c r="S37" s="541"/>
      <c r="T37" s="541"/>
      <c r="U37" s="541"/>
      <c r="V37" s="541"/>
      <c r="W37" s="541"/>
      <c r="X37" s="541"/>
      <c r="Y37" s="541"/>
      <c r="Z37" s="541"/>
      <c r="AA37" s="541"/>
      <c r="AB37" s="541"/>
      <c r="AC37" s="541"/>
      <c r="AD37" s="509">
        <f t="shared" si="4"/>
        <v>100</v>
      </c>
      <c r="AE37" s="540">
        <f t="shared" si="5"/>
        <v>15094.999999999998</v>
      </c>
      <c r="AF37" s="510" t="str">
        <f t="shared" ref="AF37:AF61" si="7">IF(AD37&lt;0,"buy","sell")</f>
        <v>sell</v>
      </c>
    </row>
    <row r="38" spans="1:32" s="382" customFormat="1" x14ac:dyDescent="0.25">
      <c r="A38" s="537" t="s">
        <v>303</v>
      </c>
      <c r="B38" s="533" t="s">
        <v>248</v>
      </c>
      <c r="C38" s="533" t="s">
        <v>314</v>
      </c>
      <c r="D38" s="534">
        <f>F132</f>
        <v>109.75</v>
      </c>
      <c r="E38" s="534"/>
      <c r="F38" s="541"/>
      <c r="G38" s="541"/>
      <c r="H38" s="541">
        <v>100</v>
      </c>
      <c r="I38" s="541"/>
      <c r="J38" s="541"/>
      <c r="K38" s="541"/>
      <c r="L38" s="541"/>
      <c r="M38" s="541"/>
      <c r="N38" s="541"/>
      <c r="O38" s="541"/>
      <c r="P38" s="541"/>
      <c r="Q38" s="541"/>
      <c r="R38" s="541"/>
      <c r="S38" s="541"/>
      <c r="T38" s="541"/>
      <c r="U38" s="541"/>
      <c r="V38" s="541"/>
      <c r="W38" s="541"/>
      <c r="X38" s="541"/>
      <c r="Y38" s="541"/>
      <c r="Z38" s="541"/>
      <c r="AA38" s="541"/>
      <c r="AB38" s="541"/>
      <c r="AC38" s="541"/>
      <c r="AD38" s="509">
        <f t="shared" si="4"/>
        <v>100</v>
      </c>
      <c r="AE38" s="540">
        <f t="shared" si="5"/>
        <v>10975</v>
      </c>
      <c r="AF38" s="510" t="str">
        <f t="shared" si="7"/>
        <v>sell</v>
      </c>
    </row>
    <row r="39" spans="1:32" s="382" customFormat="1" x14ac:dyDescent="0.25">
      <c r="A39" s="537" t="s">
        <v>303</v>
      </c>
      <c r="B39" s="533" t="s">
        <v>248</v>
      </c>
      <c r="C39" s="533" t="s">
        <v>314</v>
      </c>
      <c r="D39" s="534">
        <f t="shared" ref="D39:D59" si="8">F133</f>
        <v>94.75</v>
      </c>
      <c r="E39" s="534"/>
      <c r="F39" s="541"/>
      <c r="G39" s="544"/>
      <c r="H39" s="541"/>
      <c r="I39" s="541">
        <v>90</v>
      </c>
      <c r="J39" s="541"/>
      <c r="K39" s="541"/>
      <c r="L39" s="541"/>
      <c r="M39" s="541"/>
      <c r="N39" s="541"/>
      <c r="O39" s="541"/>
      <c r="P39" s="541"/>
      <c r="Q39" s="541"/>
      <c r="R39" s="541"/>
      <c r="S39" s="541"/>
      <c r="T39" s="541"/>
      <c r="U39" s="541"/>
      <c r="V39" s="541"/>
      <c r="W39" s="541"/>
      <c r="X39" s="541"/>
      <c r="Y39" s="541"/>
      <c r="Z39" s="541"/>
      <c r="AA39" s="541"/>
      <c r="AB39" s="541"/>
      <c r="AC39" s="541"/>
      <c r="AD39" s="509">
        <f t="shared" si="4"/>
        <v>90</v>
      </c>
      <c r="AE39" s="540">
        <f t="shared" si="5"/>
        <v>8527.5</v>
      </c>
      <c r="AF39" s="510" t="str">
        <f t="shared" si="7"/>
        <v>sell</v>
      </c>
    </row>
    <row r="40" spans="1:32" s="382" customFormat="1" x14ac:dyDescent="0.25">
      <c r="A40" s="537" t="s">
        <v>303</v>
      </c>
      <c r="B40" s="533" t="s">
        <v>248</v>
      </c>
      <c r="C40" s="533" t="s">
        <v>314</v>
      </c>
      <c r="D40" s="534">
        <f t="shared" si="8"/>
        <v>99.75</v>
      </c>
      <c r="E40" s="534"/>
      <c r="F40" s="541"/>
      <c r="G40" s="544"/>
      <c r="H40" s="541"/>
      <c r="I40" s="541"/>
      <c r="J40" s="541">
        <v>90</v>
      </c>
      <c r="K40" s="541"/>
      <c r="L40" s="541"/>
      <c r="M40" s="541"/>
      <c r="N40" s="541"/>
      <c r="O40" s="541"/>
      <c r="P40" s="541"/>
      <c r="Q40" s="541"/>
      <c r="R40" s="541"/>
      <c r="S40" s="541"/>
      <c r="T40" s="541"/>
      <c r="U40" s="541"/>
      <c r="V40" s="541"/>
      <c r="W40" s="541"/>
      <c r="X40" s="541"/>
      <c r="Y40" s="541"/>
      <c r="Z40" s="541"/>
      <c r="AA40" s="541"/>
      <c r="AB40" s="541"/>
      <c r="AC40" s="541"/>
      <c r="AD40" s="509">
        <f t="shared" si="4"/>
        <v>90</v>
      </c>
      <c r="AE40" s="540">
        <f t="shared" si="5"/>
        <v>8977.5</v>
      </c>
      <c r="AF40" s="510" t="str">
        <f t="shared" si="7"/>
        <v>sell</v>
      </c>
    </row>
    <row r="41" spans="1:32" s="382" customFormat="1" x14ac:dyDescent="0.25">
      <c r="A41" s="537" t="s">
        <v>303</v>
      </c>
      <c r="B41" s="533" t="s">
        <v>248</v>
      </c>
      <c r="C41" s="533" t="s">
        <v>314</v>
      </c>
      <c r="D41" s="534">
        <f t="shared" si="8"/>
        <v>149.76</v>
      </c>
      <c r="E41" s="534"/>
      <c r="F41" s="541"/>
      <c r="G41" s="544"/>
      <c r="H41" s="541"/>
      <c r="I41" s="541"/>
      <c r="J41" s="541"/>
      <c r="K41" s="541">
        <v>70</v>
      </c>
      <c r="L41" s="541"/>
      <c r="M41" s="541"/>
      <c r="N41" s="541"/>
      <c r="O41" s="541"/>
      <c r="P41" s="541"/>
      <c r="Q41" s="541"/>
      <c r="R41" s="541"/>
      <c r="S41" s="541"/>
      <c r="T41" s="541"/>
      <c r="U41" s="541"/>
      <c r="V41" s="541"/>
      <c r="W41" s="541"/>
      <c r="X41" s="541"/>
      <c r="Y41" s="541"/>
      <c r="Z41" s="541"/>
      <c r="AA41" s="541"/>
      <c r="AB41" s="541"/>
      <c r="AC41" s="541"/>
      <c r="AD41" s="509">
        <f t="shared" si="4"/>
        <v>70</v>
      </c>
      <c r="AE41" s="540">
        <f t="shared" si="5"/>
        <v>10483.199999999999</v>
      </c>
      <c r="AF41" s="510" t="str">
        <f t="shared" si="7"/>
        <v>sell</v>
      </c>
    </row>
    <row r="42" spans="1:32" s="382" customFormat="1" x14ac:dyDescent="0.25">
      <c r="A42" s="537" t="s">
        <v>303</v>
      </c>
      <c r="B42" s="533" t="s">
        <v>248</v>
      </c>
      <c r="C42" s="533" t="s">
        <v>314</v>
      </c>
      <c r="D42" s="534">
        <f t="shared" si="8"/>
        <v>179.75</v>
      </c>
      <c r="E42" s="534"/>
      <c r="F42" s="541"/>
      <c r="G42" s="544"/>
      <c r="H42" s="541"/>
      <c r="I42" s="541"/>
      <c r="J42" s="541"/>
      <c r="K42" s="541"/>
      <c r="L42" s="541">
        <v>30</v>
      </c>
      <c r="M42" s="541"/>
      <c r="N42" s="541"/>
      <c r="O42" s="541"/>
      <c r="P42" s="541"/>
      <c r="Q42" s="541"/>
      <c r="R42" s="541"/>
      <c r="S42" s="541"/>
      <c r="T42" s="541"/>
      <c r="U42" s="541"/>
      <c r="V42" s="541"/>
      <c r="W42" s="541"/>
      <c r="X42" s="541"/>
      <c r="Y42" s="541"/>
      <c r="Z42" s="541"/>
      <c r="AA42" s="541"/>
      <c r="AB42" s="541"/>
      <c r="AC42" s="541"/>
      <c r="AD42" s="509">
        <f t="shared" si="4"/>
        <v>30</v>
      </c>
      <c r="AE42" s="540">
        <f t="shared" si="5"/>
        <v>5392.5</v>
      </c>
      <c r="AF42" s="510" t="str">
        <f t="shared" si="7"/>
        <v>sell</v>
      </c>
    </row>
    <row r="43" spans="1:32" s="382" customFormat="1" x14ac:dyDescent="0.25">
      <c r="A43" s="537" t="s">
        <v>303</v>
      </c>
      <c r="B43" s="533" t="s">
        <v>248</v>
      </c>
      <c r="C43" s="533" t="s">
        <v>314</v>
      </c>
      <c r="D43" s="534">
        <f t="shared" si="8"/>
        <v>200.74</v>
      </c>
      <c r="E43" s="534"/>
      <c r="F43" s="541"/>
      <c r="G43" s="544"/>
      <c r="H43" s="541"/>
      <c r="I43" s="541"/>
      <c r="J43" s="541"/>
      <c r="K43" s="541"/>
      <c r="L43" s="541"/>
      <c r="M43" s="541">
        <v>0</v>
      </c>
      <c r="N43" s="541"/>
      <c r="O43" s="541"/>
      <c r="P43" s="541"/>
      <c r="Q43" s="541"/>
      <c r="R43" s="541"/>
      <c r="S43" s="541"/>
      <c r="T43" s="541"/>
      <c r="U43" s="541"/>
      <c r="V43" s="541"/>
      <c r="W43" s="541"/>
      <c r="X43" s="541"/>
      <c r="Y43" s="541"/>
      <c r="Z43" s="541"/>
      <c r="AA43" s="541"/>
      <c r="AB43" s="541"/>
      <c r="AC43" s="541"/>
      <c r="AD43" s="509">
        <f t="shared" si="4"/>
        <v>0</v>
      </c>
      <c r="AE43" s="540">
        <f t="shared" si="5"/>
        <v>0</v>
      </c>
      <c r="AF43" s="510" t="str">
        <f t="shared" si="7"/>
        <v>sell</v>
      </c>
    </row>
    <row r="44" spans="1:32" s="382" customFormat="1" x14ac:dyDescent="0.25">
      <c r="A44" s="537" t="s">
        <v>303</v>
      </c>
      <c r="B44" s="533" t="s">
        <v>248</v>
      </c>
      <c r="C44" s="533" t="s">
        <v>314</v>
      </c>
      <c r="D44" s="534">
        <f t="shared" si="8"/>
        <v>249.74</v>
      </c>
      <c r="E44" s="534"/>
      <c r="F44" s="541"/>
      <c r="G44" s="544"/>
      <c r="H44" s="541"/>
      <c r="I44" s="541"/>
      <c r="J44" s="541"/>
      <c r="K44" s="541"/>
      <c r="L44" s="541"/>
      <c r="M44" s="541"/>
      <c r="N44" s="541">
        <v>0</v>
      </c>
      <c r="O44" s="541"/>
      <c r="P44" s="541"/>
      <c r="Q44" s="541"/>
      <c r="R44" s="541"/>
      <c r="S44" s="541"/>
      <c r="T44" s="541"/>
      <c r="U44" s="541"/>
      <c r="V44" s="541"/>
      <c r="W44" s="541"/>
      <c r="X44" s="541"/>
      <c r="Y44" s="541"/>
      <c r="Z44" s="541"/>
      <c r="AA44" s="541"/>
      <c r="AB44" s="541"/>
      <c r="AC44" s="541"/>
      <c r="AD44" s="509">
        <f t="shared" si="4"/>
        <v>0</v>
      </c>
      <c r="AE44" s="540">
        <f t="shared" si="5"/>
        <v>0</v>
      </c>
      <c r="AF44" s="510" t="str">
        <f t="shared" si="7"/>
        <v>sell</v>
      </c>
    </row>
    <row r="45" spans="1:32" s="382" customFormat="1" x14ac:dyDescent="0.25">
      <c r="A45" s="537" t="s">
        <v>303</v>
      </c>
      <c r="B45" s="533" t="s">
        <v>248</v>
      </c>
      <c r="C45" s="533" t="s">
        <v>314</v>
      </c>
      <c r="D45" s="534">
        <f t="shared" si="8"/>
        <v>230.74</v>
      </c>
      <c r="E45" s="534"/>
      <c r="F45" s="541"/>
      <c r="G45" s="544"/>
      <c r="H45" s="541"/>
      <c r="I45" s="541"/>
      <c r="J45" s="541"/>
      <c r="K45" s="541"/>
      <c r="L45" s="541"/>
      <c r="M45" s="541"/>
      <c r="N45" s="541"/>
      <c r="O45" s="541">
        <v>0</v>
      </c>
      <c r="P45" s="541"/>
      <c r="Q45" s="541"/>
      <c r="R45" s="541"/>
      <c r="S45" s="541"/>
      <c r="T45" s="541"/>
      <c r="U45" s="541"/>
      <c r="V45" s="541"/>
      <c r="W45" s="541"/>
      <c r="X45" s="541"/>
      <c r="Y45" s="541"/>
      <c r="Z45" s="541"/>
      <c r="AA45" s="541"/>
      <c r="AB45" s="541"/>
      <c r="AC45" s="541"/>
      <c r="AD45" s="509">
        <f t="shared" si="4"/>
        <v>0</v>
      </c>
      <c r="AE45" s="540">
        <f t="shared" si="5"/>
        <v>0</v>
      </c>
      <c r="AF45" s="510" t="str">
        <f t="shared" si="7"/>
        <v>sell</v>
      </c>
    </row>
    <row r="46" spans="1:32" s="382" customFormat="1" x14ac:dyDescent="0.25">
      <c r="A46" s="537" t="s">
        <v>303</v>
      </c>
      <c r="B46" s="533" t="s">
        <v>248</v>
      </c>
      <c r="C46" s="533" t="s">
        <v>314</v>
      </c>
      <c r="D46" s="534">
        <f t="shared" si="8"/>
        <v>230.74</v>
      </c>
      <c r="E46" s="534"/>
      <c r="F46" s="541"/>
      <c r="G46" s="544"/>
      <c r="H46" s="541"/>
      <c r="I46" s="541"/>
      <c r="J46" s="541"/>
      <c r="K46" s="541"/>
      <c r="L46" s="541"/>
      <c r="M46" s="541"/>
      <c r="N46" s="541"/>
      <c r="O46" s="541"/>
      <c r="P46" s="541">
        <v>0</v>
      </c>
      <c r="Q46" s="541"/>
      <c r="R46" s="541"/>
      <c r="S46" s="541"/>
      <c r="T46" s="541"/>
      <c r="U46" s="541"/>
      <c r="V46" s="541"/>
      <c r="W46" s="541"/>
      <c r="X46" s="541"/>
      <c r="Y46" s="541"/>
      <c r="Z46" s="541"/>
      <c r="AA46" s="541"/>
      <c r="AB46" s="541"/>
      <c r="AC46" s="541"/>
      <c r="AD46" s="509">
        <f t="shared" si="4"/>
        <v>0</v>
      </c>
      <c r="AE46" s="540">
        <f t="shared" si="5"/>
        <v>0</v>
      </c>
      <c r="AF46" s="510" t="str">
        <f t="shared" si="7"/>
        <v>sell</v>
      </c>
    </row>
    <row r="47" spans="1:32" s="382" customFormat="1" x14ac:dyDescent="0.25">
      <c r="A47" s="537" t="s">
        <v>303</v>
      </c>
      <c r="B47" s="533" t="s">
        <v>248</v>
      </c>
      <c r="C47" s="533" t="s">
        <v>314</v>
      </c>
      <c r="D47" s="534">
        <f t="shared" si="8"/>
        <v>229.74</v>
      </c>
      <c r="E47" s="534"/>
      <c r="F47" s="541"/>
      <c r="G47" s="544"/>
      <c r="H47" s="541"/>
      <c r="I47" s="541"/>
      <c r="J47" s="541"/>
      <c r="K47" s="541"/>
      <c r="L47" s="541"/>
      <c r="M47" s="541"/>
      <c r="N47" s="541"/>
      <c r="O47" s="541"/>
      <c r="P47" s="541"/>
      <c r="Q47" s="541">
        <v>0</v>
      </c>
      <c r="R47" s="541"/>
      <c r="S47" s="541"/>
      <c r="T47" s="541"/>
      <c r="U47" s="541"/>
      <c r="V47" s="541"/>
      <c r="W47" s="541"/>
      <c r="X47" s="541"/>
      <c r="Y47" s="541"/>
      <c r="Z47" s="541"/>
      <c r="AA47" s="541"/>
      <c r="AB47" s="541"/>
      <c r="AC47" s="541"/>
      <c r="AD47" s="509">
        <f t="shared" si="4"/>
        <v>0</v>
      </c>
      <c r="AE47" s="540">
        <f t="shared" si="5"/>
        <v>0</v>
      </c>
      <c r="AF47" s="510" t="str">
        <f t="shared" si="7"/>
        <v>sell</v>
      </c>
    </row>
    <row r="48" spans="1:32" s="382" customFormat="1" x14ac:dyDescent="0.25">
      <c r="A48" s="537" t="s">
        <v>303</v>
      </c>
      <c r="B48" s="533" t="s">
        <v>248</v>
      </c>
      <c r="C48" s="533" t="s">
        <v>314</v>
      </c>
      <c r="D48" s="534">
        <f t="shared" si="8"/>
        <v>229.74</v>
      </c>
      <c r="E48" s="534"/>
      <c r="F48" s="541"/>
      <c r="G48" s="544"/>
      <c r="H48" s="541"/>
      <c r="I48" s="541"/>
      <c r="J48" s="541"/>
      <c r="K48" s="541"/>
      <c r="L48" s="541"/>
      <c r="M48" s="541"/>
      <c r="N48" s="541"/>
      <c r="O48" s="541"/>
      <c r="P48" s="541"/>
      <c r="Q48" s="541"/>
      <c r="R48" s="541">
        <v>0</v>
      </c>
      <c r="S48" s="541"/>
      <c r="T48" s="541"/>
      <c r="U48" s="541"/>
      <c r="V48" s="541"/>
      <c r="W48" s="541"/>
      <c r="X48" s="541"/>
      <c r="Y48" s="541"/>
      <c r="Z48" s="541"/>
      <c r="AA48" s="541"/>
      <c r="AB48" s="541"/>
      <c r="AC48" s="541"/>
      <c r="AD48" s="509">
        <f t="shared" si="4"/>
        <v>0</v>
      </c>
      <c r="AE48" s="540">
        <f t="shared" si="5"/>
        <v>0</v>
      </c>
      <c r="AF48" s="510" t="str">
        <f t="shared" si="7"/>
        <v>sell</v>
      </c>
    </row>
    <row r="49" spans="1:32" s="382" customFormat="1" x14ac:dyDescent="0.25">
      <c r="A49" s="537" t="s">
        <v>303</v>
      </c>
      <c r="B49" s="533" t="s">
        <v>248</v>
      </c>
      <c r="C49" s="533" t="s">
        <v>314</v>
      </c>
      <c r="D49" s="534">
        <f t="shared" si="8"/>
        <v>209.74</v>
      </c>
      <c r="E49" s="534"/>
      <c r="F49" s="541"/>
      <c r="G49" s="544"/>
      <c r="H49" s="541"/>
      <c r="I49" s="541"/>
      <c r="J49" s="541"/>
      <c r="K49" s="541"/>
      <c r="L49" s="541"/>
      <c r="M49" s="541"/>
      <c r="N49" s="541"/>
      <c r="O49" s="541"/>
      <c r="P49" s="541"/>
      <c r="Q49" s="541"/>
      <c r="R49" s="541"/>
      <c r="S49" s="541">
        <v>0</v>
      </c>
      <c r="T49" s="541"/>
      <c r="U49" s="541"/>
      <c r="V49" s="541"/>
      <c r="W49" s="541"/>
      <c r="X49" s="541"/>
      <c r="Y49" s="541"/>
      <c r="Z49" s="541"/>
      <c r="AA49" s="541"/>
      <c r="AB49" s="541"/>
      <c r="AC49" s="541"/>
      <c r="AD49" s="509">
        <f t="shared" si="4"/>
        <v>0</v>
      </c>
      <c r="AE49" s="540">
        <f t="shared" si="5"/>
        <v>0</v>
      </c>
      <c r="AF49" s="510" t="str">
        <f t="shared" si="7"/>
        <v>sell</v>
      </c>
    </row>
    <row r="50" spans="1:32" s="382" customFormat="1" x14ac:dyDescent="0.25">
      <c r="A50" s="537" t="s">
        <v>303</v>
      </c>
      <c r="B50" s="533" t="s">
        <v>248</v>
      </c>
      <c r="C50" s="533" t="s">
        <v>314</v>
      </c>
      <c r="D50" s="534">
        <f t="shared" si="8"/>
        <v>204.74</v>
      </c>
      <c r="E50" s="534"/>
      <c r="F50" s="541"/>
      <c r="G50" s="544"/>
      <c r="H50" s="541"/>
      <c r="I50" s="541"/>
      <c r="J50" s="541"/>
      <c r="K50" s="541"/>
      <c r="L50" s="541"/>
      <c r="M50" s="541"/>
      <c r="N50" s="541"/>
      <c r="O50" s="541"/>
      <c r="P50" s="541"/>
      <c r="Q50" s="541"/>
      <c r="R50" s="541"/>
      <c r="S50" s="541"/>
      <c r="T50" s="541">
        <v>0</v>
      </c>
      <c r="U50" s="541"/>
      <c r="V50" s="541"/>
      <c r="W50" s="541"/>
      <c r="X50" s="541"/>
      <c r="Y50" s="541"/>
      <c r="Z50" s="541"/>
      <c r="AA50" s="541"/>
      <c r="AB50" s="541"/>
      <c r="AC50" s="541"/>
      <c r="AD50" s="509">
        <f t="shared" si="4"/>
        <v>0</v>
      </c>
      <c r="AE50" s="540">
        <f t="shared" si="5"/>
        <v>0</v>
      </c>
      <c r="AF50" s="510" t="str">
        <f t="shared" si="7"/>
        <v>sell</v>
      </c>
    </row>
    <row r="51" spans="1:32" s="382" customFormat="1" x14ac:dyDescent="0.25">
      <c r="A51" s="537" t="s">
        <v>303</v>
      </c>
      <c r="B51" s="533" t="s">
        <v>248</v>
      </c>
      <c r="C51" s="533" t="s">
        <v>314</v>
      </c>
      <c r="D51" s="534">
        <f t="shared" si="8"/>
        <v>194.65</v>
      </c>
      <c r="E51" s="534"/>
      <c r="F51" s="541"/>
      <c r="G51" s="544"/>
      <c r="H51" s="541"/>
      <c r="I51" s="541"/>
      <c r="J51" s="541"/>
      <c r="K51" s="541"/>
      <c r="L51" s="541"/>
      <c r="M51" s="541"/>
      <c r="N51" s="541"/>
      <c r="O51" s="541"/>
      <c r="P51" s="541"/>
      <c r="Q51" s="541"/>
      <c r="R51" s="541"/>
      <c r="S51" s="541"/>
      <c r="T51" s="541"/>
      <c r="U51" s="541">
        <v>0</v>
      </c>
      <c r="V51" s="541"/>
      <c r="W51" s="541"/>
      <c r="X51" s="541"/>
      <c r="Y51" s="541"/>
      <c r="Z51" s="541"/>
      <c r="AA51" s="541"/>
      <c r="AB51" s="541"/>
      <c r="AC51" s="541"/>
      <c r="AD51" s="509">
        <f t="shared" si="4"/>
        <v>0</v>
      </c>
      <c r="AE51" s="540">
        <f t="shared" si="5"/>
        <v>0</v>
      </c>
      <c r="AF51" s="510" t="str">
        <f t="shared" si="7"/>
        <v>sell</v>
      </c>
    </row>
    <row r="52" spans="1:32" s="382" customFormat="1" x14ac:dyDescent="0.25">
      <c r="A52" s="537" t="s">
        <v>303</v>
      </c>
      <c r="B52" s="533" t="s">
        <v>248</v>
      </c>
      <c r="C52" s="533" t="s">
        <v>314</v>
      </c>
      <c r="D52" s="534">
        <f t="shared" si="8"/>
        <v>174.75</v>
      </c>
      <c r="E52" s="534"/>
      <c r="F52" s="541"/>
      <c r="G52" s="544"/>
      <c r="H52" s="541"/>
      <c r="I52" s="541"/>
      <c r="J52" s="541"/>
      <c r="K52" s="541"/>
      <c r="L52" s="541"/>
      <c r="M52" s="541"/>
      <c r="N52" s="541"/>
      <c r="O52" s="541"/>
      <c r="P52" s="541"/>
      <c r="Q52" s="541"/>
      <c r="R52" s="541"/>
      <c r="S52" s="541"/>
      <c r="T52" s="541"/>
      <c r="U52" s="541"/>
      <c r="V52" s="541">
        <v>0</v>
      </c>
      <c r="W52" s="541"/>
      <c r="X52" s="541"/>
      <c r="Y52" s="541"/>
      <c r="Z52" s="541"/>
      <c r="AA52" s="541"/>
      <c r="AB52" s="541"/>
      <c r="AC52" s="541"/>
      <c r="AD52" s="509">
        <f t="shared" si="4"/>
        <v>0</v>
      </c>
      <c r="AE52" s="540">
        <f t="shared" si="5"/>
        <v>0</v>
      </c>
      <c r="AF52" s="510" t="str">
        <f t="shared" si="7"/>
        <v>sell</v>
      </c>
    </row>
    <row r="53" spans="1:32" s="382" customFormat="1" x14ac:dyDescent="0.25">
      <c r="A53" s="537" t="s">
        <v>303</v>
      </c>
      <c r="B53" s="533" t="s">
        <v>248</v>
      </c>
      <c r="C53" s="533" t="s">
        <v>314</v>
      </c>
      <c r="D53" s="534">
        <f t="shared" si="8"/>
        <v>224.65</v>
      </c>
      <c r="E53" s="534"/>
      <c r="F53" s="541"/>
      <c r="G53" s="544"/>
      <c r="H53" s="541"/>
      <c r="I53" s="541"/>
      <c r="J53" s="541"/>
      <c r="K53" s="541"/>
      <c r="L53" s="541"/>
      <c r="M53" s="541"/>
      <c r="N53" s="541"/>
      <c r="O53" s="541"/>
      <c r="P53" s="541"/>
      <c r="Q53" s="541"/>
      <c r="R53" s="541"/>
      <c r="S53" s="541"/>
      <c r="T53" s="541"/>
      <c r="U53" s="541"/>
      <c r="V53" s="541"/>
      <c r="W53" s="541">
        <v>0</v>
      </c>
      <c r="X53" s="541"/>
      <c r="Y53" s="541"/>
      <c r="Z53" s="541"/>
      <c r="AA53" s="541"/>
      <c r="AB53" s="541"/>
      <c r="AC53" s="541"/>
      <c r="AD53" s="509">
        <f t="shared" si="4"/>
        <v>0</v>
      </c>
      <c r="AE53" s="540">
        <f t="shared" si="5"/>
        <v>0</v>
      </c>
      <c r="AF53" s="510" t="str">
        <f t="shared" si="7"/>
        <v>sell</v>
      </c>
    </row>
    <row r="54" spans="1:32" s="382" customFormat="1" x14ac:dyDescent="0.25">
      <c r="A54" s="537" t="s">
        <v>303</v>
      </c>
      <c r="B54" s="533" t="s">
        <v>248</v>
      </c>
      <c r="C54" s="533" t="s">
        <v>314</v>
      </c>
      <c r="D54" s="534">
        <f t="shared" si="8"/>
        <v>249.74299999999999</v>
      </c>
      <c r="E54" s="534"/>
      <c r="F54" s="541"/>
      <c r="G54" s="544"/>
      <c r="H54" s="541"/>
      <c r="I54" s="541"/>
      <c r="J54" s="541"/>
      <c r="K54" s="541"/>
      <c r="L54" s="541"/>
      <c r="M54" s="541"/>
      <c r="N54" s="541"/>
      <c r="O54" s="541"/>
      <c r="P54" s="541"/>
      <c r="Q54" s="541"/>
      <c r="R54" s="541"/>
      <c r="S54" s="541"/>
      <c r="T54" s="541"/>
      <c r="U54" s="541"/>
      <c r="V54" s="541"/>
      <c r="W54" s="541"/>
      <c r="X54" s="541">
        <v>0</v>
      </c>
      <c r="Y54" s="541"/>
      <c r="Z54" s="541"/>
      <c r="AA54" s="541"/>
      <c r="AB54" s="541"/>
      <c r="AC54" s="541"/>
      <c r="AD54" s="509">
        <f t="shared" si="4"/>
        <v>0</v>
      </c>
      <c r="AE54" s="540">
        <f t="shared" si="5"/>
        <v>0</v>
      </c>
      <c r="AF54" s="510" t="str">
        <f t="shared" si="7"/>
        <v>sell</v>
      </c>
    </row>
    <row r="55" spans="1:32" s="382" customFormat="1" x14ac:dyDescent="0.25">
      <c r="A55" s="537" t="s">
        <v>303</v>
      </c>
      <c r="B55" s="533" t="s">
        <v>248</v>
      </c>
      <c r="C55" s="533" t="s">
        <v>314</v>
      </c>
      <c r="D55" s="534">
        <f t="shared" si="8"/>
        <v>249.74</v>
      </c>
      <c r="E55" s="534"/>
      <c r="F55" s="541"/>
      <c r="G55" s="544"/>
      <c r="H55" s="541"/>
      <c r="I55" s="541"/>
      <c r="J55" s="541"/>
      <c r="K55" s="541"/>
      <c r="L55" s="541"/>
      <c r="M55" s="541"/>
      <c r="N55" s="541"/>
      <c r="O55" s="541"/>
      <c r="P55" s="541"/>
      <c r="Q55" s="541"/>
      <c r="R55" s="541"/>
      <c r="S55" s="541"/>
      <c r="T55" s="541"/>
      <c r="U55" s="541"/>
      <c r="V55" s="541"/>
      <c r="W55" s="541"/>
      <c r="X55" s="541"/>
      <c r="Y55" s="541">
        <v>0</v>
      </c>
      <c r="Z55" s="541"/>
      <c r="AA55" s="541"/>
      <c r="AB55" s="541"/>
      <c r="AC55" s="541"/>
      <c r="AD55" s="509">
        <f t="shared" si="4"/>
        <v>0</v>
      </c>
      <c r="AE55" s="540">
        <f t="shared" si="5"/>
        <v>0</v>
      </c>
      <c r="AF55" s="510" t="str">
        <f t="shared" si="7"/>
        <v>sell</v>
      </c>
    </row>
    <row r="56" spans="1:32" s="382" customFormat="1" x14ac:dyDescent="0.25">
      <c r="A56" s="537" t="s">
        <v>303</v>
      </c>
      <c r="B56" s="533" t="s">
        <v>248</v>
      </c>
      <c r="C56" s="521" t="s">
        <v>314</v>
      </c>
      <c r="D56" s="534">
        <f t="shared" si="8"/>
        <v>249.74</v>
      </c>
      <c r="E56" s="534"/>
      <c r="F56" s="541"/>
      <c r="G56" s="544"/>
      <c r="H56" s="541"/>
      <c r="I56" s="541"/>
      <c r="J56" s="541"/>
      <c r="K56" s="541"/>
      <c r="L56" s="541"/>
      <c r="M56" s="541"/>
      <c r="N56" s="541"/>
      <c r="O56" s="541"/>
      <c r="P56" s="541"/>
      <c r="Q56" s="541"/>
      <c r="R56" s="541"/>
      <c r="S56" s="541"/>
      <c r="T56" s="541"/>
      <c r="U56" s="541"/>
      <c r="V56" s="541"/>
      <c r="W56" s="541"/>
      <c r="X56" s="541"/>
      <c r="Y56" s="541"/>
      <c r="Z56" s="541">
        <v>0</v>
      </c>
      <c r="AA56" s="541"/>
      <c r="AB56" s="541"/>
      <c r="AC56" s="541"/>
      <c r="AD56" s="509">
        <f t="shared" si="4"/>
        <v>0</v>
      </c>
      <c r="AE56" s="540">
        <f t="shared" si="5"/>
        <v>0</v>
      </c>
      <c r="AF56" s="510" t="str">
        <f t="shared" si="7"/>
        <v>sell</v>
      </c>
    </row>
    <row r="57" spans="1:32" s="382" customFormat="1" x14ac:dyDescent="0.25">
      <c r="A57" s="537" t="s">
        <v>303</v>
      </c>
      <c r="B57" s="533" t="s">
        <v>248</v>
      </c>
      <c r="C57" s="533" t="s">
        <v>314</v>
      </c>
      <c r="D57" s="534">
        <f t="shared" si="8"/>
        <v>249.74</v>
      </c>
      <c r="E57" s="534"/>
      <c r="F57" s="541"/>
      <c r="G57" s="544"/>
      <c r="H57" s="541"/>
      <c r="I57" s="541"/>
      <c r="J57" s="541"/>
      <c r="K57" s="541"/>
      <c r="L57" s="541"/>
      <c r="M57" s="541"/>
      <c r="N57" s="541"/>
      <c r="O57" s="541"/>
      <c r="P57" s="541"/>
      <c r="Q57" s="541"/>
      <c r="R57" s="541"/>
      <c r="S57" s="541"/>
      <c r="T57" s="541"/>
      <c r="U57" s="541"/>
      <c r="V57" s="541"/>
      <c r="W57" s="541"/>
      <c r="X57" s="541"/>
      <c r="Y57" s="541"/>
      <c r="Z57" s="541"/>
      <c r="AA57" s="541">
        <v>0</v>
      </c>
      <c r="AB57" s="541"/>
      <c r="AC57" s="541"/>
      <c r="AD57" s="509">
        <f t="shared" si="4"/>
        <v>0</v>
      </c>
      <c r="AE57" s="540">
        <f t="shared" si="5"/>
        <v>0</v>
      </c>
      <c r="AF57" s="510" t="str">
        <f t="shared" si="7"/>
        <v>sell</v>
      </c>
    </row>
    <row r="58" spans="1:32" s="382" customFormat="1" x14ac:dyDescent="0.25">
      <c r="A58" s="537" t="s">
        <v>303</v>
      </c>
      <c r="B58" s="533" t="s">
        <v>248</v>
      </c>
      <c r="C58" s="533" t="s">
        <v>314</v>
      </c>
      <c r="D58" s="534">
        <f t="shared" si="8"/>
        <v>199.75</v>
      </c>
      <c r="E58" s="534"/>
      <c r="F58" s="541"/>
      <c r="G58" s="544"/>
      <c r="H58" s="541"/>
      <c r="I58" s="541"/>
      <c r="J58" s="541"/>
      <c r="K58" s="541"/>
      <c r="L58" s="541"/>
      <c r="M58" s="541"/>
      <c r="N58" s="541"/>
      <c r="O58" s="541"/>
      <c r="P58" s="541"/>
      <c r="Q58" s="541"/>
      <c r="R58" s="541"/>
      <c r="S58" s="541"/>
      <c r="T58" s="541"/>
      <c r="U58" s="541"/>
      <c r="V58" s="541"/>
      <c r="W58" s="541"/>
      <c r="X58" s="541"/>
      <c r="Y58" s="541"/>
      <c r="Z58" s="541"/>
      <c r="AA58" s="541"/>
      <c r="AB58" s="541">
        <v>40</v>
      </c>
      <c r="AC58" s="541"/>
      <c r="AD58" s="509">
        <f t="shared" si="4"/>
        <v>40</v>
      </c>
      <c r="AE58" s="540">
        <f t="shared" si="5"/>
        <v>7990</v>
      </c>
      <c r="AF58" s="510" t="str">
        <f t="shared" si="7"/>
        <v>sell</v>
      </c>
    </row>
    <row r="59" spans="1:32" s="382" customFormat="1" x14ac:dyDescent="0.25">
      <c r="A59" s="537" t="s">
        <v>303</v>
      </c>
      <c r="B59" s="533" t="s">
        <v>248</v>
      </c>
      <c r="C59" s="533" t="s">
        <v>314</v>
      </c>
      <c r="D59" s="534">
        <f t="shared" si="8"/>
        <v>179.74</v>
      </c>
      <c r="E59" s="534"/>
      <c r="F59" s="541"/>
      <c r="G59" s="544"/>
      <c r="H59" s="541"/>
      <c r="I59" s="541"/>
      <c r="J59" s="541"/>
      <c r="K59" s="541"/>
      <c r="L59" s="541"/>
      <c r="M59" s="541"/>
      <c r="N59" s="541"/>
      <c r="O59" s="541"/>
      <c r="P59" s="541"/>
      <c r="Q59" s="541"/>
      <c r="R59" s="541"/>
      <c r="S59" s="541"/>
      <c r="T59" s="541"/>
      <c r="U59" s="541"/>
      <c r="V59" s="541"/>
      <c r="W59" s="541"/>
      <c r="X59" s="541"/>
      <c r="Y59" s="541"/>
      <c r="Z59" s="541"/>
      <c r="AA59" s="541"/>
      <c r="AB59" s="541"/>
      <c r="AC59" s="541">
        <v>80</v>
      </c>
      <c r="AD59" s="509">
        <f t="shared" si="4"/>
        <v>80</v>
      </c>
      <c r="AE59" s="540">
        <f t="shared" si="5"/>
        <v>14379.2</v>
      </c>
      <c r="AF59" s="510" t="str">
        <f t="shared" si="7"/>
        <v>sell</v>
      </c>
    </row>
    <row r="60" spans="1:32" s="382" customFormat="1" x14ac:dyDescent="0.25">
      <c r="A60" s="537"/>
      <c r="B60" s="533"/>
      <c r="C60" s="533"/>
      <c r="D60" s="534"/>
      <c r="E60" s="534"/>
      <c r="F60" s="541"/>
      <c r="G60" s="544"/>
      <c r="H60" s="541"/>
      <c r="I60" s="541"/>
      <c r="J60" s="541"/>
      <c r="K60" s="541"/>
      <c r="L60" s="541"/>
      <c r="M60" s="541"/>
      <c r="N60" s="541"/>
      <c r="O60" s="541"/>
      <c r="P60" s="541"/>
      <c r="Q60" s="541"/>
      <c r="R60" s="541"/>
      <c r="S60" s="541"/>
      <c r="T60" s="541"/>
      <c r="U60" s="541"/>
      <c r="V60" s="541"/>
      <c r="W60" s="541"/>
      <c r="X60" s="541"/>
      <c r="Y60" s="541"/>
      <c r="Z60" s="541"/>
      <c r="AA60" s="541"/>
      <c r="AB60" s="541"/>
      <c r="AC60" s="541"/>
      <c r="AD60" s="509">
        <f t="shared" si="4"/>
        <v>0</v>
      </c>
      <c r="AE60" s="540">
        <f t="shared" si="5"/>
        <v>0</v>
      </c>
      <c r="AF60" s="510" t="str">
        <f t="shared" si="7"/>
        <v>sell</v>
      </c>
    </row>
    <row r="61" spans="1:32" s="382" customFormat="1" x14ac:dyDescent="0.25">
      <c r="A61" s="537" t="s">
        <v>396</v>
      </c>
      <c r="B61" s="521" t="s">
        <v>248</v>
      </c>
      <c r="C61" s="521" t="s">
        <v>159</v>
      </c>
      <c r="D61" s="703">
        <v>20</v>
      </c>
      <c r="E61" s="642"/>
      <c r="F61" s="541">
        <v>25</v>
      </c>
      <c r="G61" s="541">
        <v>25</v>
      </c>
      <c r="H61" s="541">
        <v>25</v>
      </c>
      <c r="I61" s="541">
        <v>25</v>
      </c>
      <c r="J61" s="541">
        <v>25</v>
      </c>
      <c r="K61" s="541">
        <v>25</v>
      </c>
      <c r="L61" s="541">
        <v>25</v>
      </c>
      <c r="M61" s="541"/>
      <c r="N61" s="541"/>
      <c r="O61" s="541"/>
      <c r="P61" s="541"/>
      <c r="Q61" s="541"/>
      <c r="R61" s="541"/>
      <c r="S61" s="541"/>
      <c r="T61" s="541"/>
      <c r="U61" s="541"/>
      <c r="V61" s="541"/>
      <c r="W61" s="541"/>
      <c r="X61" s="541"/>
      <c r="Y61" s="541"/>
      <c r="Z61" s="541"/>
      <c r="AA61" s="541"/>
      <c r="AB61" s="541"/>
      <c r="AC61" s="541">
        <v>25</v>
      </c>
      <c r="AD61" s="509">
        <f t="shared" si="4"/>
        <v>200</v>
      </c>
      <c r="AE61" s="540">
        <f t="shared" si="5"/>
        <v>4000</v>
      </c>
      <c r="AF61" s="510" t="str">
        <f t="shared" si="7"/>
        <v>sell</v>
      </c>
    </row>
    <row r="62" spans="1:32" s="382" customFormat="1" x14ac:dyDescent="0.25">
      <c r="A62" s="537" t="s">
        <v>412</v>
      </c>
      <c r="B62" s="521" t="s">
        <v>248</v>
      </c>
      <c r="C62" s="521" t="s">
        <v>159</v>
      </c>
      <c r="D62" s="703">
        <v>20</v>
      </c>
      <c r="E62" s="642"/>
      <c r="F62" s="541">
        <v>25</v>
      </c>
      <c r="G62" s="541">
        <v>25</v>
      </c>
      <c r="H62" s="541">
        <v>25</v>
      </c>
      <c r="I62" s="541">
        <v>25</v>
      </c>
      <c r="J62" s="541">
        <v>25</v>
      </c>
      <c r="K62" s="541">
        <v>25</v>
      </c>
      <c r="L62" s="541">
        <v>25</v>
      </c>
      <c r="M62" s="541"/>
      <c r="N62" s="541"/>
      <c r="O62" s="541"/>
      <c r="P62" s="541"/>
      <c r="Q62" s="541"/>
      <c r="R62" s="541"/>
      <c r="S62" s="541"/>
      <c r="T62" s="541"/>
      <c r="U62" s="541"/>
      <c r="V62" s="541"/>
      <c r="W62" s="541"/>
      <c r="X62" s="541"/>
      <c r="Y62" s="541"/>
      <c r="Z62" s="541"/>
      <c r="AA62" s="541"/>
      <c r="AB62" s="541"/>
      <c r="AC62" s="541">
        <v>25</v>
      </c>
      <c r="AD62" s="509">
        <f t="shared" si="4"/>
        <v>200</v>
      </c>
      <c r="AE62" s="540">
        <f t="shared" si="5"/>
        <v>4000</v>
      </c>
      <c r="AF62" s="716" t="str">
        <f t="shared" ref="AF62:AF85" si="9">IF(AD62&lt;0,"buy","sell")</f>
        <v>sell</v>
      </c>
    </row>
    <row r="63" spans="1:32" s="382" customFormat="1" x14ac:dyDescent="0.25">
      <c r="A63" s="537" t="s">
        <v>422</v>
      </c>
      <c r="B63" s="521" t="s">
        <v>258</v>
      </c>
      <c r="C63" s="521" t="s">
        <v>159</v>
      </c>
      <c r="D63" s="703">
        <v>108</v>
      </c>
      <c r="E63" s="642"/>
      <c r="F63" s="541">
        <v>50</v>
      </c>
      <c r="G63" s="541"/>
      <c r="H63" s="541"/>
      <c r="I63" s="541"/>
      <c r="J63" s="541"/>
      <c r="K63" s="541"/>
      <c r="L63" s="541"/>
      <c r="M63" s="541"/>
      <c r="N63" s="541"/>
      <c r="O63" s="541"/>
      <c r="P63" s="541"/>
      <c r="Q63" s="541"/>
      <c r="R63" s="541"/>
      <c r="S63" s="541"/>
      <c r="T63" s="541"/>
      <c r="U63" s="541"/>
      <c r="V63" s="541"/>
      <c r="W63" s="541"/>
      <c r="X63" s="541"/>
      <c r="Y63" s="541"/>
      <c r="Z63" s="541"/>
      <c r="AA63" s="541"/>
      <c r="AB63" s="541"/>
      <c r="AC63" s="541"/>
      <c r="AD63" s="509">
        <f>SUM(E63:AC63)</f>
        <v>50</v>
      </c>
      <c r="AE63" s="540">
        <f>AD63*D63</f>
        <v>5400</v>
      </c>
      <c r="AF63" s="716" t="str">
        <f t="shared" si="9"/>
        <v>sell</v>
      </c>
    </row>
    <row r="64" spans="1:32" s="382" customFormat="1" x14ac:dyDescent="0.25">
      <c r="A64" s="537" t="s">
        <v>303</v>
      </c>
      <c r="B64" s="521" t="s">
        <v>258</v>
      </c>
      <c r="C64" s="521" t="s">
        <v>159</v>
      </c>
      <c r="D64" s="703">
        <v>185</v>
      </c>
      <c r="E64" s="642"/>
      <c r="F64" s="541"/>
      <c r="G64" s="544"/>
      <c r="H64" s="541"/>
      <c r="I64" s="541"/>
      <c r="J64" s="541"/>
      <c r="K64" s="541"/>
      <c r="L64" s="541"/>
      <c r="M64" s="541">
        <v>25</v>
      </c>
      <c r="N64" s="541">
        <v>25</v>
      </c>
      <c r="O64" s="541">
        <v>25</v>
      </c>
      <c r="P64" s="541">
        <v>25</v>
      </c>
      <c r="Q64" s="541">
        <v>25</v>
      </c>
      <c r="R64" s="541">
        <v>25</v>
      </c>
      <c r="S64" s="541">
        <v>25</v>
      </c>
      <c r="T64" s="541">
        <v>25</v>
      </c>
      <c r="U64" s="541">
        <v>25</v>
      </c>
      <c r="V64" s="541">
        <v>20</v>
      </c>
      <c r="W64" s="541">
        <v>10</v>
      </c>
      <c r="X64" s="541">
        <v>20</v>
      </c>
      <c r="Y64" s="541">
        <v>25</v>
      </c>
      <c r="Z64" s="541">
        <v>25</v>
      </c>
      <c r="AA64" s="541">
        <v>25</v>
      </c>
      <c r="AB64" s="541">
        <v>25</v>
      </c>
      <c r="AC64" s="541"/>
      <c r="AD64" s="509">
        <f>SUM(E64:AC64)</f>
        <v>375</v>
      </c>
      <c r="AE64" s="540">
        <f>AD64*D64</f>
        <v>69375</v>
      </c>
      <c r="AF64" s="716" t="str">
        <f t="shared" si="9"/>
        <v>sell</v>
      </c>
    </row>
    <row r="65" spans="1:32" s="382" customFormat="1" x14ac:dyDescent="0.25">
      <c r="A65" s="537" t="s">
        <v>236</v>
      </c>
      <c r="B65" s="521" t="s">
        <v>258</v>
      </c>
      <c r="C65" s="521" t="s">
        <v>159</v>
      </c>
      <c r="D65" s="703">
        <v>185</v>
      </c>
      <c r="E65" s="642"/>
      <c r="F65" s="541"/>
      <c r="G65" s="544"/>
      <c r="H65" s="541"/>
      <c r="I65" s="541"/>
      <c r="J65" s="541"/>
      <c r="K65" s="541"/>
      <c r="L65" s="541"/>
      <c r="M65" s="541"/>
      <c r="N65" s="541"/>
      <c r="O65" s="541"/>
      <c r="P65" s="541"/>
      <c r="Q65" s="541"/>
      <c r="R65" s="541"/>
      <c r="S65" s="541"/>
      <c r="T65" s="541"/>
      <c r="U65" s="541"/>
      <c r="V65" s="541">
        <v>5</v>
      </c>
      <c r="W65" s="541">
        <v>15</v>
      </c>
      <c r="X65" s="541">
        <v>5</v>
      </c>
      <c r="Y65" s="541"/>
      <c r="Z65" s="541"/>
      <c r="AA65" s="541"/>
      <c r="AB65" s="541"/>
      <c r="AC65" s="541"/>
      <c r="AD65" s="509">
        <f>SUM(E65:AC65)</f>
        <v>25</v>
      </c>
      <c r="AE65" s="540">
        <f>AD65*D65</f>
        <v>4625</v>
      </c>
      <c r="AF65" s="716" t="str">
        <f t="shared" si="9"/>
        <v>sell</v>
      </c>
    </row>
    <row r="66" spans="1:32" s="382" customFormat="1" x14ac:dyDescent="0.25">
      <c r="A66" s="537" t="s">
        <v>303</v>
      </c>
      <c r="B66" s="521" t="s">
        <v>258</v>
      </c>
      <c r="C66" s="521" t="s">
        <v>159</v>
      </c>
      <c r="D66" s="703">
        <v>32</v>
      </c>
      <c r="E66" s="642"/>
      <c r="F66" s="541"/>
      <c r="G66" s="544"/>
      <c r="H66" s="541"/>
      <c r="I66" s="541"/>
      <c r="J66" s="541"/>
      <c r="K66" s="541"/>
      <c r="L66" s="541"/>
      <c r="M66" s="541">
        <v>25</v>
      </c>
      <c r="N66" s="541">
        <v>25</v>
      </c>
      <c r="O66" s="541">
        <v>25</v>
      </c>
      <c r="P66" s="541">
        <v>25</v>
      </c>
      <c r="Q66" s="541">
        <v>25</v>
      </c>
      <c r="R66" s="541">
        <v>25</v>
      </c>
      <c r="S66" s="541">
        <v>25</v>
      </c>
      <c r="T66" s="541">
        <v>25</v>
      </c>
      <c r="U66" s="541">
        <v>25</v>
      </c>
      <c r="V66" s="541">
        <v>25</v>
      </c>
      <c r="W66" s="541">
        <v>25</v>
      </c>
      <c r="X66" s="541">
        <v>25</v>
      </c>
      <c r="Y66" s="541">
        <v>25</v>
      </c>
      <c r="Z66" s="541">
        <v>25</v>
      </c>
      <c r="AA66" s="541">
        <v>25</v>
      </c>
      <c r="AB66" s="541">
        <v>25</v>
      </c>
      <c r="AC66" s="541"/>
      <c r="AD66" s="509">
        <f>SUM(E66:AC66)</f>
        <v>400</v>
      </c>
      <c r="AE66" s="540">
        <f>AD66*D66</f>
        <v>12800</v>
      </c>
      <c r="AF66" s="716" t="str">
        <f t="shared" si="9"/>
        <v>sell</v>
      </c>
    </row>
    <row r="67" spans="1:32" s="382" customFormat="1" ht="12.75" customHeight="1" x14ac:dyDescent="0.25">
      <c r="A67" s="680"/>
      <c r="B67" s="706"/>
      <c r="C67" s="706"/>
      <c r="D67" s="675"/>
      <c r="E67" s="564" t="s">
        <v>15</v>
      </c>
      <c r="F67" s="676"/>
      <c r="G67" s="564"/>
      <c r="H67" s="676"/>
      <c r="I67" s="676"/>
      <c r="J67" s="676"/>
      <c r="K67" s="676"/>
      <c r="L67" s="676"/>
      <c r="M67" s="676"/>
      <c r="N67" s="676"/>
      <c r="O67" s="676"/>
      <c r="P67" s="676"/>
      <c r="Q67" s="676"/>
      <c r="R67" s="676"/>
      <c r="S67" s="676"/>
      <c r="T67" s="676"/>
      <c r="U67" s="676"/>
      <c r="V67" s="676"/>
      <c r="W67" s="676"/>
      <c r="X67" s="676"/>
      <c r="Y67" s="676"/>
      <c r="Z67" s="676"/>
      <c r="AA67" s="676"/>
      <c r="AB67" s="676"/>
      <c r="AC67" s="677"/>
      <c r="AD67" s="509">
        <f t="shared" si="4"/>
        <v>0</v>
      </c>
      <c r="AE67" s="540">
        <f t="shared" si="5"/>
        <v>0</v>
      </c>
      <c r="AF67" s="621" t="str">
        <f t="shared" si="9"/>
        <v>sell</v>
      </c>
    </row>
    <row r="68" spans="1:32" s="382" customFormat="1" x14ac:dyDescent="0.25">
      <c r="A68" s="700"/>
      <c r="B68" s="701"/>
      <c r="C68" s="701"/>
      <c r="D68" s="702"/>
      <c r="E68" s="702"/>
      <c r="F68" s="704"/>
      <c r="G68" s="705"/>
      <c r="H68" s="705"/>
      <c r="I68" s="705"/>
      <c r="J68" s="705"/>
      <c r="K68" s="705"/>
      <c r="L68" s="705"/>
      <c r="M68" s="705"/>
      <c r="N68" s="648"/>
      <c r="O68" s="648"/>
      <c r="P68" s="648"/>
      <c r="Q68" s="648"/>
      <c r="R68" s="648"/>
      <c r="S68" s="648"/>
      <c r="T68" s="648"/>
      <c r="U68" s="648"/>
      <c r="V68" s="648"/>
      <c r="W68" s="648"/>
      <c r="X68" s="648"/>
      <c r="Y68" s="648"/>
      <c r="Z68" s="648"/>
      <c r="AA68" s="648"/>
      <c r="AB68" s="648"/>
      <c r="AC68" s="648"/>
      <c r="AD68" s="509">
        <f>SUM(E68:AC68)</f>
        <v>0</v>
      </c>
      <c r="AE68" s="540">
        <f>AD68*D68</f>
        <v>0</v>
      </c>
      <c r="AF68" s="621" t="str">
        <f t="shared" si="9"/>
        <v>sell</v>
      </c>
    </row>
    <row r="69" spans="1:32" s="382" customFormat="1" x14ac:dyDescent="0.25">
      <c r="A69" s="700" t="s">
        <v>423</v>
      </c>
      <c r="B69" s="701" t="s">
        <v>424</v>
      </c>
      <c r="C69" s="701" t="s">
        <v>314</v>
      </c>
      <c r="D69" s="702">
        <v>45</v>
      </c>
      <c r="E69" s="718"/>
      <c r="F69" s="704"/>
      <c r="G69" s="705"/>
      <c r="H69" s="705">
        <v>33</v>
      </c>
      <c r="I69" s="705">
        <v>30</v>
      </c>
      <c r="J69" s="705">
        <v>30</v>
      </c>
      <c r="K69" s="705"/>
      <c r="L69" s="705"/>
      <c r="M69" s="705"/>
      <c r="N69" s="648"/>
      <c r="O69" s="648"/>
      <c r="P69" s="648"/>
      <c r="Q69" s="648"/>
      <c r="R69" s="648"/>
      <c r="S69" s="648"/>
      <c r="T69" s="648"/>
      <c r="U69" s="648"/>
      <c r="V69" s="648"/>
      <c r="W69" s="648"/>
      <c r="X69" s="648"/>
      <c r="Y69" s="648"/>
      <c r="Z69" s="648"/>
      <c r="AA69" s="648"/>
      <c r="AB69" s="648"/>
      <c r="AC69" s="648"/>
      <c r="AD69" s="509">
        <f t="shared" si="4"/>
        <v>93</v>
      </c>
      <c r="AE69" s="540">
        <f t="shared" si="5"/>
        <v>4185</v>
      </c>
      <c r="AF69" s="621" t="str">
        <f t="shared" si="9"/>
        <v>sell</v>
      </c>
    </row>
    <row r="70" spans="1:32" s="382" customFormat="1" x14ac:dyDescent="0.25">
      <c r="A70" s="700" t="s">
        <v>236</v>
      </c>
      <c r="B70" s="701" t="s">
        <v>424</v>
      </c>
      <c r="C70" s="701" t="s">
        <v>314</v>
      </c>
      <c r="D70" s="702">
        <v>65</v>
      </c>
      <c r="E70" s="702"/>
      <c r="F70" s="704"/>
      <c r="G70" s="705"/>
      <c r="H70" s="705"/>
      <c r="I70" s="705"/>
      <c r="J70" s="705"/>
      <c r="K70" s="705">
        <v>50</v>
      </c>
      <c r="L70" s="705"/>
      <c r="M70" s="705"/>
      <c r="N70" s="648"/>
      <c r="O70" s="648"/>
      <c r="P70" s="648"/>
      <c r="Q70" s="648"/>
      <c r="R70" s="648"/>
      <c r="S70" s="648"/>
      <c r="T70" s="648"/>
      <c r="U70" s="648"/>
      <c r="V70" s="648"/>
      <c r="W70" s="648"/>
      <c r="X70" s="648"/>
      <c r="Y70" s="648"/>
      <c r="Z70" s="648"/>
      <c r="AA70" s="648"/>
      <c r="AB70" s="648"/>
      <c r="AC70" s="648"/>
      <c r="AD70" s="509">
        <f t="shared" ref="AD70:AD77" si="10">SUM(E70:AC70)</f>
        <v>50</v>
      </c>
      <c r="AE70" s="540">
        <f t="shared" ref="AE70:AE77" si="11">AD70*D70</f>
        <v>3250</v>
      </c>
      <c r="AF70" s="621" t="str">
        <f t="shared" si="9"/>
        <v>sell</v>
      </c>
    </row>
    <row r="71" spans="1:32" s="382" customFormat="1" x14ac:dyDescent="0.25">
      <c r="A71" s="700" t="s">
        <v>73</v>
      </c>
      <c r="B71" s="701" t="s">
        <v>424</v>
      </c>
      <c r="C71" s="701" t="s">
        <v>314</v>
      </c>
      <c r="D71" s="702">
        <v>125</v>
      </c>
      <c r="E71" s="702"/>
      <c r="F71" s="704"/>
      <c r="G71" s="705"/>
      <c r="H71" s="705"/>
      <c r="I71" s="705"/>
      <c r="J71" s="705"/>
      <c r="K71" s="705"/>
      <c r="L71" s="705">
        <v>50</v>
      </c>
      <c r="M71" s="705"/>
      <c r="N71" s="648"/>
      <c r="O71" s="648"/>
      <c r="P71" s="648"/>
      <c r="Q71" s="648"/>
      <c r="R71" s="648">
        <v>25</v>
      </c>
      <c r="S71" s="648"/>
      <c r="T71" s="648"/>
      <c r="U71" s="648"/>
      <c r="V71" s="648"/>
      <c r="W71" s="648"/>
      <c r="X71" s="648"/>
      <c r="Y71" s="648"/>
      <c r="Z71" s="648"/>
      <c r="AA71" s="648"/>
      <c r="AB71" s="648"/>
      <c r="AC71" s="648"/>
      <c r="AD71" s="509">
        <f t="shared" si="10"/>
        <v>75</v>
      </c>
      <c r="AE71" s="540">
        <f t="shared" si="11"/>
        <v>9375</v>
      </c>
      <c r="AF71" s="621" t="str">
        <f t="shared" si="9"/>
        <v>sell</v>
      </c>
    </row>
    <row r="72" spans="1:32" s="382" customFormat="1" x14ac:dyDescent="0.25">
      <c r="A72" s="700" t="s">
        <v>73</v>
      </c>
      <c r="B72" s="701" t="s">
        <v>424</v>
      </c>
      <c r="C72" s="701" t="s">
        <v>314</v>
      </c>
      <c r="D72" s="702">
        <v>95</v>
      </c>
      <c r="E72" s="702"/>
      <c r="F72" s="704"/>
      <c r="G72" s="705"/>
      <c r="H72" s="705"/>
      <c r="I72" s="705"/>
      <c r="J72" s="705"/>
      <c r="K72" s="705"/>
      <c r="L72" s="705"/>
      <c r="M72" s="705"/>
      <c r="N72" s="648"/>
      <c r="O72" s="648"/>
      <c r="P72" s="648"/>
      <c r="Q72" s="648"/>
      <c r="R72" s="648"/>
      <c r="S72" s="648">
        <v>25</v>
      </c>
      <c r="T72" s="648">
        <v>25</v>
      </c>
      <c r="U72" s="648">
        <v>25</v>
      </c>
      <c r="V72" s="648"/>
      <c r="W72" s="648"/>
      <c r="X72" s="648"/>
      <c r="Y72" s="648"/>
      <c r="Z72" s="648"/>
      <c r="AA72" s="648"/>
      <c r="AB72" s="648"/>
      <c r="AC72" s="648"/>
      <c r="AD72" s="509">
        <f t="shared" si="10"/>
        <v>75</v>
      </c>
      <c r="AE72" s="540">
        <f t="shared" si="11"/>
        <v>7125</v>
      </c>
      <c r="AF72" s="621" t="str">
        <f t="shared" si="9"/>
        <v>sell</v>
      </c>
    </row>
    <row r="73" spans="1:32" s="382" customFormat="1" x14ac:dyDescent="0.25">
      <c r="A73" s="700" t="s">
        <v>73</v>
      </c>
      <c r="B73" s="701" t="s">
        <v>424</v>
      </c>
      <c r="C73" s="701" t="s">
        <v>314</v>
      </c>
      <c r="D73" s="702">
        <v>150</v>
      </c>
      <c r="E73" s="702"/>
      <c r="F73" s="704"/>
      <c r="G73" s="705"/>
      <c r="H73" s="705"/>
      <c r="I73" s="705"/>
      <c r="J73" s="705"/>
      <c r="K73" s="705"/>
      <c r="L73" s="705"/>
      <c r="M73" s="705"/>
      <c r="N73" s="648"/>
      <c r="O73" s="648"/>
      <c r="P73" s="648"/>
      <c r="Q73" s="648"/>
      <c r="R73" s="648"/>
      <c r="S73" s="648"/>
      <c r="T73" s="648"/>
      <c r="U73" s="648"/>
      <c r="V73" s="648"/>
      <c r="W73" s="648"/>
      <c r="X73" s="648"/>
      <c r="Y73" s="648">
        <v>25</v>
      </c>
      <c r="Z73" s="648"/>
      <c r="AA73" s="648"/>
      <c r="AB73" s="648"/>
      <c r="AC73" s="648"/>
      <c r="AD73" s="509">
        <f>SUM(E73:AC73)</f>
        <v>25</v>
      </c>
      <c r="AE73" s="540">
        <f>AD73*D73</f>
        <v>3750</v>
      </c>
      <c r="AF73" s="621" t="str">
        <f>IF(AD73&lt;0,"buy","sell")</f>
        <v>sell</v>
      </c>
    </row>
    <row r="74" spans="1:32" s="382" customFormat="1" x14ac:dyDescent="0.25">
      <c r="A74" s="700" t="s">
        <v>72</v>
      </c>
      <c r="B74" s="701" t="s">
        <v>424</v>
      </c>
      <c r="C74" s="701" t="s">
        <v>159</v>
      </c>
      <c r="D74" s="702">
        <v>125</v>
      </c>
      <c r="E74" s="702"/>
      <c r="F74" s="704"/>
      <c r="G74" s="705"/>
      <c r="H74" s="705"/>
      <c r="I74" s="705"/>
      <c r="J74" s="705"/>
      <c r="K74" s="705"/>
      <c r="L74" s="705"/>
      <c r="M74" s="705">
        <v>25</v>
      </c>
      <c r="N74" s="648">
        <v>50</v>
      </c>
      <c r="O74" s="648">
        <v>50</v>
      </c>
      <c r="P74" s="648">
        <v>50</v>
      </c>
      <c r="Q74" s="648">
        <v>50</v>
      </c>
      <c r="R74" s="648">
        <v>50</v>
      </c>
      <c r="S74" s="648"/>
      <c r="T74" s="648"/>
      <c r="U74" s="648"/>
      <c r="V74" s="648"/>
      <c r="W74" s="648"/>
      <c r="X74" s="648"/>
      <c r="Y74" s="648"/>
      <c r="Z74" s="648"/>
      <c r="AA74" s="648"/>
      <c r="AB74" s="648"/>
      <c r="AC74" s="648"/>
      <c r="AD74" s="509">
        <f t="shared" si="10"/>
        <v>275</v>
      </c>
      <c r="AE74" s="540">
        <f t="shared" si="11"/>
        <v>34375</v>
      </c>
      <c r="AF74" s="621" t="str">
        <f t="shared" si="9"/>
        <v>sell</v>
      </c>
    </row>
    <row r="75" spans="1:32" s="382" customFormat="1" x14ac:dyDescent="0.25">
      <c r="A75" s="700" t="s">
        <v>72</v>
      </c>
      <c r="B75" s="701" t="s">
        <v>424</v>
      </c>
      <c r="C75" s="701" t="s">
        <v>159</v>
      </c>
      <c r="D75" s="702">
        <v>85</v>
      </c>
      <c r="E75" s="702"/>
      <c r="F75" s="704"/>
      <c r="G75" s="705"/>
      <c r="H75" s="705"/>
      <c r="I75" s="705"/>
      <c r="J75" s="705"/>
      <c r="K75" s="705"/>
      <c r="L75" s="705"/>
      <c r="M75" s="705"/>
      <c r="N75" s="648"/>
      <c r="O75" s="648"/>
      <c r="P75" s="648"/>
      <c r="Q75" s="648"/>
      <c r="R75" s="648"/>
      <c r="S75" s="648">
        <v>50</v>
      </c>
      <c r="T75" s="648">
        <v>50</v>
      </c>
      <c r="U75" s="648"/>
      <c r="V75" s="648"/>
      <c r="W75" s="648"/>
      <c r="X75" s="648"/>
      <c r="Y75" s="648"/>
      <c r="Z75" s="648"/>
      <c r="AA75" s="648"/>
      <c r="AB75" s="648"/>
      <c r="AC75" s="648"/>
      <c r="AD75" s="509">
        <f t="shared" si="10"/>
        <v>100</v>
      </c>
      <c r="AE75" s="540">
        <f t="shared" si="11"/>
        <v>8500</v>
      </c>
      <c r="AF75" s="621" t="str">
        <f t="shared" si="9"/>
        <v>sell</v>
      </c>
    </row>
    <row r="76" spans="1:32" s="382" customFormat="1" x14ac:dyDescent="0.25">
      <c r="A76" s="700" t="s">
        <v>72</v>
      </c>
      <c r="B76" s="701" t="s">
        <v>424</v>
      </c>
      <c r="C76" s="701" t="s">
        <v>159</v>
      </c>
      <c r="D76" s="702">
        <v>80</v>
      </c>
      <c r="E76" s="702"/>
      <c r="F76" s="704"/>
      <c r="G76" s="705"/>
      <c r="H76" s="705"/>
      <c r="I76" s="705"/>
      <c r="J76" s="705"/>
      <c r="K76" s="705"/>
      <c r="L76" s="705"/>
      <c r="M76" s="705"/>
      <c r="N76" s="648"/>
      <c r="O76" s="648"/>
      <c r="P76" s="648"/>
      <c r="Q76" s="648"/>
      <c r="R76" s="648"/>
      <c r="S76" s="648"/>
      <c r="T76" s="648"/>
      <c r="U76" s="648">
        <v>50</v>
      </c>
      <c r="V76" s="648">
        <v>100</v>
      </c>
      <c r="W76" s="648"/>
      <c r="X76" s="648"/>
      <c r="Y76" s="648"/>
      <c r="Z76" s="648"/>
      <c r="AA76" s="648"/>
      <c r="AB76" s="648"/>
      <c r="AC76" s="648"/>
      <c r="AD76" s="509">
        <f t="shared" si="10"/>
        <v>150</v>
      </c>
      <c r="AE76" s="540">
        <f t="shared" si="11"/>
        <v>12000</v>
      </c>
      <c r="AF76" s="621" t="str">
        <f t="shared" si="9"/>
        <v>sell</v>
      </c>
    </row>
    <row r="77" spans="1:32" s="382" customFormat="1" x14ac:dyDescent="0.25">
      <c r="A77" s="700" t="s">
        <v>72</v>
      </c>
      <c r="B77" s="701" t="s">
        <v>424</v>
      </c>
      <c r="C77" s="701" t="s">
        <v>159</v>
      </c>
      <c r="D77" s="702">
        <v>120</v>
      </c>
      <c r="E77" s="702"/>
      <c r="F77" s="704"/>
      <c r="G77" s="705"/>
      <c r="H77" s="705"/>
      <c r="I77" s="705"/>
      <c r="J77" s="705"/>
      <c r="K77" s="705"/>
      <c r="L77" s="705"/>
      <c r="M77" s="705"/>
      <c r="N77" s="648"/>
      <c r="O77" s="648"/>
      <c r="P77" s="648"/>
      <c r="Q77" s="648"/>
      <c r="R77" s="648"/>
      <c r="S77" s="648"/>
      <c r="T77" s="648"/>
      <c r="U77" s="648"/>
      <c r="V77" s="648"/>
      <c r="W77" s="648">
        <v>100</v>
      </c>
      <c r="X77" s="648">
        <v>50</v>
      </c>
      <c r="Y77" s="648"/>
      <c r="Z77" s="648"/>
      <c r="AA77" s="648"/>
      <c r="AB77" s="648"/>
      <c r="AC77" s="648"/>
      <c r="AD77" s="509">
        <f t="shared" si="10"/>
        <v>150</v>
      </c>
      <c r="AE77" s="540">
        <f t="shared" si="11"/>
        <v>18000</v>
      </c>
      <c r="AF77" s="621" t="str">
        <f t="shared" si="9"/>
        <v>sell</v>
      </c>
    </row>
    <row r="78" spans="1:32" s="382" customFormat="1" x14ac:dyDescent="0.25">
      <c r="A78" s="700" t="s">
        <v>72</v>
      </c>
      <c r="B78" s="701" t="s">
        <v>424</v>
      </c>
      <c r="C78" s="701" t="s">
        <v>159</v>
      </c>
      <c r="D78" s="702">
        <v>145</v>
      </c>
      <c r="E78" s="702"/>
      <c r="F78" s="704"/>
      <c r="G78" s="705"/>
      <c r="H78" s="705"/>
      <c r="I78" s="705"/>
      <c r="J78" s="705"/>
      <c r="K78" s="705"/>
      <c r="L78" s="705"/>
      <c r="M78" s="705"/>
      <c r="N78" s="648"/>
      <c r="O78" s="648"/>
      <c r="P78" s="648"/>
      <c r="Q78" s="648"/>
      <c r="R78" s="648"/>
      <c r="S78" s="648"/>
      <c r="T78" s="648"/>
      <c r="U78" s="648"/>
      <c r="V78" s="648"/>
      <c r="W78" s="648"/>
      <c r="X78" s="648"/>
      <c r="Y78" s="648">
        <v>50</v>
      </c>
      <c r="Z78" s="648">
        <v>50</v>
      </c>
      <c r="AA78" s="648"/>
      <c r="AB78" s="648"/>
      <c r="AC78" s="648"/>
      <c r="AD78" s="509">
        <f>SUM(E78:AC78)</f>
        <v>100</v>
      </c>
      <c r="AE78" s="540">
        <f>AD78*D78</f>
        <v>14500</v>
      </c>
      <c r="AF78" s="621" t="str">
        <f>IF(AD78&lt;0,"buy","sell")</f>
        <v>sell</v>
      </c>
    </row>
    <row r="79" spans="1:32" s="382" customFormat="1" x14ac:dyDescent="0.25">
      <c r="A79" s="700" t="s">
        <v>72</v>
      </c>
      <c r="B79" s="701" t="s">
        <v>424</v>
      </c>
      <c r="C79" s="701" t="s">
        <v>159</v>
      </c>
      <c r="D79" s="702">
        <v>100</v>
      </c>
      <c r="E79" s="702"/>
      <c r="F79" s="704"/>
      <c r="G79" s="705"/>
      <c r="H79" s="705"/>
      <c r="I79" s="705"/>
      <c r="J79" s="705"/>
      <c r="K79" s="705"/>
      <c r="L79" s="705"/>
      <c r="M79" s="705"/>
      <c r="N79" s="648"/>
      <c r="O79" s="648"/>
      <c r="P79" s="648"/>
      <c r="Q79" s="648"/>
      <c r="R79" s="648"/>
      <c r="S79" s="648"/>
      <c r="T79" s="648"/>
      <c r="U79" s="648"/>
      <c r="V79" s="648"/>
      <c r="W79" s="648"/>
      <c r="X79" s="648"/>
      <c r="Y79" s="648"/>
      <c r="Z79" s="648"/>
      <c r="AA79" s="648">
        <v>50</v>
      </c>
      <c r="AB79" s="648"/>
      <c r="AC79" s="648"/>
      <c r="AD79" s="509">
        <f>SUM(E79:AC79)</f>
        <v>50</v>
      </c>
      <c r="AE79" s="540">
        <f>AD79*D79</f>
        <v>5000</v>
      </c>
      <c r="AF79" s="621" t="str">
        <f>IF(AD79&lt;0,"buy","sell")</f>
        <v>sell</v>
      </c>
    </row>
    <row r="80" spans="1:32" s="382" customFormat="1" x14ac:dyDescent="0.25">
      <c r="A80" s="700"/>
      <c r="B80" s="701"/>
      <c r="C80" s="701"/>
      <c r="D80" s="702"/>
      <c r="E80" s="702"/>
      <c r="F80" s="704"/>
      <c r="G80" s="705"/>
      <c r="H80" s="705"/>
      <c r="I80" s="705"/>
      <c r="J80" s="705"/>
      <c r="K80" s="705"/>
      <c r="L80" s="705"/>
      <c r="M80" s="705"/>
      <c r="N80" s="648"/>
      <c r="O80" s="648"/>
      <c r="P80" s="648"/>
      <c r="Q80" s="648"/>
      <c r="R80" s="648"/>
      <c r="S80" s="648"/>
      <c r="T80" s="648"/>
      <c r="U80" s="648"/>
      <c r="V80" s="648"/>
      <c r="W80" s="648"/>
      <c r="X80" s="648"/>
      <c r="Y80" s="648"/>
      <c r="Z80" s="648"/>
      <c r="AA80" s="648"/>
      <c r="AB80" s="648"/>
      <c r="AC80" s="648"/>
      <c r="AD80" s="509">
        <f t="shared" si="4"/>
        <v>0</v>
      </c>
      <c r="AE80" s="540">
        <f t="shared" si="5"/>
        <v>0</v>
      </c>
      <c r="AF80" s="621" t="str">
        <f t="shared" si="9"/>
        <v>sell</v>
      </c>
    </row>
    <row r="81" spans="1:33" s="382" customFormat="1" ht="12.75" customHeight="1" x14ac:dyDescent="0.25">
      <c r="A81" s="680"/>
      <c r="B81" s="706"/>
      <c r="C81" s="706"/>
      <c r="D81" s="675"/>
      <c r="E81" s="564"/>
      <c r="F81" s="676"/>
      <c r="G81" s="564"/>
      <c r="H81" s="676"/>
      <c r="I81" s="676"/>
      <c r="J81" s="676"/>
      <c r="K81" s="676"/>
      <c r="L81" s="676"/>
      <c r="M81" s="676"/>
      <c r="N81" s="676"/>
      <c r="O81" s="676"/>
      <c r="P81" s="676"/>
      <c r="Q81" s="676"/>
      <c r="R81" s="676"/>
      <c r="S81" s="676"/>
      <c r="T81" s="676"/>
      <c r="U81" s="676"/>
      <c r="V81" s="676"/>
      <c r="W81" s="676"/>
      <c r="X81" s="676"/>
      <c r="Y81" s="676"/>
      <c r="Z81" s="676"/>
      <c r="AA81" s="676"/>
      <c r="AB81" s="676"/>
      <c r="AC81" s="676"/>
      <c r="AD81" s="509">
        <f t="shared" si="4"/>
        <v>0</v>
      </c>
      <c r="AE81" s="540">
        <f t="shared" si="5"/>
        <v>0</v>
      </c>
      <c r="AF81" s="621" t="str">
        <f t="shared" si="9"/>
        <v>sell</v>
      </c>
    </row>
    <row r="82" spans="1:33" s="382" customFormat="1" ht="12.75" customHeight="1" x14ac:dyDescent="0.25">
      <c r="A82" s="717"/>
      <c r="B82" s="521"/>
      <c r="C82" s="521"/>
      <c r="D82" s="521"/>
      <c r="E82" s="533"/>
      <c r="F82" s="676"/>
      <c r="G82" s="564"/>
      <c r="H82" s="676"/>
      <c r="I82" s="676"/>
      <c r="J82" s="676"/>
      <c r="K82" s="676"/>
      <c r="L82" s="676"/>
      <c r="M82" s="541"/>
      <c r="N82" s="541"/>
      <c r="O82" s="541"/>
      <c r="P82" s="541"/>
      <c r="Q82" s="541"/>
      <c r="R82" s="541"/>
      <c r="S82" s="541"/>
      <c r="T82" s="541"/>
      <c r="U82" s="541"/>
      <c r="V82" s="541"/>
      <c r="W82" s="541"/>
      <c r="X82" s="541"/>
      <c r="Y82" s="541"/>
      <c r="Z82" s="541"/>
      <c r="AA82" s="541"/>
      <c r="AB82" s="541"/>
      <c r="AC82" s="541"/>
      <c r="AD82" s="509">
        <f t="shared" si="4"/>
        <v>0</v>
      </c>
      <c r="AE82" s="540">
        <f t="shared" si="5"/>
        <v>0</v>
      </c>
      <c r="AF82" s="621" t="str">
        <f t="shared" si="9"/>
        <v>sell</v>
      </c>
    </row>
    <row r="83" spans="1:33" s="382" customFormat="1" x14ac:dyDescent="0.25">
      <c r="A83" s="680"/>
      <c r="B83" s="706"/>
      <c r="C83" s="706"/>
      <c r="D83" s="675"/>
      <c r="E83" s="564"/>
      <c r="F83" s="676"/>
      <c r="G83" s="564"/>
      <c r="H83" s="676"/>
      <c r="I83" s="676"/>
      <c r="J83" s="676"/>
      <c r="K83" s="676"/>
      <c r="L83" s="676"/>
      <c r="M83" s="676"/>
      <c r="N83" s="676"/>
      <c r="O83" s="676"/>
      <c r="P83" s="676"/>
      <c r="Q83" s="676"/>
      <c r="R83" s="676"/>
      <c r="S83" s="676"/>
      <c r="T83" s="676"/>
      <c r="U83" s="676"/>
      <c r="V83" s="676"/>
      <c r="W83" s="676"/>
      <c r="X83" s="676"/>
      <c r="Y83" s="676"/>
      <c r="Z83" s="676"/>
      <c r="AA83" s="676"/>
      <c r="AB83" s="676"/>
      <c r="AC83" s="676"/>
      <c r="AD83" s="509">
        <f t="shared" si="4"/>
        <v>0</v>
      </c>
      <c r="AE83" s="540">
        <f t="shared" si="5"/>
        <v>0</v>
      </c>
      <c r="AF83" s="621" t="str">
        <f t="shared" si="9"/>
        <v>sell</v>
      </c>
    </row>
    <row r="84" spans="1:33" s="382" customFormat="1" x14ac:dyDescent="0.25">
      <c r="A84" s="714"/>
      <c r="B84" s="641"/>
      <c r="C84" s="641"/>
      <c r="D84" s="646"/>
      <c r="E84" s="646"/>
      <c r="F84" s="535"/>
      <c r="G84" s="627"/>
      <c r="H84" s="627"/>
      <c r="I84" s="627"/>
      <c r="J84" s="627"/>
      <c r="K84" s="627"/>
      <c r="L84" s="627"/>
      <c r="M84" s="627"/>
      <c r="N84" s="627"/>
      <c r="O84" s="627"/>
      <c r="P84" s="627"/>
      <c r="Q84" s="627"/>
      <c r="R84" s="627"/>
      <c r="S84" s="627"/>
      <c r="T84" s="627"/>
      <c r="U84" s="627"/>
      <c r="V84" s="627"/>
      <c r="W84" s="627"/>
      <c r="X84" s="627"/>
      <c r="Y84" s="627"/>
      <c r="Z84" s="627"/>
      <c r="AA84" s="627"/>
      <c r="AB84" s="627"/>
      <c r="AC84" s="715"/>
      <c r="AD84" s="509">
        <f t="shared" si="4"/>
        <v>0</v>
      </c>
      <c r="AE84" s="540">
        <f t="shared" si="5"/>
        <v>0</v>
      </c>
      <c r="AF84" s="621" t="str">
        <f t="shared" si="9"/>
        <v>sell</v>
      </c>
      <c r="AG84" s="528"/>
    </row>
    <row r="85" spans="1:33" s="382" customFormat="1" x14ac:dyDescent="0.25">
      <c r="A85" s="700"/>
      <c r="B85" s="701"/>
      <c r="C85" s="701"/>
      <c r="D85" s="702"/>
      <c r="E85" s="681"/>
      <c r="F85" s="707"/>
      <c r="G85" s="708"/>
      <c r="H85" s="708"/>
      <c r="I85" s="708"/>
      <c r="J85" s="708"/>
      <c r="K85" s="708"/>
      <c r="L85" s="708"/>
      <c r="M85" s="708"/>
      <c r="N85" s="708"/>
      <c r="O85" s="708"/>
      <c r="P85" s="708"/>
      <c r="Q85" s="708"/>
      <c r="R85" s="708"/>
      <c r="S85" s="708"/>
      <c r="T85" s="708"/>
      <c r="U85" s="708"/>
      <c r="V85" s="708"/>
      <c r="W85" s="708"/>
      <c r="X85" s="708"/>
      <c r="Y85" s="708"/>
      <c r="Z85" s="708"/>
      <c r="AA85" s="708"/>
      <c r="AB85" s="708"/>
      <c r="AC85" s="708"/>
      <c r="AD85" s="509">
        <f>SUM(F85:AC85)</f>
        <v>0</v>
      </c>
      <c r="AE85" s="540">
        <f t="shared" ref="AE85:AE94" si="12">AD85*D85</f>
        <v>0</v>
      </c>
      <c r="AF85" s="621" t="str">
        <f t="shared" si="9"/>
        <v>sell</v>
      </c>
    </row>
    <row r="86" spans="1:33" s="382" customFormat="1" x14ac:dyDescent="0.25">
      <c r="A86" s="700" t="s">
        <v>73</v>
      </c>
      <c r="B86" s="701" t="s">
        <v>258</v>
      </c>
      <c r="C86" s="701" t="s">
        <v>314</v>
      </c>
      <c r="D86" s="702">
        <v>80</v>
      </c>
      <c r="E86" s="681"/>
      <c r="F86" s="707">
        <v>-75</v>
      </c>
      <c r="G86" s="707"/>
      <c r="H86" s="708"/>
      <c r="I86" s="708"/>
      <c r="J86" s="708"/>
      <c r="K86" s="708"/>
      <c r="L86" s="708"/>
      <c r="M86" s="708"/>
      <c r="N86" s="708"/>
      <c r="O86" s="708"/>
      <c r="P86" s="708"/>
      <c r="Q86" s="708"/>
      <c r="R86" s="708"/>
      <c r="S86" s="708"/>
      <c r="T86" s="708"/>
      <c r="U86" s="708"/>
      <c r="V86" s="708"/>
      <c r="W86" s="708"/>
      <c r="X86" s="708"/>
      <c r="Y86" s="708"/>
      <c r="Z86" s="708"/>
      <c r="AA86" s="708"/>
      <c r="AB86" s="708"/>
      <c r="AC86" s="708"/>
      <c r="AD86" s="509">
        <f>SUM(E86:AC86)</f>
        <v>-75</v>
      </c>
      <c r="AE86" s="540">
        <f t="shared" si="12"/>
        <v>-6000</v>
      </c>
      <c r="AF86" s="621" t="str">
        <f t="shared" ref="AF86:AF91" si="13">IF(AD86&lt;0,"buy","sell")</f>
        <v>buy</v>
      </c>
    </row>
    <row r="87" spans="1:33" s="382" customFormat="1" x14ac:dyDescent="0.25">
      <c r="A87" s="700" t="s">
        <v>66</v>
      </c>
      <c r="B87" s="701" t="s">
        <v>258</v>
      </c>
      <c r="C87" s="701" t="s">
        <v>159</v>
      </c>
      <c r="D87" s="702">
        <v>150</v>
      </c>
      <c r="E87" s="681"/>
      <c r="F87" s="707">
        <v>-50</v>
      </c>
      <c r="G87" s="708"/>
      <c r="H87" s="708"/>
      <c r="I87" s="708"/>
      <c r="J87" s="708"/>
      <c r="K87" s="708"/>
      <c r="L87" s="708"/>
      <c r="M87" s="708"/>
      <c r="N87" s="708"/>
      <c r="O87" s="708"/>
      <c r="P87" s="708"/>
      <c r="Q87" s="708"/>
      <c r="R87" s="708"/>
      <c r="S87" s="708"/>
      <c r="T87" s="708"/>
      <c r="U87" s="708"/>
      <c r="V87" s="708"/>
      <c r="W87" s="708"/>
      <c r="X87" s="708"/>
      <c r="Y87" s="708"/>
      <c r="Z87" s="708"/>
      <c r="AA87" s="708"/>
      <c r="AB87" s="708"/>
      <c r="AC87" s="708"/>
      <c r="AD87" s="509">
        <f>SUM(E87:AC87)</f>
        <v>-50</v>
      </c>
      <c r="AE87" s="540">
        <f t="shared" si="12"/>
        <v>-7500</v>
      </c>
      <c r="AF87" s="621" t="str">
        <f t="shared" si="13"/>
        <v>buy</v>
      </c>
    </row>
    <row r="88" spans="1:33" s="382" customFormat="1" x14ac:dyDescent="0.25">
      <c r="A88" s="722" t="s">
        <v>425</v>
      </c>
      <c r="B88" s="723" t="s">
        <v>248</v>
      </c>
      <c r="C88" s="723" t="s">
        <v>159</v>
      </c>
      <c r="D88" s="724"/>
      <c r="E88" s="681"/>
      <c r="F88" s="707">
        <v>-1</v>
      </c>
      <c r="G88" s="708"/>
      <c r="H88" s="708"/>
      <c r="I88" s="708"/>
      <c r="J88" s="708"/>
      <c r="K88" s="708"/>
      <c r="L88" s="708"/>
      <c r="M88" s="708"/>
      <c r="N88" s="708"/>
      <c r="O88" s="708"/>
      <c r="P88" s="708"/>
      <c r="Q88" s="708"/>
      <c r="R88" s="708"/>
      <c r="S88" s="708"/>
      <c r="T88" s="708"/>
      <c r="U88" s="708"/>
      <c r="V88" s="708"/>
      <c r="W88" s="708"/>
      <c r="X88" s="708"/>
      <c r="Y88" s="708"/>
      <c r="Z88" s="708"/>
      <c r="AA88" s="708"/>
      <c r="AB88" s="708"/>
      <c r="AC88" s="708"/>
      <c r="AD88" s="509">
        <f>SUM(E88:AC88)</f>
        <v>-1</v>
      </c>
      <c r="AE88" s="540">
        <f t="shared" si="12"/>
        <v>0</v>
      </c>
      <c r="AF88" s="621" t="str">
        <f t="shared" si="13"/>
        <v>buy</v>
      </c>
    </row>
    <row r="89" spans="1:33" s="382" customFormat="1" x14ac:dyDescent="0.25">
      <c r="A89" s="722"/>
      <c r="B89" s="723"/>
      <c r="C89" s="723"/>
      <c r="D89" s="724"/>
      <c r="E89" s="718"/>
      <c r="F89" s="707"/>
      <c r="G89" s="708"/>
      <c r="H89" s="708"/>
      <c r="I89" s="708"/>
      <c r="J89" s="708"/>
      <c r="K89" s="708"/>
      <c r="L89" s="708"/>
      <c r="M89" s="708"/>
      <c r="N89" s="708"/>
      <c r="O89" s="708"/>
      <c r="P89" s="708"/>
      <c r="Q89" s="708"/>
      <c r="R89" s="708"/>
      <c r="S89" s="708"/>
      <c r="T89" s="708"/>
      <c r="U89" s="708"/>
      <c r="V89" s="708"/>
      <c r="W89" s="708"/>
      <c r="X89" s="708"/>
      <c r="Y89" s="708"/>
      <c r="Z89" s="708"/>
      <c r="AA89" s="708"/>
      <c r="AB89" s="708"/>
      <c r="AC89" s="708"/>
      <c r="AD89" s="509">
        <f>SUM(E89:AC89)</f>
        <v>0</v>
      </c>
      <c r="AE89" s="540">
        <f t="shared" si="12"/>
        <v>0</v>
      </c>
      <c r="AF89" s="621" t="str">
        <f t="shared" si="13"/>
        <v>sell</v>
      </c>
    </row>
    <row r="90" spans="1:33" s="382" customFormat="1" ht="13.8" thickBot="1" x14ac:dyDescent="0.3">
      <c r="A90" s="551" t="s">
        <v>315</v>
      </c>
      <c r="B90" s="552"/>
      <c r="C90" s="552"/>
      <c r="D90" s="553"/>
      <c r="E90" s="553"/>
      <c r="F90" s="554"/>
      <c r="G90" s="554"/>
      <c r="H90" s="554"/>
      <c r="I90" s="554"/>
      <c r="J90" s="554"/>
      <c r="K90" s="554"/>
      <c r="L90" s="554"/>
      <c r="M90" s="554"/>
      <c r="N90" s="554"/>
      <c r="O90" s="554"/>
      <c r="P90" s="554"/>
      <c r="Q90" s="554"/>
      <c r="R90" s="554"/>
      <c r="S90" s="554"/>
      <c r="T90" s="554"/>
      <c r="U90" s="554"/>
      <c r="V90" s="554"/>
      <c r="W90" s="554"/>
      <c r="X90" s="554"/>
      <c r="Y90" s="554"/>
      <c r="Z90" s="554"/>
      <c r="AA90" s="554"/>
      <c r="AB90" s="554"/>
      <c r="AC90" s="555"/>
      <c r="AD90" s="509">
        <f>SUM(F90:AC90)</f>
        <v>0</v>
      </c>
      <c r="AE90" s="540">
        <f t="shared" si="12"/>
        <v>0</v>
      </c>
      <c r="AF90" s="621" t="str">
        <f t="shared" si="13"/>
        <v>sell</v>
      </c>
    </row>
    <row r="91" spans="1:33" s="382" customFormat="1" x14ac:dyDescent="0.25">
      <c r="A91" s="666" t="s">
        <v>74</v>
      </c>
      <c r="B91" s="719" t="s">
        <v>258</v>
      </c>
      <c r="C91" s="719" t="s">
        <v>159</v>
      </c>
      <c r="D91" s="667">
        <v>20</v>
      </c>
      <c r="E91" s="667"/>
      <c r="F91" s="668">
        <v>-30</v>
      </c>
      <c r="G91" s="669"/>
      <c r="H91" s="668"/>
      <c r="I91" s="668"/>
      <c r="J91" s="668"/>
      <c r="K91" s="668"/>
      <c r="L91" s="668"/>
      <c r="M91" s="668"/>
      <c r="N91" s="668"/>
      <c r="O91" s="668"/>
      <c r="P91" s="668"/>
      <c r="Q91" s="668"/>
      <c r="R91" s="668"/>
      <c r="S91" s="668"/>
      <c r="T91" s="668"/>
      <c r="U91" s="669"/>
      <c r="V91" s="668"/>
      <c r="W91" s="668"/>
      <c r="X91" s="668"/>
      <c r="Y91" s="668"/>
      <c r="Z91" s="668"/>
      <c r="AA91" s="668"/>
      <c r="AB91" s="668"/>
      <c r="AC91" s="668"/>
      <c r="AD91" s="509">
        <f>SUM(E91:AC91)</f>
        <v>-30</v>
      </c>
      <c r="AE91" s="540">
        <f t="shared" si="12"/>
        <v>-600</v>
      </c>
      <c r="AF91" s="621" t="str">
        <f t="shared" si="13"/>
        <v>buy</v>
      </c>
    </row>
    <row r="92" spans="1:33" s="382" customFormat="1" x14ac:dyDescent="0.25">
      <c r="A92" s="666"/>
      <c r="B92" s="679"/>
      <c r="C92" s="679"/>
      <c r="D92" s="667"/>
      <c r="E92" s="667"/>
      <c r="F92" s="668"/>
      <c r="G92" s="669"/>
      <c r="H92" s="668"/>
      <c r="I92" s="668"/>
      <c r="J92" s="668"/>
      <c r="K92" s="668"/>
      <c r="L92" s="668"/>
      <c r="M92" s="668"/>
      <c r="N92" s="668"/>
      <c r="O92" s="668"/>
      <c r="P92" s="668"/>
      <c r="Q92" s="668"/>
      <c r="R92" s="668"/>
      <c r="S92" s="668"/>
      <c r="T92" s="668"/>
      <c r="U92" s="668"/>
      <c r="V92" s="668"/>
      <c r="W92" s="668"/>
      <c r="X92" s="668"/>
      <c r="Y92" s="668"/>
      <c r="Z92" s="668"/>
      <c r="AA92" s="668"/>
      <c r="AB92" s="668"/>
      <c r="AC92" s="668"/>
      <c r="AD92" s="509">
        <f>SUM(F92:AC92)</f>
        <v>0</v>
      </c>
      <c r="AE92" s="540">
        <f t="shared" si="12"/>
        <v>0</v>
      </c>
      <c r="AF92" s="621"/>
    </row>
    <row r="93" spans="1:33" s="382" customFormat="1" x14ac:dyDescent="0.25">
      <c r="A93" s="666"/>
      <c r="B93" s="679"/>
      <c r="C93" s="679"/>
      <c r="D93" s="667"/>
      <c r="E93" s="667"/>
      <c r="F93" s="668"/>
      <c r="G93" s="669"/>
      <c r="H93" s="668"/>
      <c r="I93" s="668"/>
      <c r="J93" s="668"/>
      <c r="K93" s="668"/>
      <c r="L93" s="668"/>
      <c r="M93" s="668"/>
      <c r="N93" s="668"/>
      <c r="O93" s="668"/>
      <c r="P93" s="668"/>
      <c r="Q93" s="668"/>
      <c r="R93" s="668"/>
      <c r="S93" s="668"/>
      <c r="T93" s="668"/>
      <c r="U93" s="671"/>
      <c r="V93" s="668"/>
      <c r="W93" s="668"/>
      <c r="X93" s="668"/>
      <c r="Y93" s="668"/>
      <c r="Z93" s="668"/>
      <c r="AA93" s="668"/>
      <c r="AB93" s="668"/>
      <c r="AC93" s="670"/>
      <c r="AD93" s="509">
        <f>SUM(F93:AC93)</f>
        <v>0</v>
      </c>
      <c r="AE93" s="540">
        <f t="shared" si="12"/>
        <v>0</v>
      </c>
      <c r="AF93" s="621"/>
    </row>
    <row r="94" spans="1:33" s="382" customFormat="1" x14ac:dyDescent="0.25">
      <c r="A94" s="674" t="s">
        <v>214</v>
      </c>
      <c r="B94" s="559"/>
      <c r="C94" s="559"/>
      <c r="D94" s="559"/>
      <c r="E94" s="559"/>
      <c r="F94" s="535"/>
      <c r="G94" s="627"/>
      <c r="H94" s="535"/>
      <c r="I94" s="535"/>
      <c r="J94" s="535"/>
      <c r="K94" s="535"/>
      <c r="L94" s="535"/>
      <c r="M94" s="535"/>
      <c r="N94" s="535"/>
      <c r="O94" s="535"/>
      <c r="P94" s="535"/>
      <c r="Q94" s="535"/>
      <c r="R94" s="535"/>
      <c r="S94" s="535"/>
      <c r="T94" s="535"/>
      <c r="U94" s="535"/>
      <c r="V94" s="535"/>
      <c r="W94" s="535"/>
      <c r="X94" s="535"/>
      <c r="Y94" s="535"/>
      <c r="Z94" s="535"/>
      <c r="AA94" s="535"/>
      <c r="AB94" s="535"/>
      <c r="AC94" s="536"/>
      <c r="AD94" s="509">
        <f>SUM(F94:AC94)</f>
        <v>0</v>
      </c>
      <c r="AE94" s="540">
        <f t="shared" si="12"/>
        <v>0</v>
      </c>
      <c r="AF94" s="621" t="str">
        <f>IF(AD94&lt;0,"buy","sell")</f>
        <v>sell</v>
      </c>
    </row>
    <row r="95" spans="1:33" x14ac:dyDescent="0.25">
      <c r="A95" s="382"/>
      <c r="B95" s="403"/>
      <c r="C95" s="403"/>
      <c r="D95" s="404"/>
      <c r="E95" s="404"/>
      <c r="F95" s="403"/>
      <c r="G95" s="405"/>
      <c r="H95" s="405"/>
      <c r="I95" s="405"/>
      <c r="J95" s="405"/>
      <c r="K95" s="405"/>
      <c r="L95" s="405"/>
      <c r="M95" s="405"/>
      <c r="N95" s="405"/>
      <c r="O95" s="405"/>
      <c r="P95" s="405"/>
      <c r="Q95" s="405"/>
      <c r="R95" s="405"/>
      <c r="S95" s="405"/>
      <c r="T95" s="405"/>
      <c r="U95" s="405"/>
      <c r="V95" s="405"/>
      <c r="W95" s="405"/>
      <c r="X95" s="405"/>
      <c r="Y95" s="405"/>
      <c r="Z95" s="496"/>
      <c r="AA95" s="496"/>
      <c r="AB95" s="496"/>
      <c r="AC95" s="632"/>
      <c r="AD95" s="516"/>
      <c r="AE95" s="517"/>
      <c r="AF95" s="496"/>
      <c r="AG95" s="382"/>
    </row>
    <row r="96" spans="1:33" s="382" customFormat="1" ht="17.399999999999999" x14ac:dyDescent="0.3">
      <c r="A96" s="481" t="s">
        <v>252</v>
      </c>
      <c r="B96" s="482"/>
      <c r="C96" s="643"/>
      <c r="D96" s="483"/>
      <c r="E96" s="483"/>
      <c r="F96" s="484"/>
      <c r="G96" s="485"/>
      <c r="H96" s="409"/>
      <c r="I96" s="409"/>
      <c r="J96" s="409"/>
      <c r="K96" s="410"/>
      <c r="L96" s="409"/>
      <c r="M96" s="409"/>
      <c r="N96" s="409"/>
      <c r="O96" s="409"/>
      <c r="P96" s="409"/>
      <c r="Q96" s="409"/>
      <c r="R96" s="409"/>
      <c r="S96" s="409" t="s">
        <v>15</v>
      </c>
      <c r="T96" s="409"/>
      <c r="U96" s="409"/>
      <c r="V96" s="409"/>
      <c r="W96" s="409"/>
      <c r="X96" s="409"/>
      <c r="Y96" s="409"/>
      <c r="Z96" s="411"/>
      <c r="AA96" s="411"/>
      <c r="AB96" s="411"/>
      <c r="AC96" s="633"/>
      <c r="AD96" s="516"/>
      <c r="AE96" s="517"/>
      <c r="AF96" s="411"/>
    </row>
    <row r="97" spans="1:33" s="382" customFormat="1" ht="13.8" thickBot="1" x14ac:dyDescent="0.3">
      <c r="A97" s="486"/>
      <c r="B97" s="487"/>
      <c r="C97" s="487"/>
      <c r="D97" s="483"/>
      <c r="E97" s="483"/>
      <c r="F97" s="485"/>
      <c r="G97" s="485"/>
      <c r="H97" s="409"/>
      <c r="I97" s="409"/>
      <c r="J97" s="409"/>
      <c r="K97" s="412"/>
      <c r="L97" s="412"/>
      <c r="M97" s="409"/>
      <c r="N97" s="409"/>
      <c r="O97" s="409"/>
      <c r="P97" s="409"/>
      <c r="Q97" s="409"/>
      <c r="R97" s="409"/>
      <c r="S97" s="409"/>
      <c r="T97" s="409"/>
      <c r="U97" s="409"/>
      <c r="V97" s="409"/>
      <c r="W97" s="409"/>
      <c r="X97" s="409"/>
      <c r="Y97" s="409"/>
      <c r="Z97" s="411"/>
      <c r="AA97" s="411"/>
      <c r="AB97" s="411"/>
      <c r="AC97" s="633"/>
      <c r="AD97" s="516"/>
      <c r="AE97" s="517"/>
      <c r="AF97" s="411"/>
    </row>
    <row r="98" spans="1:33" s="382" customFormat="1" ht="18" thickBot="1" x14ac:dyDescent="0.35">
      <c r="A98" s="488" t="s">
        <v>7</v>
      </c>
      <c r="B98" s="489"/>
      <c r="C98" s="489" t="s">
        <v>279</v>
      </c>
      <c r="D98" s="490" t="s">
        <v>9</v>
      </c>
      <c r="E98" s="489"/>
      <c r="F98" s="492" t="s">
        <v>290</v>
      </c>
      <c r="G98" s="493"/>
      <c r="H98" s="409"/>
      <c r="I98" s="409"/>
      <c r="J98" s="409"/>
      <c r="K98" s="412"/>
      <c r="L98" s="410"/>
      <c r="M98" s="409"/>
      <c r="N98" s="409"/>
      <c r="O98" s="409"/>
      <c r="P98" s="409"/>
      <c r="Q98" s="409"/>
      <c r="R98" s="409"/>
      <c r="S98" s="409"/>
      <c r="T98" s="409"/>
      <c r="U98" s="409"/>
      <c r="V98" s="409"/>
      <c r="W98" s="409"/>
      <c r="X98" s="409"/>
      <c r="Y98" s="409"/>
      <c r="AA98" s="411"/>
      <c r="AB98" s="411"/>
      <c r="AC98" s="633"/>
      <c r="AD98" s="516"/>
      <c r="AE98" s="517"/>
      <c r="AF98" s="411"/>
    </row>
    <row r="99" spans="1:33" s="382" customFormat="1" ht="17.399999999999999" x14ac:dyDescent="0.3">
      <c r="A99" s="494" t="s">
        <v>254</v>
      </c>
      <c r="B99" s="495" t="s">
        <v>255</v>
      </c>
      <c r="C99" s="495"/>
      <c r="D99" s="710"/>
      <c r="E99" s="495"/>
      <c r="F99" s="491" t="s">
        <v>383</v>
      </c>
      <c r="G99" s="485" t="s">
        <v>384</v>
      </c>
      <c r="H99" s="409"/>
      <c r="I99" s="409"/>
      <c r="J99" s="409"/>
      <c r="K99" s="412"/>
      <c r="L99" s="410"/>
      <c r="M99" s="409"/>
      <c r="N99" s="409"/>
      <c r="O99" s="409"/>
      <c r="P99" s="409"/>
      <c r="Q99" s="409"/>
      <c r="R99" s="409"/>
      <c r="S99" s="409"/>
      <c r="T99" s="409"/>
      <c r="U99" s="409"/>
      <c r="V99" s="409"/>
      <c r="W99" s="409"/>
      <c r="X99" s="409"/>
      <c r="Y99" s="409"/>
      <c r="Z99" s="411" t="s">
        <v>215</v>
      </c>
      <c r="AA99" s="411"/>
      <c r="AB99" s="411"/>
      <c r="AC99" s="634"/>
      <c r="AD99" s="512"/>
      <c r="AE99" s="513"/>
      <c r="AF99" s="411"/>
    </row>
    <row r="100" spans="1:33" s="382" customFormat="1" x14ac:dyDescent="0.25">
      <c r="A100" s="487">
        <v>24</v>
      </c>
      <c r="B100" s="487">
        <v>1</v>
      </c>
      <c r="C100" s="496">
        <v>1</v>
      </c>
      <c r="D100" s="725">
        <v>158.01</v>
      </c>
      <c r="E100" s="629"/>
      <c r="F100" s="720">
        <f>D100-0.25</f>
        <v>157.76</v>
      </c>
      <c r="G100" s="678">
        <f>D101+0.56</f>
        <v>151.76</v>
      </c>
      <c r="H100" s="409"/>
      <c r="I100" s="409"/>
      <c r="J100" s="409"/>
      <c r="K100" s="412"/>
      <c r="L100" s="409"/>
      <c r="M100" s="409"/>
      <c r="N100" s="409"/>
      <c r="O100" s="409"/>
      <c r="P100" s="409"/>
      <c r="Q100" s="409"/>
      <c r="R100" s="409"/>
      <c r="S100" s="409"/>
      <c r="T100" s="409"/>
      <c r="U100" s="409"/>
      <c r="V100" s="409"/>
      <c r="W100" s="409"/>
      <c r="X100" s="409"/>
      <c r="Y100" s="409"/>
      <c r="Z100" s="411"/>
      <c r="AA100" s="635"/>
      <c r="AB100" s="635"/>
      <c r="AC100" s="634"/>
      <c r="AD100" s="445"/>
      <c r="AE100" s="445"/>
      <c r="AF100" s="635"/>
    </row>
    <row r="101" spans="1:33" s="382" customFormat="1" x14ac:dyDescent="0.25">
      <c r="A101" s="485">
        <v>1</v>
      </c>
      <c r="B101" s="485">
        <v>2</v>
      </c>
      <c r="C101" s="496">
        <v>1</v>
      </c>
      <c r="D101" s="665">
        <v>151.19999999999999</v>
      </c>
      <c r="E101" s="565"/>
      <c r="F101" s="721">
        <f t="shared" ref="F101:F124" si="14">D101-0.25</f>
        <v>150.94999999999999</v>
      </c>
      <c r="G101" s="678">
        <f t="shared" ref="G101:G117" si="15">D131+0.56</f>
        <v>151.76</v>
      </c>
      <c r="H101" s="409"/>
      <c r="I101" s="409"/>
      <c r="J101" s="409"/>
      <c r="K101" s="412"/>
      <c r="L101" s="409"/>
      <c r="M101" s="409"/>
      <c r="N101" s="409"/>
      <c r="O101" s="409"/>
      <c r="P101" s="409"/>
      <c r="Q101" s="409"/>
      <c r="R101" s="409"/>
      <c r="S101" s="409"/>
      <c r="T101" s="409"/>
      <c r="U101" s="409"/>
      <c r="V101" s="409"/>
      <c r="W101" s="409"/>
      <c r="X101" s="409"/>
      <c r="Y101" s="409"/>
      <c r="Z101" s="635" t="s">
        <v>280</v>
      </c>
      <c r="AA101" s="635"/>
      <c r="AB101" s="635"/>
      <c r="AC101" s="634"/>
      <c r="AD101" s="538">
        <f>SUM(AD10:AD81)</f>
        <v>4203</v>
      </c>
      <c r="AE101" s="538">
        <f>SUM(AE10:AE81)</f>
        <v>479316.4</v>
      </c>
      <c r="AF101" s="635"/>
    </row>
    <row r="102" spans="1:33" s="382" customFormat="1" x14ac:dyDescent="0.25">
      <c r="A102" s="487">
        <v>2</v>
      </c>
      <c r="B102" s="487">
        <v>3</v>
      </c>
      <c r="C102" s="496">
        <v>1</v>
      </c>
      <c r="D102" s="665">
        <v>110</v>
      </c>
      <c r="E102" s="565"/>
      <c r="F102" s="721">
        <f t="shared" si="14"/>
        <v>109.75</v>
      </c>
      <c r="G102" s="678">
        <f t="shared" si="15"/>
        <v>110.56</v>
      </c>
      <c r="H102" s="409"/>
      <c r="I102" s="409"/>
      <c r="J102" s="409"/>
      <c r="K102" s="412"/>
      <c r="L102" s="409"/>
      <c r="M102" s="409"/>
      <c r="N102" s="409"/>
      <c r="O102" s="409"/>
      <c r="P102" s="409"/>
      <c r="Q102" s="409"/>
      <c r="R102" s="409"/>
      <c r="S102" s="409"/>
      <c r="T102" s="409"/>
      <c r="U102" s="409"/>
      <c r="V102" s="409"/>
      <c r="W102" s="409"/>
      <c r="X102" s="409"/>
      <c r="Y102" s="409"/>
      <c r="Z102" s="635" t="s">
        <v>281</v>
      </c>
      <c r="AA102" s="635"/>
      <c r="AB102" s="635"/>
      <c r="AC102" s="636"/>
      <c r="AD102" s="522">
        <f>SUM(AD82:AD90)</f>
        <v>-126</v>
      </c>
      <c r="AE102" s="522">
        <f>SUM(AE82:AE90)</f>
        <v>-13500</v>
      </c>
      <c r="AF102" s="635"/>
    </row>
    <row r="103" spans="1:33" s="382" customFormat="1" x14ac:dyDescent="0.25">
      <c r="A103" s="485">
        <v>3</v>
      </c>
      <c r="B103" s="485">
        <v>4</v>
      </c>
      <c r="C103" s="496">
        <v>1</v>
      </c>
      <c r="D103" s="665">
        <v>95</v>
      </c>
      <c r="E103" s="565"/>
      <c r="F103" s="721">
        <f t="shared" si="14"/>
        <v>94.75</v>
      </c>
      <c r="G103" s="678">
        <f t="shared" si="15"/>
        <v>95.56</v>
      </c>
      <c r="H103" s="416"/>
      <c r="I103" s="416"/>
      <c r="J103" s="416"/>
      <c r="K103" s="417"/>
      <c r="L103" s="416"/>
      <c r="M103" s="409"/>
      <c r="N103" s="409"/>
      <c r="O103" s="416"/>
      <c r="P103" s="416"/>
      <c r="Q103" s="416"/>
      <c r="R103" s="416"/>
      <c r="S103" s="416"/>
      <c r="T103" s="416"/>
      <c r="U103" s="416"/>
      <c r="V103" s="416"/>
      <c r="W103" s="416"/>
      <c r="X103" s="416"/>
      <c r="Y103" s="416"/>
      <c r="Z103" s="423"/>
      <c r="AA103" s="423"/>
      <c r="AB103" s="423"/>
      <c r="AC103" s="528"/>
      <c r="AF103" s="423"/>
    </row>
    <row r="104" spans="1:33" s="445" customFormat="1" x14ac:dyDescent="0.25">
      <c r="A104" s="487">
        <v>4</v>
      </c>
      <c r="B104" s="487">
        <v>5</v>
      </c>
      <c r="C104" s="496">
        <v>1</v>
      </c>
      <c r="D104" s="665">
        <v>100</v>
      </c>
      <c r="E104" s="565"/>
      <c r="F104" s="721">
        <f t="shared" si="14"/>
        <v>99.75</v>
      </c>
      <c r="G104" s="678">
        <f t="shared" si="15"/>
        <v>100.56</v>
      </c>
      <c r="H104" s="416"/>
      <c r="I104" s="382"/>
      <c r="J104" s="382"/>
      <c r="K104" s="382"/>
      <c r="L104" s="382"/>
      <c r="M104" s="382"/>
      <c r="N104" s="382"/>
      <c r="O104" s="409"/>
      <c r="P104" s="409"/>
      <c r="Q104" s="420"/>
      <c r="R104" s="420"/>
      <c r="S104" s="420"/>
      <c r="T104" s="420"/>
      <c r="U104" s="420"/>
      <c r="V104" s="420"/>
      <c r="W104" s="420"/>
      <c r="X104" s="420"/>
      <c r="Y104" s="420"/>
      <c r="Z104" s="637" t="s">
        <v>316</v>
      </c>
      <c r="AA104" s="637"/>
      <c r="AB104" s="637"/>
      <c r="AC104" s="638"/>
      <c r="AD104" s="556"/>
      <c r="AE104" s="557"/>
      <c r="AG104" s="382"/>
    </row>
    <row r="105" spans="1:33" s="445" customFormat="1" x14ac:dyDescent="0.25">
      <c r="A105" s="485">
        <v>5</v>
      </c>
      <c r="B105" s="485">
        <v>6</v>
      </c>
      <c r="C105" s="496">
        <v>1</v>
      </c>
      <c r="D105" s="665">
        <v>150.01</v>
      </c>
      <c r="E105" s="565"/>
      <c r="F105" s="721">
        <f t="shared" si="14"/>
        <v>149.76</v>
      </c>
      <c r="G105" s="678">
        <f t="shared" si="15"/>
        <v>150.57</v>
      </c>
      <c r="H105" s="409"/>
      <c r="I105" s="382"/>
      <c r="J105" s="382"/>
      <c r="K105" s="382"/>
      <c r="L105" s="382"/>
      <c r="M105" s="382"/>
      <c r="N105" s="382"/>
      <c r="O105" s="409"/>
      <c r="P105" s="409"/>
      <c r="Q105" s="409"/>
      <c r="R105" s="409"/>
      <c r="S105" s="409"/>
      <c r="T105" s="409"/>
      <c r="U105" s="409"/>
      <c r="V105" s="409"/>
      <c r="W105" s="409"/>
      <c r="X105" s="409"/>
      <c r="Y105" s="409"/>
      <c r="Z105" s="637"/>
      <c r="AA105" s="637"/>
      <c r="AB105" s="637"/>
      <c r="AC105" s="638"/>
      <c r="AD105" s="556"/>
      <c r="AE105" s="557"/>
      <c r="AG105" s="409"/>
    </row>
    <row r="106" spans="1:33" s="445" customFormat="1" x14ac:dyDescent="0.25">
      <c r="A106" s="487">
        <v>6</v>
      </c>
      <c r="B106" s="487">
        <v>7</v>
      </c>
      <c r="C106" s="496">
        <v>1</v>
      </c>
      <c r="D106" s="665">
        <v>180</v>
      </c>
      <c r="E106" s="565"/>
      <c r="F106" s="721">
        <f t="shared" si="14"/>
        <v>179.75</v>
      </c>
      <c r="G106" s="678">
        <f t="shared" si="15"/>
        <v>180.56</v>
      </c>
      <c r="H106" s="421"/>
      <c r="I106" s="382"/>
      <c r="J106" s="382"/>
      <c r="K106" s="382"/>
      <c r="L106" s="382"/>
      <c r="M106" s="382"/>
      <c r="N106" s="382"/>
      <c r="O106" s="409"/>
      <c r="P106" s="409"/>
      <c r="Q106" s="421"/>
      <c r="R106" s="421"/>
      <c r="S106" s="421"/>
      <c r="T106" s="421"/>
      <c r="U106" s="421"/>
      <c r="V106" s="421"/>
      <c r="W106" s="421"/>
      <c r="X106" s="421"/>
      <c r="Y106" s="421"/>
      <c r="Z106" s="637" t="s">
        <v>281</v>
      </c>
      <c r="AA106" s="637"/>
      <c r="AB106" s="637"/>
      <c r="AC106" s="638"/>
      <c r="AD106" s="558">
        <f>SUM(AD90:AD94)</f>
        <v>-30</v>
      </c>
      <c r="AE106" s="558">
        <f>SUM(AE90:AE94)</f>
        <v>-600</v>
      </c>
      <c r="AG106" s="382"/>
    </row>
    <row r="107" spans="1:33" s="445" customFormat="1" x14ac:dyDescent="0.25">
      <c r="A107" s="485">
        <v>7</v>
      </c>
      <c r="B107" s="485">
        <v>8</v>
      </c>
      <c r="C107" s="496">
        <v>1</v>
      </c>
      <c r="D107" s="665">
        <v>200.99</v>
      </c>
      <c r="E107" s="565"/>
      <c r="F107" s="721">
        <f t="shared" si="14"/>
        <v>200.74</v>
      </c>
      <c r="G107" s="678">
        <f t="shared" si="15"/>
        <v>201.55</v>
      </c>
      <c r="H107" s="421"/>
      <c r="I107" s="382"/>
      <c r="J107" s="382"/>
      <c r="K107" s="382"/>
      <c r="L107" s="382"/>
      <c r="M107" s="382"/>
      <c r="N107" s="382"/>
      <c r="O107" s="409"/>
      <c r="P107" s="409"/>
      <c r="Q107" s="421"/>
      <c r="R107" s="421"/>
      <c r="S107" s="421"/>
      <c r="T107" s="421"/>
      <c r="U107" s="421"/>
      <c r="V107" s="421"/>
      <c r="W107" s="421"/>
      <c r="X107" s="421"/>
      <c r="Y107" s="421"/>
      <c r="AC107" s="529"/>
      <c r="AG107" s="382"/>
    </row>
    <row r="108" spans="1:33" s="445" customFormat="1" x14ac:dyDescent="0.25">
      <c r="A108" s="487">
        <v>8</v>
      </c>
      <c r="B108" s="487">
        <v>9</v>
      </c>
      <c r="C108" s="496">
        <v>1</v>
      </c>
      <c r="D108" s="665">
        <v>249.99</v>
      </c>
      <c r="E108" s="565"/>
      <c r="F108" s="721">
        <f t="shared" si="14"/>
        <v>249.74</v>
      </c>
      <c r="G108" s="678">
        <f t="shared" si="15"/>
        <v>250.55</v>
      </c>
      <c r="H108" s="409"/>
      <c r="I108" s="382"/>
      <c r="J108" s="382"/>
      <c r="K108" s="382"/>
      <c r="L108" s="382"/>
      <c r="M108" s="382"/>
      <c r="N108" s="382"/>
      <c r="O108" s="409"/>
      <c r="P108" s="409"/>
      <c r="Q108" s="409"/>
      <c r="R108" s="409"/>
      <c r="S108" s="409"/>
      <c r="T108" s="409"/>
      <c r="U108" s="409"/>
      <c r="V108" s="409"/>
      <c r="W108" s="409"/>
      <c r="X108" s="409"/>
      <c r="Y108" s="409"/>
      <c r="AC108" s="529"/>
      <c r="AG108" s="382"/>
    </row>
    <row r="109" spans="1:33" s="445" customFormat="1" x14ac:dyDescent="0.25">
      <c r="A109" s="485">
        <v>9</v>
      </c>
      <c r="B109" s="485">
        <v>10</v>
      </c>
      <c r="C109" s="496">
        <v>1</v>
      </c>
      <c r="D109" s="665">
        <v>230.99</v>
      </c>
      <c r="E109" s="565"/>
      <c r="F109" s="721">
        <f t="shared" si="14"/>
        <v>230.74</v>
      </c>
      <c r="G109" s="678">
        <f t="shared" si="15"/>
        <v>231.55</v>
      </c>
      <c r="H109" s="409"/>
      <c r="I109" s="382"/>
      <c r="J109" s="382"/>
      <c r="K109" s="382"/>
      <c r="L109" s="382"/>
      <c r="M109" s="382"/>
      <c r="N109" s="382"/>
      <c r="O109" s="409"/>
      <c r="P109" s="409"/>
      <c r="Q109" s="409"/>
      <c r="R109" s="409"/>
      <c r="S109" s="409"/>
      <c r="T109" s="409"/>
      <c r="U109" s="409"/>
      <c r="V109" s="409"/>
      <c r="W109" s="409"/>
      <c r="X109" s="409"/>
      <c r="Y109" s="409"/>
      <c r="AC109" s="529"/>
      <c r="AG109" s="382"/>
    </row>
    <row r="110" spans="1:33" s="445" customFormat="1" x14ac:dyDescent="0.25">
      <c r="A110" s="487">
        <v>10</v>
      </c>
      <c r="B110" s="487">
        <v>11</v>
      </c>
      <c r="C110" s="496">
        <v>1</v>
      </c>
      <c r="D110" s="665">
        <v>230.99</v>
      </c>
      <c r="E110" s="565"/>
      <c r="F110" s="721">
        <f t="shared" si="14"/>
        <v>230.74</v>
      </c>
      <c r="G110" s="678">
        <f t="shared" si="15"/>
        <v>231.55</v>
      </c>
      <c r="H110" s="422"/>
      <c r="I110" s="447"/>
      <c r="J110" s="447"/>
      <c r="K110" s="447"/>
      <c r="L110" s="447"/>
      <c r="M110" s="447"/>
      <c r="N110" s="447"/>
      <c r="O110" s="422"/>
      <c r="P110" s="422"/>
      <c r="Q110" s="422"/>
      <c r="R110" s="422"/>
      <c r="S110" s="422"/>
      <c r="T110" s="422"/>
      <c r="U110" s="422"/>
      <c r="V110" s="422"/>
      <c r="W110" s="422"/>
      <c r="X110" s="422"/>
      <c r="Y110" s="422"/>
      <c r="AC110" s="529"/>
      <c r="AG110" s="382"/>
    </row>
    <row r="111" spans="1:33" s="445" customFormat="1" x14ac:dyDescent="0.25">
      <c r="A111" s="485">
        <v>11</v>
      </c>
      <c r="B111" s="485">
        <v>12</v>
      </c>
      <c r="C111" s="496">
        <v>1</v>
      </c>
      <c r="D111" s="665">
        <v>229.99</v>
      </c>
      <c r="E111" s="565"/>
      <c r="F111" s="721">
        <f t="shared" si="14"/>
        <v>229.74</v>
      </c>
      <c r="G111" s="678">
        <f t="shared" si="15"/>
        <v>230.55</v>
      </c>
      <c r="H111" s="423"/>
      <c r="I111" s="382"/>
      <c r="J111" s="382"/>
      <c r="K111" s="382"/>
      <c r="L111" s="382"/>
      <c r="M111" s="382"/>
      <c r="N111" s="382"/>
      <c r="O111" s="423"/>
      <c r="P111" s="423"/>
      <c r="Q111" s="423"/>
      <c r="R111" s="423"/>
      <c r="S111" s="423"/>
      <c r="T111" s="423"/>
      <c r="U111" s="423"/>
      <c r="V111" s="423"/>
      <c r="W111" s="423"/>
      <c r="X111" s="423"/>
      <c r="Y111" s="423"/>
      <c r="AC111" s="529"/>
      <c r="AG111" s="382"/>
    </row>
    <row r="112" spans="1:33" s="445" customFormat="1" x14ac:dyDescent="0.25">
      <c r="A112" s="487">
        <v>12</v>
      </c>
      <c r="B112" s="487">
        <v>13</v>
      </c>
      <c r="C112" s="496">
        <v>1</v>
      </c>
      <c r="D112" s="665">
        <v>229.99</v>
      </c>
      <c r="E112" s="565"/>
      <c r="F112" s="721">
        <f t="shared" si="14"/>
        <v>229.74</v>
      </c>
      <c r="G112" s="678">
        <f t="shared" si="15"/>
        <v>230.55</v>
      </c>
      <c r="H112" s="423"/>
      <c r="I112" s="382"/>
      <c r="J112" s="382"/>
      <c r="K112" s="382"/>
      <c r="L112" s="382"/>
      <c r="M112" s="382"/>
      <c r="N112" s="382"/>
      <c r="O112" s="423"/>
      <c r="P112" s="423"/>
      <c r="Q112" s="423"/>
      <c r="R112" s="423"/>
      <c r="S112" s="423"/>
      <c r="T112" s="423"/>
      <c r="U112" s="423"/>
      <c r="V112" s="423"/>
      <c r="W112" s="423"/>
      <c r="X112" s="423"/>
      <c r="Y112" s="423"/>
      <c r="Z112" s="423"/>
      <c r="AA112" s="423"/>
      <c r="AB112" s="423"/>
      <c r="AC112" s="528"/>
      <c r="AG112" s="382"/>
    </row>
    <row r="113" spans="1:33" s="445" customFormat="1" x14ac:dyDescent="0.25">
      <c r="A113" s="485">
        <v>13</v>
      </c>
      <c r="B113" s="485">
        <v>14</v>
      </c>
      <c r="C113" s="496">
        <v>1</v>
      </c>
      <c r="D113" s="665">
        <v>209.99</v>
      </c>
      <c r="E113" s="565"/>
      <c r="F113" s="721">
        <f t="shared" si="14"/>
        <v>209.74</v>
      </c>
      <c r="G113" s="678">
        <f t="shared" si="15"/>
        <v>210.55</v>
      </c>
      <c r="H113" s="423"/>
      <c r="I113" s="382"/>
      <c r="J113" s="382"/>
      <c r="K113" s="382"/>
      <c r="L113" s="382"/>
      <c r="M113" s="382"/>
      <c r="N113" s="382"/>
      <c r="O113" s="423"/>
      <c r="P113" s="423"/>
      <c r="Q113" s="423"/>
      <c r="R113" s="423"/>
      <c r="S113" s="423"/>
      <c r="T113" s="423"/>
      <c r="U113" s="423"/>
      <c r="V113" s="423"/>
      <c r="W113" s="423"/>
      <c r="X113" s="423"/>
      <c r="Y113" s="423"/>
      <c r="Z113" s="423"/>
      <c r="AA113" s="423"/>
      <c r="AB113" s="423"/>
      <c r="AC113" s="528"/>
      <c r="AD113" s="516"/>
      <c r="AE113" s="517"/>
      <c r="AF113" s="518"/>
      <c r="AG113" s="382"/>
    </row>
    <row r="114" spans="1:33" s="445" customFormat="1" x14ac:dyDescent="0.25">
      <c r="A114" s="487">
        <v>14</v>
      </c>
      <c r="B114" s="487">
        <v>15</v>
      </c>
      <c r="C114" s="496">
        <v>1</v>
      </c>
      <c r="D114" s="665">
        <v>204.99</v>
      </c>
      <c r="E114" s="565"/>
      <c r="F114" s="721">
        <f t="shared" si="14"/>
        <v>204.74</v>
      </c>
      <c r="G114" s="678">
        <f t="shared" si="15"/>
        <v>205.55</v>
      </c>
      <c r="H114" s="423"/>
      <c r="I114" s="382"/>
      <c r="J114" s="382"/>
      <c r="K114" s="382"/>
      <c r="L114" s="382"/>
      <c r="M114" s="382"/>
      <c r="N114" s="382"/>
      <c r="O114" s="423"/>
      <c r="P114" s="423"/>
      <c r="Q114" s="423"/>
      <c r="R114" s="423"/>
      <c r="S114" s="423"/>
      <c r="T114" s="423"/>
      <c r="U114" s="423"/>
      <c r="V114" s="423"/>
      <c r="W114" s="423"/>
      <c r="X114" s="423"/>
      <c r="Y114" s="423"/>
      <c r="Z114" s="423"/>
      <c r="AA114" s="423"/>
      <c r="AB114" s="423"/>
      <c r="AC114" s="528"/>
      <c r="AD114" s="516"/>
      <c r="AE114" s="517"/>
      <c r="AF114" s="518"/>
    </row>
    <row r="115" spans="1:33" s="520" customFormat="1" ht="13.8" thickBot="1" x14ac:dyDescent="0.3">
      <c r="A115" s="485">
        <v>15</v>
      </c>
      <c r="B115" s="485">
        <v>16</v>
      </c>
      <c r="C115" s="496">
        <v>1</v>
      </c>
      <c r="D115" s="665">
        <v>194.9</v>
      </c>
      <c r="E115" s="565"/>
      <c r="F115" s="721">
        <f t="shared" si="14"/>
        <v>194.65</v>
      </c>
      <c r="G115" s="678">
        <f t="shared" si="15"/>
        <v>195.46</v>
      </c>
      <c r="H115" s="423"/>
      <c r="I115" s="382"/>
      <c r="J115" s="382"/>
      <c r="K115" s="382"/>
      <c r="L115" s="382"/>
      <c r="M115" s="382"/>
      <c r="N115" s="382"/>
      <c r="O115" s="423"/>
      <c r="P115" s="423"/>
      <c r="Q115" s="423"/>
      <c r="R115" s="423"/>
      <c r="S115" s="423"/>
      <c r="T115" s="423"/>
      <c r="U115" s="423"/>
      <c r="V115" s="423"/>
      <c r="W115" s="423"/>
      <c r="X115" s="423"/>
      <c r="Y115" s="423"/>
      <c r="Z115" s="423"/>
      <c r="AA115" s="423"/>
      <c r="AB115" s="423"/>
      <c r="AC115" s="528"/>
      <c r="AD115" s="516"/>
      <c r="AE115" s="517"/>
      <c r="AF115" s="518"/>
      <c r="AG115" s="445"/>
    </row>
    <row r="116" spans="1:33" s="445" customFormat="1" x14ac:dyDescent="0.25">
      <c r="A116" s="487">
        <v>16</v>
      </c>
      <c r="B116" s="487">
        <v>17</v>
      </c>
      <c r="C116" s="496">
        <v>1</v>
      </c>
      <c r="D116" s="665">
        <v>165</v>
      </c>
      <c r="E116" s="565"/>
      <c r="F116" s="721">
        <f t="shared" si="14"/>
        <v>164.75</v>
      </c>
      <c r="G116" s="678">
        <f t="shared" si="15"/>
        <v>175.56</v>
      </c>
      <c r="H116" s="423"/>
      <c r="I116" s="382"/>
      <c r="J116" s="382"/>
      <c r="K116" s="382"/>
      <c r="L116" s="382"/>
      <c r="M116" s="382"/>
      <c r="N116" s="382"/>
      <c r="O116" s="423"/>
      <c r="P116" s="423"/>
      <c r="Q116" s="423"/>
      <c r="R116" s="423"/>
      <c r="S116" s="423"/>
      <c r="T116" s="423"/>
      <c r="U116" s="423"/>
      <c r="V116" s="423"/>
      <c r="W116" s="423"/>
      <c r="X116" s="423"/>
      <c r="Y116" s="423"/>
      <c r="Z116" s="423"/>
      <c r="AA116" s="423"/>
      <c r="AB116" s="423"/>
      <c r="AC116" s="528"/>
      <c r="AD116" s="516"/>
      <c r="AE116" s="517"/>
      <c r="AF116" s="518"/>
    </row>
    <row r="117" spans="1:33" s="382" customFormat="1" x14ac:dyDescent="0.25">
      <c r="A117" s="485">
        <v>17</v>
      </c>
      <c r="B117" s="485">
        <v>18</v>
      </c>
      <c r="C117" s="496">
        <v>1</v>
      </c>
      <c r="D117" s="665">
        <v>224.9</v>
      </c>
      <c r="E117" s="565"/>
      <c r="F117" s="721">
        <f t="shared" si="14"/>
        <v>224.65</v>
      </c>
      <c r="G117" s="678">
        <f t="shared" si="15"/>
        <v>225.46</v>
      </c>
      <c r="H117" s="423"/>
      <c r="O117" s="423"/>
      <c r="P117" s="423"/>
      <c r="Q117" s="423"/>
      <c r="R117" s="423"/>
      <c r="S117" s="423"/>
      <c r="T117" s="423"/>
      <c r="U117" s="423"/>
      <c r="V117" s="423"/>
      <c r="W117" s="423"/>
      <c r="X117" s="423"/>
      <c r="Y117" s="423"/>
      <c r="Z117" s="423"/>
      <c r="AA117" s="423"/>
      <c r="AB117" s="423"/>
      <c r="AC117" s="528"/>
      <c r="AD117" s="516"/>
      <c r="AE117" s="639"/>
      <c r="AF117" s="445"/>
      <c r="AG117" s="445"/>
    </row>
    <row r="118" spans="1:33" s="382" customFormat="1" x14ac:dyDescent="0.25">
      <c r="A118" s="487">
        <v>18</v>
      </c>
      <c r="B118" s="487">
        <v>19</v>
      </c>
      <c r="C118" s="496">
        <v>1</v>
      </c>
      <c r="D118" s="665">
        <v>249.99299999999999</v>
      </c>
      <c r="E118" s="565"/>
      <c r="F118" s="721">
        <f t="shared" si="14"/>
        <v>249.74299999999999</v>
      </c>
      <c r="G118" s="678">
        <f t="shared" ref="G118:G123" si="16">D118+0.56</f>
        <v>250.553</v>
      </c>
      <c r="H118" s="426"/>
      <c r="O118" s="425"/>
      <c r="P118" s="425"/>
      <c r="Q118" s="426"/>
      <c r="R118" s="426"/>
      <c r="S118" s="426"/>
      <c r="T118" s="426"/>
      <c r="U118" s="426"/>
      <c r="V118" s="426"/>
      <c r="W118" s="426"/>
      <c r="X118" s="426"/>
      <c r="Y118" s="426"/>
      <c r="Z118" s="426"/>
      <c r="AA118" s="426"/>
      <c r="AB118" s="426"/>
      <c r="AC118" s="530"/>
      <c r="AD118" s="445"/>
      <c r="AE118" s="445"/>
      <c r="AF118" s="445"/>
      <c r="AG118" s="445"/>
    </row>
    <row r="119" spans="1:33" s="382" customFormat="1" x14ac:dyDescent="0.25">
      <c r="A119" s="485">
        <v>19</v>
      </c>
      <c r="B119" s="485">
        <v>20</v>
      </c>
      <c r="C119" s="496">
        <v>1</v>
      </c>
      <c r="D119" s="665">
        <v>249.99</v>
      </c>
      <c r="E119" s="565"/>
      <c r="F119" s="721">
        <f t="shared" si="14"/>
        <v>249.74</v>
      </c>
      <c r="G119" s="678">
        <f t="shared" si="16"/>
        <v>250.55</v>
      </c>
      <c r="H119" s="427"/>
      <c r="O119" s="454"/>
      <c r="P119" s="454"/>
      <c r="Q119" s="427"/>
      <c r="R119" s="427"/>
      <c r="S119" s="427"/>
      <c r="T119" s="427"/>
      <c r="U119" s="427"/>
      <c r="V119" s="427"/>
      <c r="W119" s="427"/>
      <c r="X119" s="427"/>
      <c r="Y119" s="427"/>
      <c r="Z119" s="427"/>
      <c r="AA119" s="427"/>
      <c r="AB119" s="427"/>
      <c r="AC119" s="531"/>
      <c r="AD119" s="640"/>
      <c r="AE119" s="522"/>
      <c r="AF119" s="445"/>
      <c r="AG119" s="445"/>
    </row>
    <row r="120" spans="1:33" s="445" customFormat="1" x14ac:dyDescent="0.25">
      <c r="A120" s="487">
        <v>20</v>
      </c>
      <c r="B120" s="487">
        <v>21</v>
      </c>
      <c r="C120" s="496">
        <v>1</v>
      </c>
      <c r="D120" s="665">
        <v>249.99</v>
      </c>
      <c r="E120" s="565"/>
      <c r="F120" s="721">
        <f t="shared" si="14"/>
        <v>249.74</v>
      </c>
      <c r="G120" s="678">
        <f t="shared" si="16"/>
        <v>250.55</v>
      </c>
      <c r="H120" s="427"/>
      <c r="I120" s="382"/>
      <c r="J120" s="382"/>
      <c r="K120" s="382"/>
      <c r="L120" s="382"/>
      <c r="M120" s="382"/>
      <c r="N120" s="382"/>
      <c r="O120" s="454"/>
      <c r="P120" s="454"/>
      <c r="Q120" s="427"/>
      <c r="R120" s="427"/>
      <c r="S120" s="427"/>
      <c r="T120" s="427"/>
      <c r="U120" s="427"/>
      <c r="V120" s="427"/>
      <c r="W120" s="427"/>
      <c r="X120" s="427"/>
      <c r="Y120" s="427"/>
      <c r="Z120" s="427"/>
      <c r="AA120" s="427"/>
      <c r="AB120" s="427"/>
      <c r="AC120" s="531"/>
      <c r="AD120" s="522"/>
      <c r="AE120" s="522"/>
    </row>
    <row r="121" spans="1:33" s="445" customFormat="1" x14ac:dyDescent="0.25">
      <c r="A121" s="485">
        <v>21</v>
      </c>
      <c r="B121" s="485">
        <v>22</v>
      </c>
      <c r="C121" s="496">
        <v>1</v>
      </c>
      <c r="D121" s="665">
        <v>249.99</v>
      </c>
      <c r="E121" s="565"/>
      <c r="F121" s="721">
        <f t="shared" si="14"/>
        <v>249.74</v>
      </c>
      <c r="G121" s="678">
        <f t="shared" si="16"/>
        <v>250.55</v>
      </c>
      <c r="H121" s="427"/>
      <c r="I121" s="382"/>
      <c r="J121" s="478"/>
      <c r="K121" s="382"/>
      <c r="L121" s="382"/>
      <c r="M121" s="382"/>
      <c r="N121" s="382"/>
      <c r="O121" s="454"/>
      <c r="P121" s="454"/>
      <c r="Q121" s="427"/>
      <c r="R121" s="427"/>
      <c r="S121" s="427"/>
      <c r="T121" s="427"/>
      <c r="U121" s="427"/>
      <c r="V121" s="427"/>
      <c r="W121" s="427"/>
      <c r="X121" s="427"/>
      <c r="Y121" s="427"/>
      <c r="Z121" s="427"/>
      <c r="AA121" s="427"/>
      <c r="AB121" s="427"/>
      <c r="AC121" s="531"/>
      <c r="AD121" s="382"/>
      <c r="AE121" s="382"/>
    </row>
    <row r="122" spans="1:33" s="445" customFormat="1" x14ac:dyDescent="0.25">
      <c r="A122" s="487">
        <v>22</v>
      </c>
      <c r="B122" s="487">
        <v>23</v>
      </c>
      <c r="C122" s="496">
        <v>1</v>
      </c>
      <c r="D122" s="665">
        <v>180</v>
      </c>
      <c r="E122" s="565"/>
      <c r="F122" s="721">
        <f t="shared" si="14"/>
        <v>179.75</v>
      </c>
      <c r="G122" s="678">
        <f t="shared" si="16"/>
        <v>180.56</v>
      </c>
      <c r="H122" s="427"/>
      <c r="I122" s="382"/>
      <c r="J122" s="382"/>
      <c r="K122" s="382"/>
      <c r="L122" s="382"/>
      <c r="M122" s="382"/>
      <c r="N122" s="382"/>
      <c r="O122" s="454"/>
      <c r="P122" s="454"/>
      <c r="Q122" s="427"/>
      <c r="R122" s="427"/>
      <c r="S122" s="427"/>
      <c r="T122" s="427"/>
      <c r="U122" s="427"/>
      <c r="V122" s="427"/>
      <c r="W122" s="427"/>
      <c r="X122" s="427"/>
      <c r="Y122" s="427"/>
      <c r="Z122" s="427"/>
      <c r="AA122" s="427"/>
      <c r="AB122" s="427"/>
      <c r="AC122" s="531"/>
      <c r="AD122" s="516"/>
      <c r="AE122" s="639"/>
      <c r="AF122" s="641"/>
    </row>
    <row r="123" spans="1:33" s="445" customFormat="1" x14ac:dyDescent="0.25">
      <c r="A123" s="487">
        <v>23</v>
      </c>
      <c r="B123" s="485">
        <v>24</v>
      </c>
      <c r="C123" s="496">
        <v>1</v>
      </c>
      <c r="D123" s="665">
        <v>179.99</v>
      </c>
      <c r="E123" s="629"/>
      <c r="F123" s="721">
        <f t="shared" si="14"/>
        <v>179.74</v>
      </c>
      <c r="G123" s="678">
        <f t="shared" si="16"/>
        <v>180.55</v>
      </c>
      <c r="H123" s="430"/>
      <c r="I123" s="382"/>
      <c r="J123" s="382"/>
      <c r="K123" s="382"/>
      <c r="L123" s="382"/>
      <c r="M123" s="382"/>
      <c r="N123" s="382"/>
      <c r="O123" s="455"/>
      <c r="P123" s="455"/>
      <c r="Q123" s="430"/>
      <c r="R123" s="430"/>
      <c r="S123" s="430"/>
      <c r="T123" s="430"/>
      <c r="U123" s="430"/>
      <c r="V123" s="430"/>
      <c r="W123" s="430"/>
      <c r="X123" s="430"/>
      <c r="Y123" s="430"/>
      <c r="Z123" s="427"/>
      <c r="AA123" s="427"/>
      <c r="AB123" s="427"/>
      <c r="AC123" s="531"/>
      <c r="AD123" s="516"/>
      <c r="AE123" s="639"/>
      <c r="AF123" s="641"/>
    </row>
    <row r="124" spans="1:33" s="445" customFormat="1" x14ac:dyDescent="0.25">
      <c r="A124" s="709">
        <v>24</v>
      </c>
      <c r="B124" s="487">
        <v>1</v>
      </c>
      <c r="C124" s="496">
        <v>1</v>
      </c>
      <c r="D124" s="665">
        <v>155</v>
      </c>
      <c r="E124" s="560"/>
      <c r="F124" s="721">
        <f t="shared" si="14"/>
        <v>154.75</v>
      </c>
      <c r="G124" s="678">
        <f>D124+0.56</f>
        <v>155.56</v>
      </c>
      <c r="H124" s="430"/>
      <c r="I124" s="382"/>
      <c r="J124" s="382"/>
      <c r="K124" s="382"/>
      <c r="L124" s="382"/>
      <c r="M124" s="382"/>
      <c r="N124" s="382"/>
      <c r="O124" s="455"/>
      <c r="P124" s="455"/>
      <c r="Q124" s="430"/>
      <c r="R124" s="430"/>
      <c r="S124" s="430"/>
      <c r="T124" s="430"/>
      <c r="U124" s="430"/>
      <c r="V124" s="430"/>
      <c r="W124" s="430"/>
      <c r="X124" s="430"/>
      <c r="Y124" s="430"/>
      <c r="Z124" s="427"/>
      <c r="AA124" s="427"/>
      <c r="AB124" s="427"/>
      <c r="AC124" s="531"/>
      <c r="AD124" s="522"/>
      <c r="AE124" s="522"/>
      <c r="AF124" s="641"/>
    </row>
    <row r="125" spans="1:33" s="445" customFormat="1" ht="13.8" thickBot="1" x14ac:dyDescent="0.3">
      <c r="A125" s="382"/>
      <c r="B125" s="382"/>
      <c r="C125" s="382"/>
      <c r="D125" s="711"/>
      <c r="E125" s="382"/>
      <c r="F125" s="382"/>
      <c r="G125" s="485"/>
      <c r="H125" s="430"/>
      <c r="I125" s="382"/>
      <c r="J125" s="382"/>
      <c r="K125" s="382"/>
      <c r="L125" s="382"/>
      <c r="M125" s="382"/>
      <c r="N125" s="382"/>
      <c r="O125" s="455"/>
      <c r="P125" s="455"/>
      <c r="Q125" s="430"/>
      <c r="R125" s="430"/>
      <c r="S125" s="430"/>
      <c r="T125" s="430"/>
      <c r="U125" s="430"/>
      <c r="V125" s="430"/>
      <c r="W125" s="430"/>
      <c r="X125" s="430"/>
      <c r="Y125" s="430"/>
      <c r="Z125" s="427"/>
      <c r="AA125" s="427"/>
      <c r="AB125" s="427"/>
      <c r="AC125" s="531"/>
      <c r="AF125" s="514"/>
      <c r="AG125" s="520"/>
    </row>
    <row r="126" spans="1:33" s="445" customFormat="1" ht="17.399999999999999" x14ac:dyDescent="0.3">
      <c r="A126" s="484"/>
      <c r="B126" s="498" t="s">
        <v>253</v>
      </c>
      <c r="C126" s="499"/>
      <c r="D126" s="499"/>
      <c r="E126" s="499"/>
      <c r="F126" s="499"/>
      <c r="G126" s="485"/>
      <c r="H126" s="485"/>
      <c r="I126" s="382"/>
      <c r="J126" s="382"/>
      <c r="K126" s="382"/>
      <c r="L126" s="382"/>
      <c r="M126" s="382"/>
      <c r="N126" s="382"/>
      <c r="O126" s="501"/>
      <c r="P126" s="501"/>
      <c r="Q126" s="485"/>
      <c r="R126" s="485"/>
      <c r="S126" s="485"/>
      <c r="T126" s="485"/>
      <c r="U126" s="485"/>
      <c r="V126" s="485"/>
      <c r="W126" s="485"/>
      <c r="X126" s="485"/>
      <c r="Y126" s="430"/>
      <c r="Z126" s="427"/>
      <c r="AA126" s="427"/>
      <c r="AB126" s="427"/>
      <c r="AC126" s="531"/>
      <c r="AF126" s="514"/>
    </row>
    <row r="127" spans="1:33" s="445" customFormat="1" ht="13.8" thickBot="1" x14ac:dyDescent="0.3">
      <c r="A127" s="485"/>
      <c r="B127" s="485"/>
      <c r="C127" s="485"/>
      <c r="D127" s="485"/>
      <c r="E127" s="485"/>
      <c r="F127" s="485"/>
      <c r="G127" s="485"/>
      <c r="H127" s="485"/>
      <c r="I127" s="382"/>
      <c r="J127" s="382"/>
      <c r="K127" s="382"/>
      <c r="L127" s="382"/>
      <c r="M127" s="382"/>
      <c r="N127" s="382"/>
      <c r="O127" s="501"/>
      <c r="P127" s="501"/>
      <c r="Q127" s="485"/>
      <c r="R127" s="485"/>
      <c r="S127" s="485"/>
      <c r="T127" s="485"/>
      <c r="U127" s="485"/>
      <c r="V127" s="485"/>
      <c r="W127" s="485"/>
      <c r="X127" s="485"/>
      <c r="Y127" s="430"/>
      <c r="Z127" s="427"/>
      <c r="AA127" s="427"/>
      <c r="AB127" s="427"/>
      <c r="AC127" s="531"/>
      <c r="AF127" s="382"/>
      <c r="AG127" s="382"/>
    </row>
    <row r="128" spans="1:33" s="445" customFormat="1" ht="18" thickBot="1" x14ac:dyDescent="0.35">
      <c r="A128" s="488" t="s">
        <v>7</v>
      </c>
      <c r="B128" s="489"/>
      <c r="C128" s="489" t="s">
        <v>279</v>
      </c>
      <c r="D128" s="490"/>
      <c r="E128" s="489"/>
      <c r="F128" s="500" t="s">
        <v>290</v>
      </c>
      <c r="G128" s="490"/>
      <c r="H128" s="485" t="s">
        <v>295</v>
      </c>
      <c r="I128" s="382"/>
      <c r="J128" s="382"/>
      <c r="K128" s="382"/>
      <c r="L128" s="382"/>
      <c r="M128" s="382"/>
      <c r="N128" s="382"/>
      <c r="O128" s="501"/>
      <c r="P128" s="501"/>
      <c r="Q128" s="485"/>
      <c r="R128" s="485"/>
      <c r="S128" s="485"/>
      <c r="T128" s="485"/>
      <c r="U128" s="485"/>
      <c r="V128" s="485"/>
      <c r="W128" s="485"/>
      <c r="X128" s="485"/>
      <c r="Y128" s="430"/>
      <c r="Z128" s="430"/>
      <c r="AA128" s="430"/>
      <c r="AB128" s="430"/>
      <c r="AC128" s="532"/>
      <c r="AF128" s="382"/>
      <c r="AG128" s="382"/>
    </row>
    <row r="129" spans="1:33" s="445" customFormat="1" ht="17.399999999999999" x14ac:dyDescent="0.3">
      <c r="A129" s="494" t="s">
        <v>254</v>
      </c>
      <c r="B129" s="495" t="s">
        <v>255</v>
      </c>
      <c r="C129" s="495"/>
      <c r="D129" s="491"/>
      <c r="E129" s="491"/>
      <c r="F129" s="491" t="s">
        <v>383</v>
      </c>
      <c r="G129" s="485" t="s">
        <v>384</v>
      </c>
      <c r="H129" s="502">
        <v>4.3999999999999997E-2</v>
      </c>
      <c r="I129" s="503" t="s">
        <v>297</v>
      </c>
      <c r="J129" s="382"/>
      <c r="K129" s="382"/>
      <c r="L129" s="382"/>
      <c r="M129" s="504" t="s">
        <v>299</v>
      </c>
      <c r="N129" s="505"/>
      <c r="O129" s="501"/>
      <c r="P129" s="501"/>
      <c r="Q129" s="485"/>
      <c r="R129" s="485"/>
      <c r="S129" s="485"/>
      <c r="T129" s="485"/>
      <c r="U129" s="485"/>
      <c r="V129" s="485"/>
      <c r="W129" s="485"/>
      <c r="X129" s="485"/>
      <c r="Y129" s="430"/>
      <c r="Z129" s="430"/>
      <c r="AA129" s="430"/>
      <c r="AB129" s="430"/>
      <c r="AC129" s="532"/>
      <c r="AF129" s="382"/>
      <c r="AG129" s="382"/>
    </row>
    <row r="130" spans="1:33" s="445" customFormat="1" x14ac:dyDescent="0.25">
      <c r="A130" s="487">
        <v>24</v>
      </c>
      <c r="B130" s="485">
        <v>1</v>
      </c>
      <c r="C130" s="496">
        <v>1</v>
      </c>
      <c r="D130" s="665">
        <v>75.989999999999995</v>
      </c>
      <c r="E130" s="629"/>
      <c r="F130" s="720">
        <f t="shared" ref="F130:F154" si="17">D130-0.25</f>
        <v>75.739999999999995</v>
      </c>
      <c r="G130" s="678">
        <f>D130+0.56</f>
        <v>76.55</v>
      </c>
      <c r="I130" s="506" t="s">
        <v>296</v>
      </c>
      <c r="J130" s="507"/>
      <c r="K130" s="382"/>
      <c r="L130" s="382"/>
      <c r="M130" s="382"/>
      <c r="N130" s="382"/>
      <c r="O130" s="501"/>
      <c r="P130" s="501"/>
      <c r="Q130" s="485"/>
      <c r="R130" s="485"/>
      <c r="S130" s="485"/>
      <c r="T130" s="485"/>
      <c r="U130" s="485"/>
      <c r="V130" s="485"/>
      <c r="W130" s="485"/>
      <c r="X130" s="485"/>
      <c r="Y130" s="430"/>
      <c r="Z130" s="430"/>
      <c r="AA130" s="511"/>
      <c r="AB130" s="430"/>
      <c r="AC130" s="532"/>
      <c r="AD130" s="382"/>
      <c r="AE130" s="382"/>
      <c r="AF130" s="382"/>
    </row>
    <row r="131" spans="1:33" s="445" customFormat="1" x14ac:dyDescent="0.25">
      <c r="A131" s="485">
        <v>1</v>
      </c>
      <c r="B131" s="485">
        <v>2</v>
      </c>
      <c r="C131" s="496">
        <v>1</v>
      </c>
      <c r="D131" s="665">
        <v>151.19999999999999</v>
      </c>
      <c r="E131" s="565"/>
      <c r="F131" s="720">
        <f t="shared" si="17"/>
        <v>150.94999999999999</v>
      </c>
      <c r="G131" s="678">
        <f t="shared" ref="G131:G153" si="18">D131+0.56</f>
        <v>151.76</v>
      </c>
      <c r="I131" s="506"/>
      <c r="J131" s="507"/>
      <c r="K131" s="382"/>
      <c r="L131" s="382"/>
      <c r="M131" s="382"/>
      <c r="N131" s="382"/>
      <c r="O131" s="501"/>
      <c r="P131" s="501"/>
      <c r="Q131" s="485"/>
      <c r="R131" s="485"/>
      <c r="S131" s="485"/>
      <c r="T131" s="485"/>
      <c r="U131" s="485"/>
      <c r="V131" s="485"/>
      <c r="W131" s="485"/>
      <c r="X131" s="485"/>
      <c r="Y131" s="430"/>
      <c r="Z131" s="430"/>
      <c r="AA131" s="511"/>
      <c r="AB131" s="430"/>
      <c r="AC131" s="532"/>
      <c r="AD131" s="446"/>
      <c r="AE131" s="382"/>
      <c r="AF131" s="382"/>
    </row>
    <row r="132" spans="1:33" s="445" customFormat="1" x14ac:dyDescent="0.25">
      <c r="A132" s="487">
        <v>2</v>
      </c>
      <c r="B132" s="485">
        <v>3</v>
      </c>
      <c r="C132" s="496">
        <v>1</v>
      </c>
      <c r="D132" s="665">
        <v>110</v>
      </c>
      <c r="E132" s="565"/>
      <c r="F132" s="720">
        <f t="shared" si="17"/>
        <v>109.75</v>
      </c>
      <c r="G132" s="678">
        <f t="shared" si="18"/>
        <v>110.56</v>
      </c>
      <c r="I132" s="506"/>
      <c r="J132" s="507"/>
      <c r="K132" s="415"/>
      <c r="L132" s="415"/>
      <c r="M132" s="415"/>
      <c r="N132" s="415"/>
      <c r="O132" s="501"/>
      <c r="P132" s="501"/>
      <c r="Q132" s="485"/>
      <c r="R132" s="485"/>
      <c r="S132" s="485"/>
      <c r="T132" s="485"/>
      <c r="U132" s="485"/>
      <c r="V132" s="485"/>
      <c r="W132" s="485"/>
      <c r="X132" s="485"/>
      <c r="Y132" s="430"/>
      <c r="Z132" s="430"/>
      <c r="AA132" s="511"/>
      <c r="AB132" s="430"/>
      <c r="AC132" s="532"/>
      <c r="AF132" s="382"/>
    </row>
    <row r="133" spans="1:33" s="445" customFormat="1" x14ac:dyDescent="0.25">
      <c r="A133" s="485">
        <v>3</v>
      </c>
      <c r="B133" s="485">
        <v>4</v>
      </c>
      <c r="C133" s="496">
        <v>1</v>
      </c>
      <c r="D133" s="665">
        <v>95</v>
      </c>
      <c r="E133" s="565"/>
      <c r="F133" s="720">
        <f t="shared" si="17"/>
        <v>94.75</v>
      </c>
      <c r="G133" s="678">
        <f t="shared" si="18"/>
        <v>95.56</v>
      </c>
      <c r="I133" s="508"/>
      <c r="J133" s="507"/>
      <c r="K133" s="485"/>
      <c r="L133" s="485"/>
      <c r="M133" s="501"/>
      <c r="N133" s="501"/>
      <c r="O133" s="485"/>
      <c r="P133" s="485"/>
      <c r="Q133" s="485"/>
      <c r="R133" s="485"/>
      <c r="S133" s="485"/>
      <c r="T133" s="485"/>
      <c r="U133" s="485"/>
      <c r="V133" s="485"/>
      <c r="W133" s="485"/>
      <c r="X133" s="485"/>
      <c r="Y133" s="430"/>
      <c r="Z133" s="430"/>
      <c r="AA133" s="511"/>
      <c r="AB133" s="430"/>
      <c r="AC133" s="532"/>
      <c r="AD133" s="479"/>
      <c r="AE133" s="480"/>
      <c r="AF133" s="382"/>
    </row>
    <row r="134" spans="1:33" s="445" customFormat="1" x14ac:dyDescent="0.25">
      <c r="A134" s="487">
        <v>4</v>
      </c>
      <c r="B134" s="485">
        <v>5</v>
      </c>
      <c r="C134" s="496">
        <v>1</v>
      </c>
      <c r="D134" s="665">
        <v>100</v>
      </c>
      <c r="E134" s="565"/>
      <c r="F134" s="720">
        <f t="shared" si="17"/>
        <v>99.75</v>
      </c>
      <c r="G134" s="678">
        <f t="shared" si="18"/>
        <v>100.56</v>
      </c>
      <c r="I134" s="508"/>
      <c r="J134" s="507"/>
      <c r="K134" s="485"/>
      <c r="L134" s="485"/>
      <c r="M134" s="501"/>
      <c r="N134" s="501"/>
      <c r="O134" s="485"/>
      <c r="P134" s="485"/>
      <c r="Q134" s="485"/>
      <c r="R134" s="485"/>
      <c r="S134" s="485"/>
      <c r="T134" s="485"/>
      <c r="U134" s="485"/>
      <c r="V134" s="485"/>
      <c r="W134" s="485"/>
      <c r="X134" s="485"/>
      <c r="Y134" s="430"/>
      <c r="Z134" s="430"/>
      <c r="AA134" s="511"/>
      <c r="AB134" s="430"/>
      <c r="AC134" s="532"/>
      <c r="AD134" s="446"/>
      <c r="AE134" s="382"/>
      <c r="AF134" s="382"/>
    </row>
    <row r="135" spans="1:33" s="445" customFormat="1" x14ac:dyDescent="0.25">
      <c r="A135" s="485">
        <v>5</v>
      </c>
      <c r="B135" s="485">
        <v>6</v>
      </c>
      <c r="C135" s="496">
        <v>1</v>
      </c>
      <c r="D135" s="665">
        <v>150.01</v>
      </c>
      <c r="E135" s="565"/>
      <c r="F135" s="720">
        <f t="shared" si="17"/>
        <v>149.76</v>
      </c>
      <c r="G135" s="678">
        <f t="shared" si="18"/>
        <v>150.57</v>
      </c>
      <c r="I135" s="508"/>
      <c r="J135" s="507"/>
      <c r="K135" s="485"/>
      <c r="L135" s="485"/>
      <c r="M135" s="501"/>
      <c r="N135" s="501"/>
      <c r="O135" s="485"/>
      <c r="P135" s="485"/>
      <c r="Q135" s="485"/>
      <c r="R135" s="485"/>
      <c r="S135" s="485"/>
      <c r="T135" s="485"/>
      <c r="U135" s="485"/>
      <c r="V135" s="485"/>
      <c r="W135" s="485"/>
      <c r="X135" s="485"/>
      <c r="Y135" s="430"/>
      <c r="Z135" s="430"/>
      <c r="AA135" s="511"/>
      <c r="AB135" s="430"/>
      <c r="AC135" s="532"/>
      <c r="AD135" s="446"/>
      <c r="AE135" s="382"/>
      <c r="AF135" s="382"/>
    </row>
    <row r="136" spans="1:33" s="445" customFormat="1" x14ac:dyDescent="0.25">
      <c r="A136" s="487">
        <v>6</v>
      </c>
      <c r="B136" s="485">
        <v>7</v>
      </c>
      <c r="C136" s="496">
        <v>1</v>
      </c>
      <c r="D136" s="665">
        <v>180</v>
      </c>
      <c r="E136" s="565"/>
      <c r="F136" s="720">
        <f t="shared" si="17"/>
        <v>179.75</v>
      </c>
      <c r="G136" s="678">
        <f t="shared" si="18"/>
        <v>180.56</v>
      </c>
      <c r="I136" s="508"/>
      <c r="J136" s="507"/>
      <c r="K136" s="485"/>
      <c r="L136" s="485"/>
      <c r="M136" s="501"/>
      <c r="N136" s="501"/>
      <c r="O136" s="485"/>
      <c r="P136" s="485"/>
      <c r="Q136" s="485"/>
      <c r="R136" s="485"/>
      <c r="S136" s="485"/>
      <c r="T136" s="485"/>
      <c r="U136" s="485"/>
      <c r="V136" s="485"/>
      <c r="W136" s="485"/>
      <c r="X136" s="485"/>
      <c r="Y136" s="430"/>
      <c r="Z136" s="409"/>
      <c r="AA136" s="511"/>
      <c r="AB136" s="409"/>
      <c r="AC136" s="527"/>
      <c r="AD136" s="446"/>
      <c r="AE136" s="382"/>
      <c r="AF136" s="382"/>
    </row>
    <row r="137" spans="1:33" s="445" customFormat="1" x14ac:dyDescent="0.25">
      <c r="A137" s="485">
        <v>7</v>
      </c>
      <c r="B137" s="485">
        <v>8</v>
      </c>
      <c r="C137" s="496">
        <v>1</v>
      </c>
      <c r="D137" s="665">
        <v>200.99</v>
      </c>
      <c r="E137" s="565"/>
      <c r="F137" s="721">
        <f t="shared" si="17"/>
        <v>200.74</v>
      </c>
      <c r="G137" s="678">
        <f t="shared" si="18"/>
        <v>201.55</v>
      </c>
      <c r="I137" s="508"/>
      <c r="J137" s="507"/>
      <c r="K137" s="485"/>
      <c r="L137" s="485"/>
      <c r="M137" s="501"/>
      <c r="N137" s="501"/>
      <c r="O137" s="485"/>
      <c r="P137" s="485"/>
      <c r="Q137" s="485"/>
      <c r="R137" s="485"/>
      <c r="S137" s="485"/>
      <c r="T137" s="485"/>
      <c r="U137" s="485"/>
      <c r="V137" s="485"/>
      <c r="W137" s="485"/>
      <c r="X137" s="485"/>
      <c r="Y137" s="430"/>
      <c r="Z137" s="409"/>
      <c r="AA137" s="511"/>
      <c r="AB137" s="409"/>
      <c r="AC137" s="527"/>
      <c r="AD137" s="446"/>
      <c r="AE137" s="382"/>
      <c r="AF137" s="382"/>
    </row>
    <row r="138" spans="1:33" s="445" customFormat="1" x14ac:dyDescent="0.25">
      <c r="A138" s="487">
        <v>8</v>
      </c>
      <c r="B138" s="485">
        <v>9</v>
      </c>
      <c r="C138" s="496">
        <v>1</v>
      </c>
      <c r="D138" s="665">
        <v>249.99</v>
      </c>
      <c r="E138" s="565"/>
      <c r="F138" s="721">
        <f t="shared" si="17"/>
        <v>249.74</v>
      </c>
      <c r="G138" s="678">
        <f t="shared" si="18"/>
        <v>250.55</v>
      </c>
      <c r="I138" s="508"/>
      <c r="J138" s="507"/>
      <c r="K138" s="485"/>
      <c r="L138" s="485"/>
      <c r="M138" s="501"/>
      <c r="N138" s="501"/>
      <c r="O138" s="485"/>
      <c r="P138" s="485"/>
      <c r="Q138" s="485"/>
      <c r="R138" s="485"/>
      <c r="S138" s="485"/>
      <c r="T138" s="485"/>
      <c r="U138" s="485"/>
      <c r="V138" s="485"/>
      <c r="W138" s="485"/>
      <c r="X138" s="485"/>
      <c r="Y138" s="430"/>
      <c r="Z138" s="409"/>
      <c r="AA138" s="511"/>
      <c r="AB138" s="409"/>
      <c r="AC138" s="527"/>
      <c r="AD138" s="435"/>
      <c r="AE138" s="436"/>
      <c r="AF138" s="446"/>
    </row>
    <row r="139" spans="1:33" s="445" customFormat="1" x14ac:dyDescent="0.25">
      <c r="A139" s="485">
        <v>9</v>
      </c>
      <c r="B139" s="485">
        <v>10</v>
      </c>
      <c r="C139" s="496">
        <v>1</v>
      </c>
      <c r="D139" s="665">
        <v>230.99</v>
      </c>
      <c r="E139" s="565"/>
      <c r="F139" s="721">
        <f t="shared" si="17"/>
        <v>230.74</v>
      </c>
      <c r="G139" s="678">
        <f t="shared" si="18"/>
        <v>231.55</v>
      </c>
      <c r="I139" s="508"/>
      <c r="J139" s="507"/>
      <c r="K139" s="485"/>
      <c r="L139" s="485"/>
      <c r="M139" s="501"/>
      <c r="N139" s="501"/>
      <c r="O139" s="485"/>
      <c r="P139" s="485"/>
      <c r="Q139" s="485"/>
      <c r="R139" s="485"/>
      <c r="S139" s="485"/>
      <c r="T139" s="485"/>
      <c r="U139" s="485"/>
      <c r="V139" s="485"/>
      <c r="W139" s="485"/>
      <c r="X139" s="485"/>
      <c r="Y139" s="430"/>
      <c r="Z139" s="409"/>
      <c r="AA139" s="511"/>
      <c r="AB139" s="409"/>
      <c r="AC139" s="527"/>
      <c r="AD139" s="437"/>
      <c r="AE139" s="437"/>
      <c r="AF139" s="446"/>
    </row>
    <row r="140" spans="1:33" s="445" customFormat="1" x14ac:dyDescent="0.25">
      <c r="A140" s="487">
        <v>10</v>
      </c>
      <c r="B140" s="485">
        <v>11</v>
      </c>
      <c r="C140" s="496">
        <v>1</v>
      </c>
      <c r="D140" s="665">
        <v>230.99</v>
      </c>
      <c r="E140" s="565"/>
      <c r="F140" s="721">
        <f t="shared" si="17"/>
        <v>230.74</v>
      </c>
      <c r="G140" s="678">
        <f t="shared" si="18"/>
        <v>231.55</v>
      </c>
      <c r="I140" s="508"/>
      <c r="J140" s="507"/>
      <c r="K140" s="485"/>
      <c r="L140" s="485"/>
      <c r="M140" s="501"/>
      <c r="N140" s="501"/>
      <c r="O140" s="485"/>
      <c r="P140" s="485"/>
      <c r="Q140" s="485"/>
      <c r="R140" s="485"/>
      <c r="S140" s="485"/>
      <c r="T140" s="485"/>
      <c r="U140" s="485"/>
      <c r="V140" s="485"/>
      <c r="W140" s="485"/>
      <c r="X140" s="485"/>
      <c r="Y140" s="430"/>
      <c r="Z140" s="409"/>
      <c r="AA140" s="511"/>
      <c r="AB140" s="409"/>
      <c r="AC140" s="527"/>
      <c r="AD140" s="435"/>
      <c r="AE140" s="436"/>
      <c r="AF140" s="446"/>
    </row>
    <row r="141" spans="1:33" s="445" customFormat="1" x14ac:dyDescent="0.25">
      <c r="A141" s="485">
        <v>11</v>
      </c>
      <c r="B141" s="485">
        <v>12</v>
      </c>
      <c r="C141" s="496">
        <v>1</v>
      </c>
      <c r="D141" s="665">
        <v>229.99</v>
      </c>
      <c r="E141" s="565"/>
      <c r="F141" s="721">
        <f t="shared" si="17"/>
        <v>229.74</v>
      </c>
      <c r="G141" s="678">
        <f t="shared" si="18"/>
        <v>230.55</v>
      </c>
      <c r="I141" s="508"/>
      <c r="J141" s="507"/>
      <c r="K141" s="485"/>
      <c r="L141" s="485"/>
      <c r="M141" s="501"/>
      <c r="N141" s="501"/>
      <c r="O141" s="485"/>
      <c r="P141" s="485"/>
      <c r="Q141" s="485"/>
      <c r="R141" s="485"/>
      <c r="S141" s="485"/>
      <c r="T141" s="485"/>
      <c r="U141" s="485"/>
      <c r="V141" s="485"/>
      <c r="W141" s="485"/>
      <c r="X141" s="485"/>
      <c r="Y141" s="430"/>
      <c r="Z141" s="409"/>
      <c r="AA141" s="511"/>
      <c r="AB141" s="409"/>
      <c r="AC141" s="527"/>
      <c r="AD141" s="440"/>
      <c r="AE141" s="438"/>
      <c r="AF141" s="446"/>
    </row>
    <row r="142" spans="1:33" s="445" customFormat="1" x14ac:dyDescent="0.25">
      <c r="A142" s="487">
        <v>12</v>
      </c>
      <c r="B142" s="485">
        <v>13</v>
      </c>
      <c r="C142" s="496">
        <v>1</v>
      </c>
      <c r="D142" s="665">
        <v>229.99</v>
      </c>
      <c r="E142" s="565"/>
      <c r="F142" s="721">
        <f t="shared" si="17"/>
        <v>229.74</v>
      </c>
      <c r="G142" s="678">
        <f t="shared" si="18"/>
        <v>230.55</v>
      </c>
      <c r="I142" s="508"/>
      <c r="J142" s="507"/>
      <c r="K142" s="485"/>
      <c r="L142" s="485"/>
      <c r="M142" s="501"/>
      <c r="N142" s="501"/>
      <c r="O142" s="485"/>
      <c r="P142" s="485"/>
      <c r="Q142" s="485"/>
      <c r="R142" s="485"/>
      <c r="S142" s="485"/>
      <c r="T142" s="485"/>
      <c r="U142" s="485"/>
      <c r="V142" s="485"/>
      <c r="W142" s="485"/>
      <c r="X142" s="485"/>
      <c r="Y142" s="430"/>
      <c r="Z142" s="409"/>
      <c r="AA142" s="511"/>
      <c r="AB142" s="409"/>
      <c r="AC142" s="527"/>
      <c r="AD142" s="440"/>
      <c r="AE142" s="438"/>
      <c r="AF142" s="446"/>
    </row>
    <row r="143" spans="1:33" s="445" customFormat="1" x14ac:dyDescent="0.25">
      <c r="A143" s="485">
        <v>13</v>
      </c>
      <c r="B143" s="485">
        <v>14</v>
      </c>
      <c r="C143" s="496">
        <v>1</v>
      </c>
      <c r="D143" s="665">
        <v>209.99</v>
      </c>
      <c r="E143" s="565"/>
      <c r="F143" s="721">
        <f t="shared" si="17"/>
        <v>209.74</v>
      </c>
      <c r="G143" s="678">
        <f t="shared" si="18"/>
        <v>210.55</v>
      </c>
      <c r="I143" s="508"/>
      <c r="J143" s="507"/>
      <c r="K143" s="485"/>
      <c r="L143" s="485"/>
      <c r="M143" s="501"/>
      <c r="N143" s="501"/>
      <c r="O143" s="485"/>
      <c r="P143" s="485"/>
      <c r="Q143" s="485"/>
      <c r="R143" s="485"/>
      <c r="S143" s="485"/>
      <c r="T143" s="485"/>
      <c r="U143" s="485"/>
      <c r="V143" s="485"/>
      <c r="W143" s="485"/>
      <c r="X143" s="485"/>
      <c r="Y143" s="430"/>
      <c r="Z143" s="409"/>
      <c r="AA143" s="511"/>
      <c r="AB143" s="409"/>
      <c r="AC143" s="527"/>
      <c r="AD143" s="440"/>
      <c r="AE143" s="456"/>
      <c r="AF143" s="446"/>
    </row>
    <row r="144" spans="1:33" s="445" customFormat="1" x14ac:dyDescent="0.25">
      <c r="A144" s="487">
        <v>14</v>
      </c>
      <c r="B144" s="485">
        <v>15</v>
      </c>
      <c r="C144" s="496">
        <v>1</v>
      </c>
      <c r="D144" s="665">
        <v>204.99</v>
      </c>
      <c r="E144" s="565"/>
      <c r="F144" s="721">
        <f t="shared" si="17"/>
        <v>204.74</v>
      </c>
      <c r="G144" s="678">
        <f t="shared" si="18"/>
        <v>205.55</v>
      </c>
      <c r="H144" s="445" t="s">
        <v>177</v>
      </c>
      <c r="I144" s="508"/>
      <c r="J144" s="507"/>
      <c r="K144" s="485"/>
      <c r="L144" s="485"/>
      <c r="M144" s="501"/>
      <c r="N144" s="501"/>
      <c r="O144" s="485"/>
      <c r="P144" s="485"/>
      <c r="Q144" s="485"/>
      <c r="R144" s="485"/>
      <c r="S144" s="485"/>
      <c r="T144" s="485"/>
      <c r="U144" s="485"/>
      <c r="V144" s="485"/>
      <c r="W144" s="485"/>
      <c r="X144" s="485"/>
      <c r="Y144" s="430"/>
      <c r="Z144" s="409"/>
      <c r="AA144" s="511"/>
      <c r="AB144" s="409"/>
      <c r="AC144" s="527"/>
      <c r="AD144" s="440"/>
      <c r="AE144" s="457"/>
      <c r="AF144" s="382"/>
    </row>
    <row r="145" spans="1:32" s="445" customFormat="1" x14ac:dyDescent="0.25">
      <c r="A145" s="485">
        <v>15</v>
      </c>
      <c r="B145" s="485">
        <v>16</v>
      </c>
      <c r="C145" s="496">
        <v>1</v>
      </c>
      <c r="D145" s="665">
        <v>194.9</v>
      </c>
      <c r="E145" s="565"/>
      <c r="F145" s="720">
        <f t="shared" si="17"/>
        <v>194.65</v>
      </c>
      <c r="G145" s="678">
        <f t="shared" si="18"/>
        <v>195.46</v>
      </c>
      <c r="I145" s="508"/>
      <c r="J145" s="507"/>
      <c r="K145" s="485"/>
      <c r="L145" s="485"/>
      <c r="M145" s="501"/>
      <c r="N145" s="501"/>
      <c r="O145" s="485"/>
      <c r="P145" s="485"/>
      <c r="Q145" s="485"/>
      <c r="R145" s="485"/>
      <c r="S145" s="485"/>
      <c r="T145" s="485"/>
      <c r="U145" s="485"/>
      <c r="V145" s="485"/>
      <c r="W145" s="485"/>
      <c r="X145" s="485"/>
      <c r="Y145" s="430"/>
      <c r="Z145" s="409"/>
      <c r="AA145" s="511"/>
      <c r="AB145" s="409"/>
      <c r="AC145" s="527"/>
      <c r="AD145" s="435"/>
      <c r="AE145" s="436"/>
      <c r="AF145" s="382"/>
    </row>
    <row r="146" spans="1:32" s="445" customFormat="1" x14ac:dyDescent="0.25">
      <c r="A146" s="487">
        <v>16</v>
      </c>
      <c r="B146" s="485">
        <v>17</v>
      </c>
      <c r="C146" s="496">
        <v>1</v>
      </c>
      <c r="D146" s="665">
        <v>175</v>
      </c>
      <c r="E146" s="565"/>
      <c r="F146" s="720">
        <f t="shared" si="17"/>
        <v>174.75</v>
      </c>
      <c r="G146" s="678">
        <f t="shared" si="18"/>
        <v>175.56</v>
      </c>
      <c r="I146" s="508"/>
      <c r="J146" s="507"/>
      <c r="K146" s="485"/>
      <c r="L146" s="485"/>
      <c r="M146" s="501"/>
      <c r="N146" s="501"/>
      <c r="O146" s="485"/>
      <c r="R146" s="485"/>
      <c r="S146" s="485"/>
      <c r="T146" s="485"/>
      <c r="U146" s="485"/>
      <c r="V146" s="485"/>
      <c r="W146" s="485"/>
      <c r="X146" s="485"/>
      <c r="Y146" s="430"/>
      <c r="Z146" s="409"/>
      <c r="AA146" s="511"/>
      <c r="AB146" s="409"/>
      <c r="AC146" s="527"/>
      <c r="AD146" s="435"/>
      <c r="AE146" s="436"/>
      <c r="AF146" s="437"/>
    </row>
    <row r="147" spans="1:32" s="445" customFormat="1" x14ac:dyDescent="0.25">
      <c r="A147" s="485">
        <v>17</v>
      </c>
      <c r="B147" s="485">
        <v>18</v>
      </c>
      <c r="C147" s="496">
        <v>1</v>
      </c>
      <c r="D147" s="665">
        <v>224.9</v>
      </c>
      <c r="E147" s="565"/>
      <c r="F147" s="721">
        <f t="shared" si="17"/>
        <v>224.65</v>
      </c>
      <c r="G147" s="678">
        <f t="shared" si="18"/>
        <v>225.46</v>
      </c>
      <c r="I147" s="508"/>
      <c r="J147" s="507"/>
      <c r="K147" s="485"/>
      <c r="L147" s="485"/>
      <c r="M147" s="501"/>
      <c r="N147" s="501"/>
      <c r="O147" s="485"/>
      <c r="R147" s="485"/>
      <c r="S147" s="485"/>
      <c r="T147" s="485"/>
      <c r="U147" s="485"/>
      <c r="V147" s="485"/>
      <c r="W147" s="485"/>
      <c r="X147" s="485"/>
      <c r="Y147" s="430"/>
      <c r="Z147" s="409"/>
      <c r="AA147" s="511"/>
      <c r="AB147" s="409"/>
      <c r="AC147" s="527"/>
      <c r="AD147" s="420"/>
      <c r="AE147" s="420"/>
      <c r="AF147" s="435"/>
    </row>
    <row r="148" spans="1:32" s="445" customFormat="1" x14ac:dyDescent="0.25">
      <c r="A148" s="487">
        <v>18</v>
      </c>
      <c r="B148" s="485">
        <v>19</v>
      </c>
      <c r="C148" s="496">
        <v>1</v>
      </c>
      <c r="D148" s="665">
        <v>249.99299999999999</v>
      </c>
      <c r="E148" s="565"/>
      <c r="F148" s="721">
        <f t="shared" si="17"/>
        <v>249.74299999999999</v>
      </c>
      <c r="G148" s="678">
        <f t="shared" si="18"/>
        <v>250.553</v>
      </c>
      <c r="I148" s="508"/>
      <c r="J148" s="507"/>
      <c r="K148" s="485"/>
      <c r="L148" s="485"/>
      <c r="M148" s="501"/>
      <c r="N148" s="501"/>
      <c r="O148" s="485"/>
      <c r="R148" s="485"/>
      <c r="S148" s="485"/>
      <c r="T148" s="485"/>
      <c r="U148" s="485"/>
      <c r="V148" s="485"/>
      <c r="W148" s="485"/>
      <c r="X148" s="485"/>
      <c r="Y148" s="430"/>
      <c r="Z148" s="409"/>
      <c r="AA148" s="511"/>
      <c r="AB148" s="409"/>
      <c r="AC148" s="527"/>
      <c r="AD148" s="409"/>
      <c r="AE148" s="409"/>
      <c r="AF148" s="435"/>
    </row>
    <row r="149" spans="1:32" s="445" customFormat="1" x14ac:dyDescent="0.25">
      <c r="A149" s="485">
        <v>19</v>
      </c>
      <c r="B149" s="485">
        <v>20</v>
      </c>
      <c r="C149" s="496">
        <v>1</v>
      </c>
      <c r="D149" s="665">
        <v>249.99</v>
      </c>
      <c r="E149" s="565"/>
      <c r="F149" s="721">
        <f t="shared" si="17"/>
        <v>249.74</v>
      </c>
      <c r="G149" s="678">
        <f t="shared" si="18"/>
        <v>250.55</v>
      </c>
      <c r="I149" s="508"/>
      <c r="J149" s="507"/>
      <c r="K149" s="485"/>
      <c r="L149" s="485"/>
      <c r="M149" s="501"/>
      <c r="N149" s="501"/>
      <c r="O149" s="485"/>
      <c r="R149" s="485"/>
      <c r="S149" s="485"/>
      <c r="T149" s="485"/>
      <c r="U149" s="485"/>
      <c r="V149" s="485"/>
      <c r="W149" s="485"/>
      <c r="X149" s="485"/>
      <c r="Y149" s="430"/>
      <c r="Z149" s="409"/>
      <c r="AA149" s="511"/>
      <c r="AB149" s="409"/>
      <c r="AC149" s="527"/>
      <c r="AD149" s="421"/>
      <c r="AE149" s="421"/>
      <c r="AF149" s="433"/>
    </row>
    <row r="150" spans="1:32" s="445" customFormat="1" x14ac:dyDescent="0.25">
      <c r="A150" s="487">
        <v>20</v>
      </c>
      <c r="B150" s="485">
        <v>21</v>
      </c>
      <c r="C150" s="496">
        <v>1</v>
      </c>
      <c r="D150" s="665">
        <v>249.99</v>
      </c>
      <c r="E150" s="565"/>
      <c r="F150" s="721">
        <f t="shared" si="17"/>
        <v>249.74</v>
      </c>
      <c r="G150" s="678">
        <f t="shared" si="18"/>
        <v>250.55</v>
      </c>
      <c r="I150" s="508"/>
      <c r="J150" s="507"/>
      <c r="K150" s="485"/>
      <c r="L150" s="485"/>
      <c r="M150" s="501"/>
      <c r="N150" s="501"/>
      <c r="O150" s="485"/>
      <c r="R150" s="485"/>
      <c r="S150" s="485"/>
      <c r="T150" s="485"/>
      <c r="U150" s="485"/>
      <c r="V150" s="485"/>
      <c r="W150" s="485"/>
      <c r="X150" s="485"/>
      <c r="Y150" s="430"/>
      <c r="Z150" s="409"/>
      <c r="AA150" s="511"/>
      <c r="AB150" s="409"/>
      <c r="AC150" s="527"/>
      <c r="AD150" s="421"/>
      <c r="AE150" s="421"/>
      <c r="AF150" s="406"/>
    </row>
    <row r="151" spans="1:32" s="445" customFormat="1" x14ac:dyDescent="0.25">
      <c r="A151" s="485">
        <v>21</v>
      </c>
      <c r="B151" s="485">
        <v>22</v>
      </c>
      <c r="C151" s="496">
        <v>1</v>
      </c>
      <c r="D151" s="665">
        <v>249.99</v>
      </c>
      <c r="E151" s="565"/>
      <c r="F151" s="721">
        <f t="shared" si="17"/>
        <v>249.74</v>
      </c>
      <c r="G151" s="678">
        <f t="shared" si="18"/>
        <v>250.55</v>
      </c>
      <c r="I151" s="508"/>
      <c r="J151" s="507"/>
      <c r="K151" s="485"/>
      <c r="L151" s="485"/>
      <c r="M151" s="501"/>
      <c r="N151" s="501"/>
      <c r="O151" s="485"/>
      <c r="R151" s="485"/>
      <c r="S151" s="485"/>
      <c r="T151" s="485"/>
      <c r="U151" s="485"/>
      <c r="V151" s="485"/>
      <c r="W151" s="485"/>
      <c r="X151" s="485"/>
      <c r="Y151" s="430"/>
      <c r="Z151" s="409"/>
      <c r="AA151" s="511"/>
      <c r="AB151" s="409"/>
      <c r="AC151" s="527"/>
      <c r="AD151" s="409"/>
      <c r="AE151" s="409"/>
      <c r="AF151" s="406"/>
    </row>
    <row r="152" spans="1:32" s="445" customFormat="1" x14ac:dyDescent="0.25">
      <c r="A152" s="487">
        <v>22</v>
      </c>
      <c r="B152" s="485">
        <v>23</v>
      </c>
      <c r="C152" s="496">
        <v>1</v>
      </c>
      <c r="D152" s="665">
        <v>200</v>
      </c>
      <c r="E152" s="565"/>
      <c r="F152" s="720">
        <f t="shared" si="17"/>
        <v>199.75</v>
      </c>
      <c r="G152" s="678">
        <f t="shared" si="18"/>
        <v>200.56</v>
      </c>
      <c r="I152" s="508"/>
      <c r="J152" s="507"/>
      <c r="K152" s="485"/>
      <c r="L152" s="485"/>
      <c r="M152" s="501"/>
      <c r="N152" s="501"/>
      <c r="O152" s="485"/>
      <c r="R152" s="485"/>
      <c r="S152" s="485"/>
      <c r="T152" s="485"/>
      <c r="U152" s="485"/>
      <c r="V152" s="485"/>
      <c r="W152" s="485"/>
      <c r="X152" s="485"/>
      <c r="Y152" s="430"/>
      <c r="Z152" s="409"/>
      <c r="AA152" s="511"/>
      <c r="AB152" s="409"/>
      <c r="AC152" s="527"/>
      <c r="AD152" s="409"/>
      <c r="AE152" s="409"/>
      <c r="AF152" s="406"/>
    </row>
    <row r="153" spans="1:32" s="445" customFormat="1" x14ac:dyDescent="0.25">
      <c r="A153" s="487">
        <v>23</v>
      </c>
      <c r="B153" s="485">
        <v>24</v>
      </c>
      <c r="C153" s="496">
        <v>1</v>
      </c>
      <c r="D153" s="665">
        <v>179.99</v>
      </c>
      <c r="E153" s="629"/>
      <c r="F153" s="720">
        <f t="shared" si="17"/>
        <v>179.74</v>
      </c>
      <c r="G153" s="678">
        <f t="shared" si="18"/>
        <v>180.55</v>
      </c>
      <c r="I153" s="508"/>
      <c r="J153" s="507"/>
      <c r="K153" s="485"/>
      <c r="L153" s="485"/>
      <c r="M153" s="501"/>
      <c r="N153" s="501"/>
      <c r="O153" s="485"/>
      <c r="R153" s="485"/>
      <c r="S153" s="485"/>
      <c r="T153" s="485"/>
      <c r="U153" s="485"/>
      <c r="V153" s="485"/>
      <c r="W153" s="485"/>
      <c r="X153" s="485"/>
      <c r="Y153" s="430"/>
      <c r="Z153" s="409"/>
      <c r="AA153" s="511"/>
      <c r="AB153" s="409"/>
      <c r="AC153" s="527"/>
      <c r="AD153" s="422"/>
      <c r="AE153" s="422"/>
      <c r="AF153" s="413"/>
    </row>
    <row r="154" spans="1:32" s="445" customFormat="1" x14ac:dyDescent="0.25">
      <c r="A154" s="409">
        <v>24</v>
      </c>
      <c r="B154" s="485">
        <v>1</v>
      </c>
      <c r="C154" s="496">
        <v>1</v>
      </c>
      <c r="D154" s="665">
        <v>155</v>
      </c>
      <c r="E154" s="560"/>
      <c r="F154" s="720">
        <f t="shared" si="17"/>
        <v>154.75</v>
      </c>
      <c r="G154" s="678">
        <f>D154+0.56</f>
        <v>155.56</v>
      </c>
      <c r="H154" s="497"/>
      <c r="I154" s="508"/>
      <c r="J154" s="507"/>
      <c r="K154" s="485"/>
      <c r="L154" s="485"/>
      <c r="M154" s="501"/>
      <c r="N154" s="501"/>
      <c r="O154" s="485"/>
      <c r="R154" s="485"/>
      <c r="S154" s="485"/>
      <c r="T154" s="485"/>
      <c r="U154" s="485"/>
      <c r="V154" s="485"/>
      <c r="W154" s="485"/>
      <c r="X154" s="485"/>
      <c r="Y154" s="409"/>
      <c r="Z154" s="409"/>
      <c r="AA154" s="409"/>
      <c r="AB154" s="409"/>
      <c r="AC154" s="527"/>
      <c r="AD154" s="423"/>
      <c r="AE154" s="423"/>
      <c r="AF154" s="413"/>
    </row>
    <row r="155" spans="1:32" s="445" customFormat="1" x14ac:dyDescent="0.25">
      <c r="A155" s="409"/>
      <c r="B155" s="409"/>
      <c r="C155" s="409"/>
      <c r="D155" s="711"/>
      <c r="E155" s="563"/>
      <c r="F155" s="409"/>
      <c r="G155" s="409"/>
      <c r="H155" s="432"/>
      <c r="I155" s="409"/>
      <c r="J155" s="409"/>
      <c r="K155" s="409"/>
      <c r="L155" s="409"/>
      <c r="M155" s="424"/>
      <c r="N155" s="424"/>
      <c r="O155" s="409"/>
      <c r="R155" s="409"/>
      <c r="S155" s="409"/>
      <c r="T155" s="409"/>
      <c r="U155" s="409"/>
      <c r="V155" s="409"/>
      <c r="W155" s="409"/>
      <c r="X155" s="409"/>
      <c r="Y155" s="409"/>
      <c r="Z155" s="409"/>
      <c r="AA155" s="409"/>
      <c r="AB155" s="409"/>
      <c r="AC155" s="527"/>
      <c r="AD155" s="423"/>
      <c r="AE155" s="423"/>
      <c r="AF155" s="413"/>
    </row>
    <row r="156" spans="1:32" s="445" customFormat="1" x14ac:dyDescent="0.25">
      <c r="A156" s="409"/>
      <c r="B156" s="409"/>
      <c r="C156" s="409"/>
      <c r="D156" s="409"/>
      <c r="E156" s="409"/>
      <c r="F156" s="409"/>
      <c r="G156" s="409"/>
      <c r="H156" s="409"/>
      <c r="I156" s="409"/>
      <c r="J156" s="409"/>
      <c r="K156" s="409"/>
      <c r="L156" s="409"/>
      <c r="M156" s="424"/>
      <c r="N156" s="424"/>
      <c r="O156" s="409"/>
      <c r="R156" s="409"/>
      <c r="S156" s="409"/>
      <c r="T156" s="409"/>
      <c r="U156" s="409"/>
      <c r="V156" s="409"/>
      <c r="W156" s="409"/>
      <c r="X156" s="409"/>
      <c r="Y156" s="409"/>
      <c r="Z156" s="409"/>
      <c r="AA156" s="409"/>
      <c r="AB156" s="409"/>
      <c r="AC156" s="527"/>
      <c r="AD156" s="423"/>
      <c r="AE156" s="423"/>
      <c r="AF156" s="418"/>
    </row>
    <row r="157" spans="1:32" s="445" customFormat="1" x14ac:dyDescent="0.25">
      <c r="A157" s="409"/>
      <c r="B157" s="409"/>
      <c r="C157" s="409"/>
      <c r="D157" s="409"/>
      <c r="E157" s="409"/>
      <c r="F157" s="409"/>
      <c r="G157" s="409"/>
      <c r="H157" s="409"/>
      <c r="I157" s="409"/>
      <c r="J157" s="409"/>
      <c r="K157" s="409"/>
      <c r="L157" s="409"/>
      <c r="M157" s="424"/>
      <c r="N157" s="424"/>
      <c r="O157" s="409"/>
      <c r="R157" s="409"/>
      <c r="S157" s="409"/>
      <c r="T157" s="409"/>
      <c r="U157" s="409"/>
      <c r="V157" s="409"/>
      <c r="W157" s="409"/>
      <c r="X157" s="409"/>
      <c r="Y157" s="409"/>
      <c r="Z157" s="409"/>
      <c r="AA157" s="409"/>
      <c r="AB157" s="409"/>
      <c r="AC157" s="527"/>
      <c r="AD157" s="423"/>
      <c r="AE157" s="423"/>
      <c r="AF157" s="420"/>
    </row>
    <row r="158" spans="1:32" s="445" customFormat="1" x14ac:dyDescent="0.25">
      <c r="A158" s="409"/>
      <c r="B158" s="409"/>
      <c r="C158" s="409"/>
      <c r="D158" s="409"/>
      <c r="E158" s="409"/>
      <c r="F158" s="409"/>
      <c r="G158" s="409"/>
      <c r="H158" s="409"/>
      <c r="I158" s="409"/>
      <c r="J158" s="409"/>
      <c r="K158" s="409"/>
      <c r="L158" s="409"/>
      <c r="M158" s="424"/>
      <c r="N158" s="424"/>
      <c r="O158" s="409"/>
      <c r="R158" s="409"/>
      <c r="S158" s="409"/>
      <c r="T158" s="409"/>
      <c r="U158" s="409"/>
      <c r="V158" s="409"/>
      <c r="W158" s="409"/>
      <c r="X158" s="409"/>
      <c r="Y158" s="409"/>
      <c r="Z158" s="409"/>
      <c r="AA158" s="409"/>
      <c r="AB158" s="409"/>
      <c r="AC158" s="527"/>
      <c r="AD158" s="423"/>
      <c r="AE158" s="423"/>
      <c r="AF158" s="409"/>
    </row>
    <row r="159" spans="1:32" s="445" customFormat="1" x14ac:dyDescent="0.25">
      <c r="A159" s="409"/>
      <c r="B159" s="409"/>
      <c r="C159" s="409"/>
      <c r="D159" s="409"/>
      <c r="E159" s="409"/>
      <c r="F159" s="409"/>
      <c r="G159" s="409"/>
      <c r="H159" s="409"/>
      <c r="I159" s="409"/>
      <c r="J159" s="409"/>
      <c r="K159" s="409"/>
      <c r="L159" s="409"/>
      <c r="M159" s="424"/>
      <c r="N159" s="424"/>
      <c r="O159" s="409"/>
      <c r="R159" s="409"/>
      <c r="S159" s="409"/>
      <c r="T159" s="409"/>
      <c r="U159" s="409"/>
      <c r="V159" s="409"/>
      <c r="W159" s="409"/>
      <c r="X159" s="409"/>
      <c r="Y159" s="409"/>
      <c r="Z159" s="409"/>
      <c r="AA159" s="409"/>
      <c r="AB159" s="409"/>
      <c r="AC159" s="527"/>
      <c r="AD159" s="423"/>
      <c r="AE159" s="423"/>
      <c r="AF159" s="421"/>
    </row>
    <row r="160" spans="1:32" s="445" customFormat="1" x14ac:dyDescent="0.25">
      <c r="A160" s="409"/>
      <c r="B160" s="409"/>
      <c r="C160" s="409"/>
      <c r="D160" s="409"/>
      <c r="E160" s="409"/>
      <c r="F160" s="409"/>
      <c r="G160" s="409"/>
      <c r="H160" s="409"/>
      <c r="I160" s="409"/>
      <c r="L160" s="409"/>
      <c r="M160" s="424"/>
      <c r="N160" s="424"/>
      <c r="O160" s="409"/>
      <c r="R160" s="409"/>
      <c r="S160" s="409"/>
      <c r="T160" s="409"/>
      <c r="U160" s="409"/>
      <c r="V160" s="409"/>
      <c r="W160" s="409"/>
      <c r="X160" s="409"/>
      <c r="Y160" s="409"/>
      <c r="Z160" s="409"/>
      <c r="AA160" s="409"/>
      <c r="AB160" s="409"/>
      <c r="AC160" s="527"/>
      <c r="AD160" s="423"/>
      <c r="AE160" s="423"/>
      <c r="AF160" s="421"/>
    </row>
    <row r="161" spans="1:32" s="445" customFormat="1" x14ac:dyDescent="0.25">
      <c r="A161" s="409"/>
      <c r="B161" s="409"/>
      <c r="C161" s="409"/>
      <c r="D161" s="409"/>
      <c r="E161" s="409"/>
      <c r="F161" s="409"/>
      <c r="G161" s="409"/>
      <c r="H161" s="409"/>
      <c r="I161" s="409"/>
      <c r="L161" s="409"/>
      <c r="M161" s="424"/>
      <c r="N161" s="424"/>
      <c r="O161" s="409"/>
      <c r="R161" s="409"/>
      <c r="S161" s="409"/>
      <c r="T161" s="409"/>
      <c r="U161" s="409"/>
      <c r="V161" s="409"/>
      <c r="W161" s="409"/>
      <c r="X161" s="409"/>
      <c r="Y161" s="409"/>
      <c r="Z161" s="409"/>
      <c r="AA161" s="409"/>
      <c r="AB161" s="409"/>
      <c r="AC161" s="527"/>
      <c r="AD161" s="426"/>
      <c r="AE161" s="426"/>
      <c r="AF161" s="409"/>
    </row>
    <row r="162" spans="1:32" s="445" customFormat="1" x14ac:dyDescent="0.25">
      <c r="A162" s="409"/>
      <c r="B162" s="409"/>
      <c r="C162" s="409"/>
      <c r="D162" s="409"/>
      <c r="E162" s="409"/>
      <c r="F162" s="409"/>
      <c r="G162" s="409"/>
      <c r="H162" s="409"/>
      <c r="I162" s="409"/>
      <c r="L162" s="409"/>
      <c r="M162" s="424"/>
      <c r="N162" s="424"/>
      <c r="O162" s="409"/>
      <c r="R162" s="409"/>
      <c r="S162" s="409"/>
      <c r="T162" s="409"/>
      <c r="U162" s="409"/>
      <c r="V162" s="409"/>
      <c r="W162" s="409"/>
      <c r="X162" s="409"/>
      <c r="Y162" s="409"/>
      <c r="Z162" s="409"/>
      <c r="AA162" s="409"/>
      <c r="AB162" s="409"/>
      <c r="AC162" s="527"/>
      <c r="AD162" s="427"/>
      <c r="AE162" s="427"/>
      <c r="AF162" s="422"/>
    </row>
    <row r="163" spans="1:32" s="445" customFormat="1" x14ac:dyDescent="0.25">
      <c r="A163" s="409"/>
      <c r="B163" s="409"/>
      <c r="C163" s="409"/>
      <c r="D163" s="409"/>
      <c r="E163" s="409"/>
      <c r="F163" s="409"/>
      <c r="G163" s="409"/>
      <c r="H163" s="409"/>
      <c r="I163" s="409"/>
      <c r="L163" s="409"/>
      <c r="M163" s="424"/>
      <c r="N163" s="424"/>
      <c r="O163" s="409"/>
      <c r="R163" s="409"/>
      <c r="S163" s="409"/>
      <c r="T163" s="409"/>
      <c r="U163" s="409"/>
      <c r="V163" s="409"/>
      <c r="W163" s="409"/>
      <c r="X163" s="409"/>
      <c r="Y163" s="409"/>
      <c r="Z163" s="409"/>
      <c r="AA163" s="409"/>
      <c r="AB163" s="409"/>
      <c r="AC163" s="527"/>
      <c r="AD163" s="427"/>
      <c r="AE163" s="427"/>
      <c r="AF163" s="423"/>
    </row>
    <row r="164" spans="1:32" s="445" customFormat="1" x14ac:dyDescent="0.25">
      <c r="A164" s="409"/>
      <c r="B164" s="409"/>
      <c r="C164" s="409"/>
      <c r="D164" s="409"/>
      <c r="E164" s="409"/>
      <c r="F164" s="409"/>
      <c r="G164" s="409"/>
      <c r="H164" s="409"/>
      <c r="I164" s="409"/>
      <c r="L164" s="409"/>
      <c r="M164" s="424"/>
      <c r="N164" s="424"/>
      <c r="O164" s="409"/>
      <c r="R164" s="409"/>
      <c r="S164" s="409"/>
      <c r="T164" s="409"/>
      <c r="U164" s="409"/>
      <c r="V164" s="409"/>
      <c r="W164" s="409"/>
      <c r="X164" s="409"/>
      <c r="Y164" s="409"/>
      <c r="Z164" s="409"/>
      <c r="AA164" s="409"/>
      <c r="AB164" s="409"/>
      <c r="AC164" s="527"/>
      <c r="AD164" s="427"/>
      <c r="AE164" s="427"/>
      <c r="AF164" s="423"/>
    </row>
    <row r="165" spans="1:32" s="445" customFormat="1" x14ac:dyDescent="0.25">
      <c r="A165" s="409"/>
      <c r="B165" s="409"/>
      <c r="C165" s="409"/>
      <c r="D165" s="409"/>
      <c r="E165" s="409"/>
      <c r="F165" s="409"/>
      <c r="G165" s="409"/>
      <c r="H165" s="409"/>
      <c r="I165" s="409"/>
      <c r="L165" s="409"/>
      <c r="M165" s="424"/>
      <c r="N165" s="424"/>
      <c r="O165" s="409"/>
      <c r="R165" s="409"/>
      <c r="S165" s="409"/>
      <c r="T165" s="409"/>
      <c r="U165" s="409"/>
      <c r="V165" s="409"/>
      <c r="W165" s="409"/>
      <c r="X165" s="409"/>
      <c r="Y165" s="409"/>
      <c r="Z165" s="409"/>
      <c r="AA165" s="409"/>
      <c r="AB165" s="409"/>
      <c r="AC165" s="527"/>
      <c r="AD165" s="427"/>
      <c r="AE165" s="427"/>
      <c r="AF165" s="423"/>
    </row>
    <row r="166" spans="1:32" s="445" customFormat="1" x14ac:dyDescent="0.25">
      <c r="A166" s="409"/>
      <c r="B166" s="409"/>
      <c r="C166" s="409"/>
      <c r="D166" s="409"/>
      <c r="E166" s="409"/>
      <c r="F166" s="409"/>
      <c r="G166" s="409"/>
      <c r="H166" s="409"/>
      <c r="I166" s="409"/>
      <c r="L166" s="409"/>
      <c r="M166" s="424"/>
      <c r="N166" s="424"/>
      <c r="O166" s="409"/>
      <c r="R166" s="409"/>
      <c r="S166" s="409"/>
      <c r="T166" s="409"/>
      <c r="U166" s="409"/>
      <c r="V166" s="409"/>
      <c r="W166" s="409"/>
      <c r="X166" s="409"/>
      <c r="Y166" s="409"/>
      <c r="Z166" s="409"/>
      <c r="AA166" s="409"/>
      <c r="AB166" s="409"/>
      <c r="AC166" s="527"/>
      <c r="AD166" s="427"/>
      <c r="AE166" s="430"/>
      <c r="AF166" s="423"/>
    </row>
    <row r="167" spans="1:32" s="445" customFormat="1" x14ac:dyDescent="0.25">
      <c r="A167" s="409"/>
      <c r="B167" s="409"/>
      <c r="C167" s="409"/>
      <c r="D167" s="409"/>
      <c r="E167" s="409"/>
      <c r="F167" s="409"/>
      <c r="G167" s="409"/>
      <c r="H167" s="409"/>
      <c r="I167" s="409"/>
      <c r="L167" s="409"/>
      <c r="M167" s="424"/>
      <c r="N167" s="424"/>
      <c r="O167" s="409"/>
      <c r="R167" s="409"/>
      <c r="S167" s="409"/>
      <c r="T167" s="409"/>
      <c r="U167" s="409"/>
      <c r="V167" s="409"/>
      <c r="W167" s="409"/>
      <c r="X167" s="409"/>
      <c r="Y167" s="409"/>
      <c r="Z167" s="409"/>
      <c r="AA167" s="409"/>
      <c r="AB167" s="409"/>
      <c r="AC167" s="527"/>
      <c r="AD167" s="427"/>
      <c r="AE167" s="430"/>
      <c r="AF167" s="423"/>
    </row>
    <row r="168" spans="1:32" s="445" customFormat="1" x14ac:dyDescent="0.25">
      <c r="A168" s="409"/>
      <c r="B168" s="409"/>
      <c r="C168" s="409"/>
      <c r="D168" s="409"/>
      <c r="E168" s="409"/>
      <c r="F168" s="409"/>
      <c r="G168" s="409"/>
      <c r="H168" s="409"/>
      <c r="I168" s="409"/>
      <c r="L168" s="409"/>
      <c r="M168" s="424"/>
      <c r="N168" s="424"/>
      <c r="O168" s="409"/>
      <c r="R168" s="409"/>
      <c r="S168" s="409"/>
      <c r="T168" s="409"/>
      <c r="U168" s="409"/>
      <c r="V168" s="409"/>
      <c r="W168" s="409"/>
      <c r="X168" s="409"/>
      <c r="Y168" s="409"/>
      <c r="Z168" s="409"/>
      <c r="AA168" s="409"/>
      <c r="AB168" s="409"/>
      <c r="AC168" s="527"/>
      <c r="AD168" s="427"/>
      <c r="AE168" s="430"/>
      <c r="AF168" s="423"/>
    </row>
    <row r="169" spans="1:32" s="445" customFormat="1" x14ac:dyDescent="0.25">
      <c r="A169" s="409"/>
      <c r="B169" s="409"/>
      <c r="C169" s="409"/>
      <c r="D169" s="409"/>
      <c r="E169" s="409"/>
      <c r="F169" s="409"/>
      <c r="G169" s="409"/>
      <c r="H169" s="409"/>
      <c r="I169" s="409"/>
      <c r="L169" s="409"/>
      <c r="M169" s="424"/>
      <c r="N169" s="424"/>
      <c r="O169" s="409"/>
      <c r="R169" s="409"/>
      <c r="S169" s="409"/>
      <c r="T169" s="409"/>
      <c r="U169" s="409"/>
      <c r="V169" s="409"/>
      <c r="W169" s="409"/>
      <c r="X169" s="409"/>
      <c r="Y169" s="409"/>
      <c r="Z169" s="409"/>
      <c r="AA169" s="409"/>
      <c r="AB169" s="409"/>
      <c r="AC169" s="527"/>
      <c r="AD169" s="427"/>
      <c r="AE169" s="430"/>
      <c r="AF169" s="423"/>
    </row>
    <row r="170" spans="1:32" s="445" customFormat="1" x14ac:dyDescent="0.25">
      <c r="A170" s="409"/>
      <c r="B170" s="409"/>
      <c r="C170" s="409"/>
      <c r="D170" s="409"/>
      <c r="E170" s="409"/>
      <c r="F170" s="409"/>
      <c r="G170" s="409"/>
      <c r="H170" s="409"/>
      <c r="I170" s="409"/>
      <c r="L170" s="409"/>
      <c r="M170" s="424"/>
      <c r="N170" s="424"/>
      <c r="O170" s="409"/>
      <c r="P170" s="409"/>
      <c r="Q170" s="409"/>
      <c r="R170" s="409"/>
      <c r="S170" s="409"/>
      <c r="T170" s="409"/>
      <c r="U170" s="409"/>
      <c r="V170" s="409"/>
      <c r="W170" s="409"/>
      <c r="X170" s="409"/>
      <c r="Y170" s="409"/>
      <c r="Z170" s="409"/>
      <c r="AA170" s="409"/>
      <c r="AB170" s="409"/>
      <c r="AC170" s="527"/>
      <c r="AD170" s="427"/>
      <c r="AE170" s="430"/>
      <c r="AF170" s="425"/>
    </row>
    <row r="171" spans="1:32" s="445" customFormat="1" x14ac:dyDescent="0.25">
      <c r="A171" s="409"/>
      <c r="B171" s="409"/>
      <c r="C171" s="409"/>
      <c r="D171" s="409"/>
      <c r="E171" s="409"/>
      <c r="F171" s="409"/>
      <c r="G171" s="409"/>
      <c r="H171" s="409"/>
      <c r="I171" s="409"/>
      <c r="L171" s="409"/>
      <c r="M171" s="424"/>
      <c r="N171" s="424"/>
      <c r="O171" s="409"/>
      <c r="P171" s="409"/>
      <c r="Q171" s="409"/>
      <c r="R171" s="409"/>
      <c r="S171" s="409"/>
      <c r="T171" s="409"/>
      <c r="U171" s="409"/>
      <c r="V171" s="409"/>
      <c r="W171" s="409"/>
      <c r="X171" s="409"/>
      <c r="Y171" s="409"/>
      <c r="Z171" s="409"/>
      <c r="AA171" s="409"/>
      <c r="AB171" s="409"/>
      <c r="AC171" s="527"/>
      <c r="AD171" s="430"/>
      <c r="AE171" s="430"/>
      <c r="AF171" s="427"/>
    </row>
    <row r="172" spans="1:32" s="445" customFormat="1" x14ac:dyDescent="0.25">
      <c r="A172" s="409"/>
      <c r="B172" s="409"/>
      <c r="C172" s="409"/>
      <c r="D172" s="409"/>
      <c r="E172" s="409"/>
      <c r="F172" s="409"/>
      <c r="G172" s="409"/>
      <c r="H172" s="409"/>
      <c r="I172" s="409"/>
      <c r="L172" s="409"/>
      <c r="M172" s="424"/>
      <c r="N172" s="424"/>
      <c r="O172" s="409"/>
      <c r="P172" s="409"/>
      <c r="Q172" s="409"/>
      <c r="R172" s="409"/>
      <c r="S172" s="409"/>
      <c r="T172" s="409"/>
      <c r="U172" s="409"/>
      <c r="V172" s="409"/>
      <c r="W172" s="409"/>
      <c r="X172" s="409"/>
      <c r="Y172" s="409"/>
      <c r="Z172" s="409"/>
      <c r="AA172" s="409"/>
      <c r="AB172" s="409"/>
      <c r="AC172" s="527"/>
      <c r="AD172" s="430"/>
      <c r="AE172" s="430"/>
      <c r="AF172" s="427"/>
    </row>
    <row r="173" spans="1:32" s="445" customFormat="1" x14ac:dyDescent="0.25">
      <c r="A173" s="409"/>
      <c r="B173" s="409"/>
      <c r="C173" s="409"/>
      <c r="D173" s="409"/>
      <c r="E173" s="409"/>
      <c r="F173" s="409"/>
      <c r="G173" s="409"/>
      <c r="H173" s="409"/>
      <c r="I173" s="409"/>
      <c r="L173" s="409"/>
      <c r="M173" s="424"/>
      <c r="N173" s="424"/>
      <c r="O173" s="409"/>
      <c r="P173" s="409"/>
      <c r="Q173" s="409"/>
      <c r="R173" s="409"/>
      <c r="S173" s="409"/>
      <c r="T173" s="409"/>
      <c r="U173" s="409"/>
      <c r="V173" s="409"/>
      <c r="W173" s="409"/>
      <c r="X173" s="409"/>
      <c r="Y173" s="409"/>
      <c r="Z173" s="409"/>
      <c r="AA173" s="409"/>
      <c r="AB173" s="409"/>
      <c r="AC173" s="527"/>
      <c r="AD173" s="430"/>
      <c r="AE173" s="430"/>
      <c r="AF173" s="427"/>
    </row>
    <row r="174" spans="1:32" s="445" customFormat="1" x14ac:dyDescent="0.25">
      <c r="A174" s="409"/>
      <c r="B174" s="409"/>
      <c r="C174" s="409"/>
      <c r="D174" s="409"/>
      <c r="E174" s="409"/>
      <c r="F174" s="409"/>
      <c r="G174" s="409"/>
      <c r="H174" s="409"/>
      <c r="I174" s="409"/>
      <c r="L174" s="409"/>
      <c r="M174" s="424"/>
      <c r="N174" s="424"/>
      <c r="O174" s="409"/>
      <c r="P174" s="409"/>
      <c r="Q174" s="409"/>
      <c r="R174" s="409"/>
      <c r="S174" s="409"/>
      <c r="T174" s="409"/>
      <c r="U174" s="409"/>
      <c r="V174" s="409"/>
      <c r="W174" s="409"/>
      <c r="X174" s="409"/>
      <c r="Y174" s="409"/>
      <c r="Z174" s="409"/>
      <c r="AA174" s="409"/>
      <c r="AB174" s="409"/>
      <c r="AC174" s="527"/>
      <c r="AD174" s="430"/>
      <c r="AE174" s="430"/>
      <c r="AF174" s="427"/>
    </row>
    <row r="175" spans="1:32" s="445" customFormat="1" x14ac:dyDescent="0.25">
      <c r="A175" s="409"/>
      <c r="B175" s="409"/>
      <c r="C175" s="409"/>
      <c r="D175" s="409"/>
      <c r="E175" s="409"/>
      <c r="F175" s="409"/>
      <c r="G175" s="409"/>
      <c r="H175" s="409"/>
      <c r="I175" s="409"/>
      <c r="L175" s="409"/>
      <c r="M175" s="424"/>
      <c r="N175" s="424"/>
      <c r="O175" s="409"/>
      <c r="P175" s="409"/>
      <c r="Q175" s="409"/>
      <c r="R175" s="409"/>
      <c r="S175" s="409"/>
      <c r="T175" s="409"/>
      <c r="U175" s="409"/>
      <c r="V175" s="409"/>
      <c r="W175" s="409"/>
      <c r="X175" s="409"/>
      <c r="Y175" s="409"/>
      <c r="Z175" s="409"/>
      <c r="AA175" s="409"/>
      <c r="AB175" s="409"/>
      <c r="AC175" s="527"/>
      <c r="AD175" s="430"/>
      <c r="AE175" s="430"/>
      <c r="AF175" s="428"/>
    </row>
    <row r="176" spans="1:32" s="445" customFormat="1" x14ac:dyDescent="0.25">
      <c r="A176" s="409"/>
      <c r="B176" s="409"/>
      <c r="C176" s="409"/>
      <c r="D176" s="409"/>
      <c r="E176" s="409"/>
      <c r="F176" s="409"/>
      <c r="G176" s="409"/>
      <c r="H176" s="409"/>
      <c r="I176" s="409"/>
      <c r="L176" s="409"/>
      <c r="M176" s="424"/>
      <c r="N176" s="424"/>
      <c r="O176" s="409"/>
      <c r="P176" s="409"/>
      <c r="Q176" s="409"/>
      <c r="R176" s="409"/>
      <c r="S176" s="409"/>
      <c r="T176" s="409"/>
      <c r="U176" s="409"/>
      <c r="V176" s="409"/>
      <c r="W176" s="409"/>
      <c r="X176" s="409"/>
      <c r="Y176" s="409"/>
      <c r="Z176" s="409"/>
      <c r="AA176" s="409"/>
      <c r="AB176" s="409"/>
      <c r="AC176" s="527"/>
      <c r="AD176" s="428"/>
      <c r="AE176" s="429"/>
      <c r="AF176" s="423"/>
    </row>
    <row r="177" spans="1:32" s="445" customFormat="1" x14ac:dyDescent="0.25">
      <c r="A177" s="409"/>
      <c r="B177" s="409"/>
      <c r="C177" s="409"/>
      <c r="D177" s="409"/>
      <c r="E177" s="409"/>
      <c r="F177" s="409"/>
      <c r="G177" s="409"/>
      <c r="H177" s="409"/>
      <c r="I177" s="409"/>
      <c r="L177" s="409"/>
      <c r="M177" s="424"/>
      <c r="N177" s="424"/>
      <c r="O177" s="409"/>
      <c r="P177" s="409"/>
      <c r="Q177" s="409"/>
      <c r="R177" s="409"/>
      <c r="S177" s="409"/>
      <c r="T177" s="409"/>
      <c r="U177" s="409"/>
      <c r="V177" s="409"/>
      <c r="W177" s="409"/>
      <c r="X177" s="409"/>
      <c r="Y177" s="409"/>
      <c r="Z177" s="409"/>
      <c r="AA177" s="409"/>
      <c r="AB177" s="409"/>
      <c r="AC177" s="527"/>
      <c r="AD177" s="428"/>
      <c r="AE177" s="428"/>
      <c r="AF177" s="425"/>
    </row>
    <row r="178" spans="1:32" s="445" customFormat="1" x14ac:dyDescent="0.25">
      <c r="A178" s="409"/>
      <c r="B178" s="409"/>
      <c r="C178" s="409"/>
      <c r="D178" s="409"/>
      <c r="E178" s="409"/>
      <c r="F178" s="409"/>
      <c r="G178" s="409"/>
      <c r="H178" s="409"/>
      <c r="I178" s="409"/>
      <c r="L178" s="409"/>
      <c r="M178" s="424"/>
      <c r="N178" s="424"/>
      <c r="O178" s="409"/>
      <c r="P178" s="409"/>
      <c r="Q178" s="409"/>
      <c r="R178" s="409"/>
      <c r="S178" s="409"/>
      <c r="T178" s="409"/>
      <c r="U178" s="409"/>
      <c r="V178" s="409"/>
      <c r="W178" s="409"/>
      <c r="X178" s="409"/>
      <c r="Y178" s="409"/>
      <c r="Z178" s="409"/>
      <c r="AA178" s="409"/>
      <c r="AB178" s="409"/>
      <c r="AC178" s="527"/>
      <c r="AD178" s="428"/>
      <c r="AE178" s="431"/>
      <c r="AF178" s="427"/>
    </row>
    <row r="179" spans="1:32" s="445" customFormat="1" x14ac:dyDescent="0.25">
      <c r="A179" s="409"/>
      <c r="B179" s="409"/>
      <c r="C179" s="409"/>
      <c r="D179" s="409"/>
      <c r="E179" s="409"/>
      <c r="F179" s="409"/>
      <c r="G179" s="409"/>
      <c r="H179" s="409"/>
      <c r="I179" s="409"/>
      <c r="L179" s="409"/>
      <c r="M179" s="424"/>
      <c r="N179" s="424"/>
      <c r="O179" s="409"/>
      <c r="P179" s="409"/>
      <c r="Q179" s="409"/>
      <c r="R179" s="409"/>
      <c r="S179" s="409"/>
      <c r="T179" s="409"/>
      <c r="U179" s="409"/>
      <c r="V179" s="409"/>
      <c r="W179" s="409"/>
      <c r="X179" s="409"/>
      <c r="Y179" s="409"/>
      <c r="Z179" s="409"/>
      <c r="AA179" s="409"/>
      <c r="AB179" s="409"/>
      <c r="AC179" s="527"/>
      <c r="AD179" s="428"/>
      <c r="AE179" s="429"/>
      <c r="AF179" s="427"/>
    </row>
    <row r="180" spans="1:32" s="445" customFormat="1" x14ac:dyDescent="0.25">
      <c r="A180" s="409"/>
      <c r="B180" s="409"/>
      <c r="C180" s="409"/>
      <c r="D180" s="409"/>
      <c r="E180" s="409"/>
      <c r="F180" s="409"/>
      <c r="G180" s="409"/>
      <c r="H180" s="409"/>
      <c r="I180" s="409"/>
      <c r="L180" s="409"/>
      <c r="M180" s="424"/>
      <c r="N180" s="424"/>
      <c r="O180" s="409"/>
      <c r="P180" s="409"/>
      <c r="Q180" s="409"/>
      <c r="R180" s="409"/>
      <c r="S180" s="409"/>
      <c r="T180" s="409"/>
      <c r="U180" s="409"/>
      <c r="V180" s="409"/>
      <c r="W180" s="409"/>
      <c r="X180" s="409"/>
      <c r="Y180" s="409"/>
      <c r="Z180" s="409"/>
      <c r="AA180" s="409"/>
      <c r="AB180" s="409"/>
      <c r="AC180" s="527"/>
      <c r="AD180" s="428"/>
      <c r="AE180" s="429"/>
      <c r="AF180" s="427"/>
    </row>
    <row r="181" spans="1:32" s="445" customFormat="1" x14ac:dyDescent="0.25">
      <c r="A181" s="409"/>
      <c r="B181" s="409"/>
      <c r="C181" s="409"/>
      <c r="D181" s="409"/>
      <c r="E181" s="409"/>
      <c r="F181" s="409"/>
      <c r="G181" s="409"/>
      <c r="H181" s="409"/>
      <c r="I181" s="409"/>
      <c r="L181" s="409"/>
      <c r="M181" s="424"/>
      <c r="N181" s="424"/>
      <c r="O181" s="409"/>
      <c r="P181" s="409"/>
      <c r="Q181" s="409"/>
      <c r="R181" s="409"/>
      <c r="S181" s="409"/>
      <c r="T181" s="409"/>
      <c r="U181" s="409"/>
      <c r="V181" s="409"/>
      <c r="W181" s="409"/>
      <c r="X181" s="409"/>
      <c r="Y181" s="409"/>
      <c r="Z181" s="409"/>
      <c r="AA181" s="409"/>
      <c r="AB181" s="409"/>
      <c r="AC181" s="527"/>
      <c r="AD181" s="428"/>
      <c r="AE181" s="429"/>
      <c r="AF181" s="427"/>
    </row>
    <row r="182" spans="1:32" s="445" customFormat="1" ht="12.75" customHeight="1" x14ac:dyDescent="0.25">
      <c r="A182" s="409"/>
      <c r="B182" s="409"/>
      <c r="C182" s="409"/>
      <c r="D182" s="409"/>
      <c r="E182" s="409"/>
      <c r="F182" s="409"/>
      <c r="G182" s="409"/>
      <c r="H182" s="409"/>
      <c r="I182" s="409"/>
      <c r="L182" s="409"/>
      <c r="M182" s="424"/>
      <c r="N182" s="424"/>
      <c r="O182" s="409"/>
      <c r="P182" s="409"/>
      <c r="Q182" s="409"/>
      <c r="R182" s="409"/>
      <c r="S182" s="409"/>
      <c r="T182" s="409"/>
      <c r="U182" s="409"/>
      <c r="V182" s="409"/>
      <c r="W182" s="409"/>
      <c r="X182" s="409"/>
      <c r="Y182" s="409"/>
      <c r="Z182" s="409"/>
      <c r="AA182" s="409"/>
      <c r="AB182" s="409"/>
      <c r="AC182" s="527"/>
      <c r="AD182" s="428"/>
      <c r="AE182" s="428"/>
      <c r="AF182" s="427"/>
    </row>
    <row r="183" spans="1:32" s="445" customFormat="1" x14ac:dyDescent="0.25">
      <c r="A183" s="409"/>
      <c r="B183" s="409"/>
      <c r="C183" s="409"/>
      <c r="D183" s="409"/>
      <c r="E183" s="409"/>
      <c r="F183" s="409"/>
      <c r="G183" s="409"/>
      <c r="H183" s="409"/>
      <c r="I183" s="409"/>
      <c r="L183" s="409"/>
      <c r="M183" s="424"/>
      <c r="N183" s="424"/>
      <c r="O183" s="409"/>
      <c r="P183" s="409"/>
      <c r="Q183" s="409"/>
      <c r="R183" s="409"/>
      <c r="S183" s="409"/>
      <c r="T183" s="409"/>
      <c r="U183" s="409"/>
      <c r="V183" s="409"/>
      <c r="W183" s="409"/>
      <c r="X183" s="409"/>
      <c r="Y183" s="409"/>
      <c r="Z183" s="409"/>
      <c r="AA183" s="409"/>
      <c r="AB183" s="409"/>
      <c r="AC183" s="527"/>
      <c r="AD183" s="428"/>
      <c r="AE183" s="431"/>
      <c r="AF183" s="427"/>
    </row>
    <row r="184" spans="1:32" s="445" customFormat="1" x14ac:dyDescent="0.25">
      <c r="A184" s="409"/>
      <c r="B184" s="409"/>
      <c r="C184" s="409"/>
      <c r="D184" s="409"/>
      <c r="E184" s="409"/>
      <c r="F184" s="409"/>
      <c r="G184" s="409"/>
      <c r="H184" s="409"/>
      <c r="I184" s="409"/>
      <c r="J184" s="409"/>
      <c r="K184" s="409"/>
      <c r="L184" s="409"/>
      <c r="M184" s="424"/>
      <c r="N184" s="424"/>
      <c r="O184" s="409"/>
      <c r="P184" s="409"/>
      <c r="Q184" s="409"/>
      <c r="R184" s="409"/>
      <c r="S184" s="409"/>
      <c r="T184" s="409"/>
      <c r="U184" s="409"/>
      <c r="V184" s="409"/>
      <c r="W184" s="409"/>
      <c r="X184" s="409"/>
      <c r="Y184" s="409"/>
      <c r="Z184" s="409"/>
      <c r="AA184" s="409"/>
      <c r="AB184" s="409"/>
      <c r="AC184" s="527"/>
      <c r="AD184" s="428"/>
      <c r="AE184" s="429"/>
      <c r="AF184" s="427"/>
    </row>
    <row r="185" spans="1:32" s="445" customFormat="1" x14ac:dyDescent="0.25">
      <c r="A185" s="409"/>
      <c r="B185" s="409"/>
      <c r="C185" s="409"/>
      <c r="D185" s="409"/>
      <c r="E185" s="409"/>
      <c r="F185" s="409"/>
      <c r="G185" s="409"/>
      <c r="H185" s="409"/>
      <c r="I185" s="409"/>
      <c r="J185" s="409"/>
      <c r="K185" s="409"/>
      <c r="L185" s="409"/>
      <c r="M185" s="424"/>
      <c r="N185" s="424"/>
      <c r="O185" s="409"/>
      <c r="P185" s="409"/>
      <c r="Q185" s="409"/>
      <c r="R185" s="409"/>
      <c r="S185" s="409"/>
      <c r="T185" s="409"/>
      <c r="U185" s="409"/>
      <c r="V185" s="409"/>
      <c r="W185" s="409"/>
      <c r="X185" s="409"/>
      <c r="Y185" s="409"/>
      <c r="Z185" s="409"/>
      <c r="AA185" s="409"/>
      <c r="AB185" s="409"/>
      <c r="AC185" s="527"/>
      <c r="AD185" s="430"/>
      <c r="AE185" s="428"/>
      <c r="AF185" s="427"/>
    </row>
    <row r="186" spans="1:32" s="445" customFormat="1" x14ac:dyDescent="0.25">
      <c r="A186" s="409"/>
      <c r="B186" s="409"/>
      <c r="C186" s="409"/>
      <c r="D186" s="409"/>
      <c r="E186" s="409"/>
      <c r="F186" s="409"/>
      <c r="G186" s="409"/>
      <c r="H186" s="409"/>
      <c r="I186" s="409"/>
      <c r="J186" s="409"/>
      <c r="K186" s="409"/>
      <c r="L186" s="409"/>
      <c r="M186" s="424"/>
      <c r="N186" s="424"/>
      <c r="O186" s="409"/>
      <c r="P186" s="409"/>
      <c r="Q186" s="409"/>
      <c r="R186" s="409"/>
      <c r="S186" s="409"/>
      <c r="T186" s="409"/>
      <c r="U186" s="409"/>
      <c r="V186" s="409"/>
      <c r="W186" s="409"/>
      <c r="X186" s="409"/>
      <c r="Y186" s="409"/>
      <c r="Z186" s="409"/>
      <c r="AA186" s="409"/>
      <c r="AB186" s="409"/>
      <c r="AC186" s="527"/>
      <c r="AD186" s="430"/>
      <c r="AE186" s="428"/>
      <c r="AF186" s="427"/>
    </row>
    <row r="187" spans="1:32" s="445" customFormat="1" x14ac:dyDescent="0.25">
      <c r="A187" s="409"/>
      <c r="B187" s="409"/>
      <c r="C187" s="409"/>
      <c r="D187" s="409"/>
      <c r="E187" s="409"/>
      <c r="F187" s="409"/>
      <c r="G187" s="409"/>
      <c r="H187" s="409"/>
      <c r="I187" s="409"/>
      <c r="J187" s="409"/>
      <c r="K187" s="409"/>
      <c r="L187" s="409"/>
      <c r="M187" s="424"/>
      <c r="N187" s="424"/>
      <c r="O187" s="409"/>
      <c r="P187" s="409"/>
      <c r="Q187" s="409"/>
      <c r="R187" s="409"/>
      <c r="S187" s="409"/>
      <c r="T187" s="409"/>
      <c r="U187" s="409"/>
      <c r="V187" s="409"/>
      <c r="W187" s="409"/>
      <c r="X187" s="409"/>
      <c r="Y187" s="409"/>
      <c r="Z187" s="409"/>
      <c r="AA187" s="409"/>
      <c r="AB187" s="409"/>
      <c r="AC187" s="527"/>
      <c r="AD187" s="430"/>
      <c r="AE187" s="428"/>
      <c r="AF187" s="430"/>
    </row>
    <row r="188" spans="1:32" s="445" customFormat="1" x14ac:dyDescent="0.25">
      <c r="A188" s="409"/>
      <c r="B188" s="409"/>
      <c r="C188" s="409"/>
      <c r="D188" s="409"/>
      <c r="E188" s="409"/>
      <c r="F188" s="409"/>
      <c r="G188" s="409"/>
      <c r="H188" s="409"/>
      <c r="I188" s="409"/>
      <c r="J188" s="409"/>
      <c r="K188" s="409"/>
      <c r="L188" s="409"/>
      <c r="M188" s="424"/>
      <c r="N188" s="424"/>
      <c r="O188" s="409"/>
      <c r="P188" s="409"/>
      <c r="Q188" s="409"/>
      <c r="R188" s="409"/>
      <c r="S188" s="409"/>
      <c r="T188" s="409"/>
      <c r="U188" s="409"/>
      <c r="V188" s="409"/>
      <c r="W188" s="409"/>
      <c r="X188" s="409"/>
      <c r="Y188" s="409"/>
      <c r="Z188" s="409"/>
      <c r="AA188" s="409"/>
      <c r="AB188" s="409"/>
      <c r="AC188" s="527"/>
      <c r="AD188" s="409"/>
      <c r="AE188" s="413"/>
      <c r="AF188" s="430"/>
    </row>
    <row r="189" spans="1:32" s="445" customFormat="1" x14ac:dyDescent="0.25">
      <c r="A189" s="409"/>
      <c r="B189" s="409"/>
      <c r="C189" s="409"/>
      <c r="D189" s="409"/>
      <c r="E189" s="409"/>
      <c r="F189" s="409"/>
      <c r="G189" s="409"/>
      <c r="H189" s="409"/>
      <c r="I189" s="409"/>
      <c r="J189" s="409"/>
      <c r="K189" s="409"/>
      <c r="L189" s="409"/>
      <c r="M189" s="424"/>
      <c r="N189" s="424"/>
      <c r="O189" s="409"/>
      <c r="P189" s="409"/>
      <c r="Q189" s="409"/>
      <c r="R189" s="409"/>
      <c r="S189" s="409"/>
      <c r="T189" s="409"/>
      <c r="U189" s="409"/>
      <c r="V189" s="409"/>
      <c r="W189" s="409"/>
      <c r="X189" s="409"/>
      <c r="Y189" s="409"/>
      <c r="Z189" s="409"/>
      <c r="AA189" s="409"/>
      <c r="AB189" s="409"/>
      <c r="AC189" s="527"/>
      <c r="AD189" s="409"/>
      <c r="AE189" s="413"/>
      <c r="AF189" s="430"/>
    </row>
    <row r="190" spans="1:32" s="445" customFormat="1" x14ac:dyDescent="0.25">
      <c r="A190" s="409"/>
      <c r="B190" s="409"/>
      <c r="C190" s="409"/>
      <c r="D190" s="409"/>
      <c r="E190" s="409"/>
      <c r="F190" s="409"/>
      <c r="G190" s="409"/>
      <c r="H190" s="409"/>
      <c r="I190" s="409"/>
      <c r="J190" s="409"/>
      <c r="K190" s="409"/>
      <c r="L190" s="409"/>
      <c r="M190" s="424"/>
      <c r="N190" s="424"/>
      <c r="O190" s="409"/>
      <c r="P190" s="409"/>
      <c r="Q190" s="409"/>
      <c r="R190" s="409"/>
      <c r="S190" s="409"/>
      <c r="T190" s="409"/>
      <c r="U190" s="409"/>
      <c r="V190" s="409"/>
      <c r="W190" s="409"/>
      <c r="X190" s="409"/>
      <c r="Y190" s="409"/>
      <c r="Z190" s="409"/>
      <c r="AA190" s="409"/>
      <c r="AB190" s="409"/>
      <c r="AC190" s="527"/>
      <c r="AD190" s="409"/>
      <c r="AE190" s="413"/>
      <c r="AF190" s="430"/>
    </row>
    <row r="191" spans="1:32" s="445" customFormat="1" x14ac:dyDescent="0.25">
      <c r="A191" s="409"/>
      <c r="B191" s="409"/>
      <c r="C191" s="409"/>
      <c r="D191" s="409"/>
      <c r="E191" s="409"/>
      <c r="F191" s="409"/>
      <c r="G191" s="409"/>
      <c r="H191" s="409"/>
      <c r="I191" s="409"/>
      <c r="J191" s="409"/>
      <c r="K191" s="409"/>
      <c r="L191" s="409"/>
      <c r="M191" s="424"/>
      <c r="N191" s="424"/>
      <c r="O191" s="409"/>
      <c r="P191" s="409"/>
      <c r="Q191" s="409"/>
      <c r="R191" s="409"/>
      <c r="S191" s="409"/>
      <c r="T191" s="409"/>
      <c r="U191" s="409"/>
      <c r="V191" s="409"/>
      <c r="W191" s="409"/>
      <c r="X191" s="409"/>
      <c r="Y191" s="409"/>
      <c r="Z191" s="409"/>
      <c r="AA191" s="409"/>
      <c r="AB191" s="409"/>
      <c r="AC191" s="527"/>
      <c r="AD191" s="409"/>
      <c r="AE191" s="413"/>
      <c r="AF191" s="430"/>
    </row>
    <row r="192" spans="1:32" s="445" customFormat="1" x14ac:dyDescent="0.25">
      <c r="A192" s="409"/>
      <c r="B192" s="409"/>
      <c r="C192" s="409"/>
      <c r="D192" s="409"/>
      <c r="E192" s="409"/>
      <c r="F192" s="409"/>
      <c r="G192" s="409"/>
      <c r="H192" s="409"/>
      <c r="I192" s="409"/>
      <c r="J192" s="409"/>
      <c r="K192" s="409"/>
      <c r="L192" s="409"/>
      <c r="M192" s="424"/>
      <c r="N192" s="424"/>
      <c r="O192" s="409"/>
      <c r="P192" s="409"/>
      <c r="Q192" s="409"/>
      <c r="R192" s="409"/>
      <c r="S192" s="409"/>
      <c r="T192" s="409"/>
      <c r="U192" s="409"/>
      <c r="V192" s="409"/>
      <c r="W192" s="409"/>
      <c r="X192" s="409"/>
      <c r="Y192" s="409"/>
      <c r="Z192" s="409"/>
      <c r="AA192" s="409"/>
      <c r="AB192" s="409"/>
      <c r="AC192" s="527"/>
      <c r="AD192" s="409"/>
      <c r="AE192" s="413"/>
      <c r="AF192" s="430"/>
    </row>
    <row r="193" spans="1:32" s="445" customFormat="1" ht="12" customHeight="1" x14ac:dyDescent="0.25">
      <c r="A193" s="409"/>
      <c r="B193" s="409"/>
      <c r="C193" s="409"/>
      <c r="D193" s="409"/>
      <c r="E193" s="409"/>
      <c r="F193" s="409"/>
      <c r="G193" s="409"/>
      <c r="H193" s="409"/>
      <c r="I193" s="409"/>
      <c r="J193" s="409"/>
      <c r="K193" s="409"/>
      <c r="L193" s="409"/>
      <c r="M193" s="424"/>
      <c r="N193" s="424"/>
      <c r="O193" s="409"/>
      <c r="P193" s="409"/>
      <c r="Q193" s="409"/>
      <c r="R193" s="409"/>
      <c r="S193" s="409"/>
      <c r="T193" s="409"/>
      <c r="U193" s="409"/>
      <c r="V193" s="409"/>
      <c r="W193" s="409"/>
      <c r="X193" s="409"/>
      <c r="Y193" s="409"/>
      <c r="Z193" s="409"/>
      <c r="AA193" s="409"/>
      <c r="AB193" s="409"/>
      <c r="AC193" s="527"/>
      <c r="AD193" s="409"/>
      <c r="AE193" s="413"/>
      <c r="AF193" s="430"/>
    </row>
    <row r="194" spans="1:32" s="445" customFormat="1" ht="12" customHeight="1" x14ac:dyDescent="0.25">
      <c r="A194" s="409"/>
      <c r="B194" s="409"/>
      <c r="C194" s="409"/>
      <c r="D194" s="409"/>
      <c r="E194" s="409"/>
      <c r="F194" s="409"/>
      <c r="G194" s="409"/>
      <c r="H194" s="409"/>
      <c r="I194" s="409"/>
      <c r="J194" s="409"/>
      <c r="K194" s="409"/>
      <c r="L194" s="409"/>
      <c r="M194" s="424"/>
      <c r="N194" s="424"/>
      <c r="O194" s="409"/>
      <c r="P194" s="409"/>
      <c r="Q194" s="409"/>
      <c r="R194" s="409"/>
      <c r="S194" s="409"/>
      <c r="T194" s="409"/>
      <c r="U194" s="409"/>
      <c r="V194" s="409"/>
      <c r="W194" s="409"/>
      <c r="X194" s="409"/>
      <c r="Y194" s="409"/>
      <c r="Z194" s="409"/>
      <c r="AA194" s="409"/>
      <c r="AB194" s="409"/>
      <c r="AC194" s="527"/>
      <c r="AD194" s="409"/>
      <c r="AE194" s="413"/>
      <c r="AF194" s="430"/>
    </row>
    <row r="195" spans="1:32" s="445" customFormat="1" ht="12" customHeight="1" x14ac:dyDescent="0.25">
      <c r="A195" s="409"/>
      <c r="B195" s="409"/>
      <c r="C195" s="409"/>
      <c r="D195" s="409"/>
      <c r="E195" s="409"/>
      <c r="F195" s="409"/>
      <c r="G195" s="409"/>
      <c r="H195" s="409"/>
      <c r="I195" s="409"/>
      <c r="J195" s="409"/>
      <c r="K195" s="409"/>
      <c r="L195" s="409"/>
      <c r="M195" s="424"/>
      <c r="N195" s="424"/>
      <c r="O195" s="409"/>
      <c r="P195" s="409"/>
      <c r="Q195" s="409"/>
      <c r="R195" s="409"/>
      <c r="S195" s="409"/>
      <c r="T195" s="409"/>
      <c r="U195" s="409"/>
      <c r="V195" s="409"/>
      <c r="W195" s="409"/>
      <c r="X195" s="409"/>
      <c r="Y195" s="409"/>
      <c r="Z195" s="409"/>
      <c r="AA195" s="409"/>
      <c r="AB195" s="409"/>
      <c r="AC195" s="527"/>
      <c r="AD195" s="409"/>
      <c r="AE195" s="413"/>
      <c r="AF195" s="409"/>
    </row>
    <row r="196" spans="1:32" s="445" customFormat="1" ht="12" customHeight="1" x14ac:dyDescent="0.25">
      <c r="A196" s="409"/>
      <c r="B196" s="409"/>
      <c r="C196" s="409"/>
      <c r="D196" s="409"/>
      <c r="E196" s="409"/>
      <c r="F196" s="409"/>
      <c r="G196" s="409"/>
      <c r="H196" s="409"/>
      <c r="I196" s="409"/>
      <c r="J196" s="409"/>
      <c r="K196" s="409"/>
      <c r="L196" s="409"/>
      <c r="M196" s="424"/>
      <c r="N196" s="424"/>
      <c r="O196" s="409"/>
      <c r="P196" s="409"/>
      <c r="Q196" s="409"/>
      <c r="R196" s="409"/>
      <c r="S196" s="409"/>
      <c r="T196" s="409"/>
      <c r="U196" s="409"/>
      <c r="V196" s="409"/>
      <c r="W196" s="409"/>
      <c r="X196" s="409"/>
      <c r="Y196" s="409"/>
      <c r="Z196" s="409"/>
      <c r="AA196" s="409"/>
      <c r="AB196" s="409"/>
      <c r="AC196" s="527"/>
      <c r="AD196" s="409"/>
      <c r="AE196" s="413"/>
      <c r="AF196" s="409"/>
    </row>
    <row r="197" spans="1:32" s="445" customFormat="1" ht="12" customHeight="1" x14ac:dyDescent="0.25">
      <c r="A197" s="409"/>
      <c r="B197" s="409"/>
      <c r="C197" s="409"/>
      <c r="D197" s="409"/>
      <c r="E197" s="409"/>
      <c r="F197" s="409"/>
      <c r="G197" s="409"/>
      <c r="H197" s="409"/>
      <c r="I197" s="409"/>
      <c r="J197" s="409"/>
      <c r="K197" s="409"/>
      <c r="L197" s="409"/>
      <c r="M197" s="424"/>
      <c r="N197" s="424"/>
      <c r="O197" s="409"/>
      <c r="P197" s="409"/>
      <c r="Q197" s="409"/>
      <c r="R197" s="409"/>
      <c r="S197" s="409"/>
      <c r="T197" s="409"/>
      <c r="U197" s="409"/>
      <c r="V197" s="409"/>
      <c r="W197" s="409"/>
      <c r="X197" s="409"/>
      <c r="Y197" s="409"/>
      <c r="Z197" s="409"/>
      <c r="AA197" s="409"/>
      <c r="AB197" s="409"/>
      <c r="AC197" s="527"/>
      <c r="AD197" s="409"/>
      <c r="AE197" s="413"/>
      <c r="AF197" s="409"/>
    </row>
    <row r="198" spans="1:32" s="445" customFormat="1" ht="12" customHeight="1" x14ac:dyDescent="0.25">
      <c r="A198" s="409"/>
      <c r="B198" s="409"/>
      <c r="C198" s="409"/>
      <c r="D198" s="409"/>
      <c r="E198" s="409"/>
      <c r="F198" s="409"/>
      <c r="G198" s="409"/>
      <c r="H198" s="409"/>
      <c r="I198" s="409"/>
      <c r="J198" s="409"/>
      <c r="K198" s="409"/>
      <c r="L198" s="409"/>
      <c r="M198" s="424"/>
      <c r="N198" s="424"/>
      <c r="O198" s="409"/>
      <c r="P198" s="409"/>
      <c r="Q198" s="409"/>
      <c r="R198" s="409"/>
      <c r="S198" s="409"/>
      <c r="T198" s="409"/>
      <c r="U198" s="409"/>
      <c r="V198" s="409"/>
      <c r="W198" s="409"/>
      <c r="X198" s="409"/>
      <c r="Y198" s="409"/>
      <c r="Z198" s="409"/>
      <c r="AA198" s="409"/>
      <c r="AB198" s="409"/>
      <c r="AC198" s="527"/>
      <c r="AD198" s="409"/>
      <c r="AE198" s="413"/>
      <c r="AF198" s="409"/>
    </row>
    <row r="199" spans="1:32" s="445" customFormat="1" ht="12" customHeight="1" x14ac:dyDescent="0.25">
      <c r="A199" s="409"/>
      <c r="B199" s="409"/>
      <c r="C199" s="409"/>
      <c r="D199" s="409"/>
      <c r="E199" s="409"/>
      <c r="F199" s="409"/>
      <c r="G199" s="409"/>
      <c r="H199" s="409"/>
      <c r="I199" s="409"/>
      <c r="J199" s="409"/>
      <c r="K199" s="409"/>
      <c r="L199" s="409"/>
      <c r="M199" s="424"/>
      <c r="N199" s="424"/>
      <c r="O199" s="409"/>
      <c r="P199" s="409"/>
      <c r="Q199" s="409"/>
      <c r="R199" s="409"/>
      <c r="S199" s="409"/>
      <c r="T199" s="409"/>
      <c r="U199" s="409"/>
      <c r="V199" s="409"/>
      <c r="W199" s="409"/>
      <c r="X199" s="409"/>
      <c r="Y199" s="409"/>
      <c r="Z199" s="409"/>
      <c r="AA199" s="409"/>
      <c r="AB199" s="409"/>
      <c r="AC199" s="527"/>
      <c r="AD199" s="409"/>
      <c r="AE199" s="413"/>
      <c r="AF199" s="409"/>
    </row>
    <row r="200" spans="1:32" s="445" customFormat="1" ht="12" customHeight="1" x14ac:dyDescent="0.25">
      <c r="A200" s="409"/>
      <c r="B200" s="409"/>
      <c r="C200" s="409"/>
      <c r="D200" s="409"/>
      <c r="E200" s="409"/>
      <c r="F200" s="409"/>
      <c r="G200" s="409"/>
      <c r="H200" s="409"/>
      <c r="I200" s="409"/>
      <c r="J200" s="409"/>
      <c r="K200" s="409"/>
      <c r="L200" s="409"/>
      <c r="M200" s="424"/>
      <c r="N200" s="424"/>
      <c r="O200" s="409"/>
      <c r="P200" s="409"/>
      <c r="Q200" s="409"/>
      <c r="R200" s="409"/>
      <c r="S200" s="409"/>
      <c r="T200" s="409"/>
      <c r="U200" s="409"/>
      <c r="V200" s="409"/>
      <c r="W200" s="409"/>
      <c r="X200" s="409"/>
      <c r="Y200" s="409"/>
      <c r="Z200" s="409"/>
      <c r="AA200" s="409"/>
      <c r="AB200" s="409"/>
      <c r="AC200" s="527"/>
      <c r="AD200" s="409"/>
      <c r="AE200" s="413"/>
      <c r="AF200" s="409"/>
    </row>
    <row r="201" spans="1:32" s="445" customFormat="1" ht="12" customHeight="1" x14ac:dyDescent="0.25">
      <c r="A201" s="409"/>
      <c r="B201" s="409"/>
      <c r="C201" s="409"/>
      <c r="D201" s="409"/>
      <c r="E201" s="409"/>
      <c r="F201" s="409"/>
      <c r="G201" s="409"/>
      <c r="H201" s="409"/>
      <c r="I201" s="409"/>
      <c r="J201" s="409"/>
      <c r="K201" s="409"/>
      <c r="L201" s="409"/>
      <c r="M201" s="424"/>
      <c r="N201" s="424"/>
      <c r="O201" s="409"/>
      <c r="P201" s="409"/>
      <c r="Q201" s="409"/>
      <c r="R201" s="409"/>
      <c r="S201" s="409"/>
      <c r="T201" s="409"/>
      <c r="U201" s="409"/>
      <c r="V201" s="409"/>
      <c r="W201" s="409"/>
      <c r="X201" s="409"/>
      <c r="Y201" s="409"/>
      <c r="Z201" s="409"/>
      <c r="AA201" s="409"/>
      <c r="AB201" s="409"/>
      <c r="AC201" s="527"/>
      <c r="AD201" s="409"/>
      <c r="AE201" s="413"/>
      <c r="AF201" s="409"/>
    </row>
    <row r="202" spans="1:32" s="445" customFormat="1" ht="12" customHeight="1" x14ac:dyDescent="0.25">
      <c r="A202" s="409"/>
      <c r="B202" s="409"/>
      <c r="C202" s="409"/>
      <c r="D202" s="409"/>
      <c r="E202" s="409"/>
      <c r="F202" s="409"/>
      <c r="G202" s="409"/>
      <c r="H202" s="409"/>
      <c r="I202" s="409"/>
      <c r="J202" s="409"/>
      <c r="K202" s="409"/>
      <c r="L202" s="409"/>
      <c r="M202" s="424"/>
      <c r="N202" s="424"/>
      <c r="O202" s="409"/>
      <c r="P202" s="409"/>
      <c r="Q202" s="409"/>
      <c r="R202" s="409"/>
      <c r="S202" s="409"/>
      <c r="T202" s="409"/>
      <c r="U202" s="409"/>
      <c r="V202" s="409"/>
      <c r="W202" s="409"/>
      <c r="X202" s="409"/>
      <c r="Y202" s="409"/>
      <c r="Z202" s="409"/>
      <c r="AA202" s="409"/>
      <c r="AB202" s="409"/>
      <c r="AC202" s="527"/>
      <c r="AD202" s="409"/>
      <c r="AE202" s="413"/>
      <c r="AF202" s="409"/>
    </row>
    <row r="203" spans="1:32" s="445" customFormat="1" ht="12" customHeight="1" x14ac:dyDescent="0.25">
      <c r="A203" s="409"/>
      <c r="B203" s="409"/>
      <c r="C203" s="409"/>
      <c r="D203" s="409"/>
      <c r="E203" s="409"/>
      <c r="F203" s="409"/>
      <c r="G203" s="409"/>
      <c r="H203" s="409"/>
      <c r="I203" s="409"/>
      <c r="J203" s="409"/>
      <c r="K203" s="409"/>
      <c r="L203" s="409"/>
      <c r="M203" s="424"/>
      <c r="N203" s="424"/>
      <c r="O203" s="409"/>
      <c r="P203" s="409"/>
      <c r="Q203" s="409"/>
      <c r="R203" s="409"/>
      <c r="S203" s="409"/>
      <c r="T203" s="409"/>
      <c r="U203" s="409"/>
      <c r="V203" s="409"/>
      <c r="W203" s="409"/>
      <c r="X203" s="409"/>
      <c r="Y203" s="409"/>
      <c r="Z203" s="409"/>
      <c r="AA203" s="409"/>
      <c r="AB203" s="409"/>
      <c r="AC203" s="527"/>
      <c r="AD203" s="409"/>
      <c r="AE203" s="413"/>
      <c r="AF203" s="409"/>
    </row>
    <row r="204" spans="1:32" s="445" customFormat="1" ht="12" customHeight="1" x14ac:dyDescent="0.25">
      <c r="A204" s="409"/>
      <c r="B204" s="409"/>
      <c r="C204" s="409"/>
      <c r="D204" s="409"/>
      <c r="E204" s="409"/>
      <c r="F204" s="409"/>
      <c r="G204" s="409"/>
      <c r="H204" s="409"/>
      <c r="I204" s="409"/>
      <c r="J204" s="409"/>
      <c r="K204" s="409"/>
      <c r="L204" s="409"/>
      <c r="M204" s="424"/>
      <c r="N204" s="424"/>
      <c r="O204" s="409"/>
      <c r="P204" s="409"/>
      <c r="Q204" s="409"/>
      <c r="R204" s="409"/>
      <c r="S204" s="409"/>
      <c r="T204" s="409"/>
      <c r="U204" s="409"/>
      <c r="V204" s="409"/>
      <c r="W204" s="409"/>
      <c r="X204" s="409"/>
      <c r="Y204" s="409"/>
      <c r="Z204" s="409"/>
      <c r="AA204" s="409"/>
      <c r="AB204" s="409"/>
      <c r="AC204" s="527"/>
      <c r="AD204" s="409"/>
      <c r="AE204" s="413"/>
      <c r="AF204" s="409"/>
    </row>
    <row r="205" spans="1:32" s="445" customFormat="1" ht="12" customHeight="1" x14ac:dyDescent="0.25">
      <c r="A205" s="409"/>
      <c r="B205" s="409"/>
      <c r="C205" s="409"/>
      <c r="D205" s="409"/>
      <c r="E205" s="409"/>
      <c r="F205" s="409"/>
      <c r="G205" s="409"/>
      <c r="H205" s="409"/>
      <c r="I205" s="409"/>
      <c r="J205" s="409"/>
      <c r="K205" s="409"/>
      <c r="L205" s="409"/>
      <c r="M205" s="424"/>
      <c r="N205" s="424"/>
      <c r="O205" s="409"/>
      <c r="P205" s="409"/>
      <c r="Q205" s="409"/>
      <c r="R205" s="409"/>
      <c r="S205" s="409"/>
      <c r="T205" s="409"/>
      <c r="U205" s="409"/>
      <c r="V205" s="409"/>
      <c r="W205" s="409"/>
      <c r="X205" s="409"/>
      <c r="Y205" s="409"/>
      <c r="Z205" s="409"/>
      <c r="AA205" s="409"/>
      <c r="AB205" s="409"/>
      <c r="AC205" s="527"/>
      <c r="AD205" s="409"/>
      <c r="AE205" s="413"/>
      <c r="AF205" s="409"/>
    </row>
    <row r="206" spans="1:32" s="445" customFormat="1" ht="12" customHeight="1" x14ac:dyDescent="0.25">
      <c r="A206" s="409"/>
      <c r="B206" s="409"/>
      <c r="C206" s="409"/>
      <c r="D206" s="409"/>
      <c r="E206" s="409"/>
      <c r="F206" s="409"/>
      <c r="G206" s="409"/>
      <c r="H206" s="409"/>
      <c r="I206" s="409"/>
      <c r="J206" s="409"/>
      <c r="K206" s="409"/>
      <c r="L206" s="409"/>
      <c r="M206" s="424"/>
      <c r="N206" s="424"/>
      <c r="O206" s="409"/>
      <c r="P206" s="409"/>
      <c r="Q206" s="409"/>
      <c r="R206" s="409"/>
      <c r="S206" s="409"/>
      <c r="T206" s="409"/>
      <c r="U206" s="409"/>
      <c r="V206" s="409"/>
      <c r="W206" s="409"/>
      <c r="X206" s="409"/>
      <c r="Y206" s="409"/>
      <c r="Z206" s="409"/>
      <c r="AA206" s="409"/>
      <c r="AB206" s="409"/>
      <c r="AC206" s="527"/>
      <c r="AD206" s="409"/>
      <c r="AE206" s="413"/>
      <c r="AF206" s="409"/>
    </row>
    <row r="207" spans="1:32" s="445" customFormat="1" ht="12" customHeight="1" x14ac:dyDescent="0.25">
      <c r="A207" s="409"/>
      <c r="B207" s="409"/>
      <c r="C207" s="409"/>
      <c r="D207" s="409"/>
      <c r="E207" s="409"/>
      <c r="F207" s="409"/>
      <c r="G207" s="409"/>
      <c r="H207" s="409"/>
      <c r="I207" s="409"/>
      <c r="J207" s="409"/>
      <c r="K207" s="409"/>
      <c r="L207" s="409"/>
      <c r="M207" s="424"/>
      <c r="N207" s="424"/>
      <c r="O207" s="409"/>
      <c r="P207" s="409"/>
      <c r="Q207" s="409"/>
      <c r="R207" s="409"/>
      <c r="S207" s="409"/>
      <c r="T207" s="409"/>
      <c r="U207" s="409"/>
      <c r="V207" s="409"/>
      <c r="W207" s="409"/>
      <c r="X207" s="409"/>
      <c r="Y207" s="409"/>
      <c r="Z207" s="409"/>
      <c r="AA207" s="409"/>
      <c r="AB207" s="409"/>
      <c r="AC207" s="527"/>
      <c r="AD207" s="409"/>
      <c r="AE207" s="413"/>
      <c r="AF207" s="409"/>
    </row>
    <row r="208" spans="1:32" s="445" customFormat="1" ht="12" customHeight="1" x14ac:dyDescent="0.25">
      <c r="A208" s="409"/>
      <c r="B208" s="409"/>
      <c r="C208" s="409"/>
      <c r="D208" s="409"/>
      <c r="E208" s="409"/>
      <c r="F208" s="409"/>
      <c r="G208" s="409"/>
      <c r="H208" s="409"/>
      <c r="I208" s="409"/>
      <c r="J208" s="409"/>
      <c r="K208" s="409"/>
      <c r="L208" s="409"/>
      <c r="M208" s="424"/>
      <c r="N208" s="424"/>
      <c r="O208" s="409"/>
      <c r="P208" s="409"/>
      <c r="Q208" s="409"/>
      <c r="R208" s="409"/>
      <c r="S208" s="409"/>
      <c r="T208" s="409"/>
      <c r="U208" s="409"/>
      <c r="V208" s="409"/>
      <c r="W208" s="409"/>
      <c r="X208" s="409"/>
      <c r="Y208" s="409"/>
      <c r="Z208" s="409"/>
      <c r="AA208" s="409"/>
      <c r="AB208" s="409"/>
      <c r="AC208" s="527"/>
      <c r="AD208" s="409"/>
      <c r="AE208" s="413"/>
      <c r="AF208" s="409"/>
    </row>
    <row r="209" spans="1:33" s="445" customFormat="1" ht="12" customHeight="1" x14ac:dyDescent="0.25">
      <c r="A209" s="409"/>
      <c r="B209" s="409"/>
      <c r="C209" s="409"/>
      <c r="D209" s="409"/>
      <c r="E209" s="409"/>
      <c r="F209" s="409"/>
      <c r="G209" s="409"/>
      <c r="H209" s="409"/>
      <c r="I209" s="409"/>
      <c r="J209" s="409"/>
      <c r="K209" s="409"/>
      <c r="L209" s="409"/>
      <c r="M209" s="424"/>
      <c r="N209" s="424"/>
      <c r="O209" s="409"/>
      <c r="P209" s="409"/>
      <c r="Q209" s="409"/>
      <c r="R209" s="409"/>
      <c r="S209" s="409"/>
      <c r="T209" s="409"/>
      <c r="U209" s="409"/>
      <c r="V209" s="409"/>
      <c r="W209" s="409"/>
      <c r="X209" s="409"/>
      <c r="Y209" s="409"/>
      <c r="Z209" s="409"/>
      <c r="AA209" s="409"/>
      <c r="AB209" s="409"/>
      <c r="AC209" s="527"/>
      <c r="AD209" s="409"/>
      <c r="AE209" s="413"/>
      <c r="AF209" s="409"/>
    </row>
    <row r="210" spans="1:33" s="445" customFormat="1" ht="12" customHeight="1" x14ac:dyDescent="0.25">
      <c r="A210" s="409"/>
      <c r="B210" s="409"/>
      <c r="C210" s="409"/>
      <c r="D210" s="409"/>
      <c r="E210" s="409"/>
      <c r="F210" s="409"/>
      <c r="G210" s="409"/>
      <c r="H210" s="409"/>
      <c r="I210" s="409"/>
      <c r="J210" s="409"/>
      <c r="K210" s="409"/>
      <c r="L210" s="409"/>
      <c r="M210" s="424"/>
      <c r="N210" s="424"/>
      <c r="O210" s="409"/>
      <c r="P210" s="409"/>
      <c r="Q210" s="409"/>
      <c r="R210" s="409"/>
      <c r="S210" s="409"/>
      <c r="T210" s="409"/>
      <c r="U210" s="409"/>
      <c r="V210" s="409"/>
      <c r="W210" s="409"/>
      <c r="X210" s="409"/>
      <c r="Y210" s="409"/>
      <c r="Z210" s="409"/>
      <c r="AA210" s="409"/>
      <c r="AB210" s="409"/>
      <c r="AC210" s="527"/>
      <c r="AD210" s="409"/>
      <c r="AE210" s="413"/>
      <c r="AF210" s="409"/>
    </row>
    <row r="211" spans="1:33" s="445" customFormat="1" ht="12" customHeight="1" x14ac:dyDescent="0.25">
      <c r="A211" s="409"/>
      <c r="B211" s="409"/>
      <c r="C211" s="409"/>
      <c r="D211" s="409"/>
      <c r="E211" s="409"/>
      <c r="F211" s="409"/>
      <c r="G211" s="409"/>
      <c r="H211" s="409"/>
      <c r="I211" s="409"/>
      <c r="J211" s="409"/>
      <c r="K211" s="409"/>
      <c r="L211" s="409"/>
      <c r="M211" s="424"/>
      <c r="N211" s="424"/>
      <c r="O211" s="409"/>
      <c r="P211" s="409"/>
      <c r="Q211" s="409"/>
      <c r="R211" s="409"/>
      <c r="S211" s="409"/>
      <c r="T211" s="409"/>
      <c r="U211" s="409"/>
      <c r="V211" s="409"/>
      <c r="W211" s="409"/>
      <c r="X211" s="409"/>
      <c r="Y211" s="409"/>
      <c r="Z211" s="409"/>
      <c r="AA211" s="409"/>
      <c r="AB211" s="409"/>
      <c r="AC211" s="527"/>
      <c r="AD211" s="409"/>
      <c r="AE211" s="413"/>
      <c r="AF211" s="409"/>
    </row>
    <row r="212" spans="1:33" s="382" customFormat="1" x14ac:dyDescent="0.25">
      <c r="A212" s="409"/>
      <c r="B212" s="409"/>
      <c r="C212" s="409"/>
      <c r="D212" s="409"/>
      <c r="E212" s="409"/>
      <c r="F212" s="409"/>
      <c r="G212" s="409"/>
      <c r="H212" s="409"/>
      <c r="I212" s="409"/>
      <c r="J212" s="409"/>
      <c r="K212" s="409"/>
      <c r="L212" s="409"/>
      <c r="M212" s="424"/>
      <c r="N212" s="424"/>
      <c r="O212" s="409"/>
      <c r="P212" s="409"/>
      <c r="Q212" s="409"/>
      <c r="R212" s="409"/>
      <c r="S212" s="409"/>
      <c r="T212" s="409"/>
      <c r="U212" s="409"/>
      <c r="V212" s="409"/>
      <c r="W212" s="409"/>
      <c r="X212" s="409"/>
      <c r="Y212" s="409"/>
      <c r="Z212" s="409"/>
      <c r="AA212" s="409"/>
      <c r="AB212" s="409"/>
      <c r="AC212" s="527"/>
      <c r="AD212" s="409"/>
      <c r="AE212" s="413"/>
      <c r="AF212" s="409"/>
      <c r="AG212" s="445"/>
    </row>
    <row r="213" spans="1:33" s="382" customFormat="1" x14ac:dyDescent="0.25">
      <c r="A213" s="409"/>
      <c r="B213" s="409"/>
      <c r="C213" s="409"/>
      <c r="D213" s="409"/>
      <c r="E213" s="409"/>
      <c r="F213" s="409"/>
      <c r="G213" s="409"/>
      <c r="H213" s="409"/>
      <c r="I213" s="409"/>
      <c r="J213" s="409"/>
      <c r="K213" s="409"/>
      <c r="L213" s="409"/>
      <c r="M213" s="424"/>
      <c r="N213" s="424"/>
      <c r="O213" s="409"/>
      <c r="P213" s="409"/>
      <c r="Q213" s="409"/>
      <c r="R213" s="409"/>
      <c r="S213" s="409"/>
      <c r="T213" s="409"/>
      <c r="U213" s="409"/>
      <c r="V213" s="409"/>
      <c r="W213" s="409"/>
      <c r="X213" s="409"/>
      <c r="Y213" s="409"/>
      <c r="Z213" s="409"/>
      <c r="AA213" s="409"/>
      <c r="AB213" s="409"/>
      <c r="AC213" s="527"/>
      <c r="AD213" s="409"/>
      <c r="AE213" s="413"/>
      <c r="AF213" s="409"/>
      <c r="AG213" s="445"/>
    </row>
    <row r="214" spans="1:33" s="382" customFormat="1" x14ac:dyDescent="0.25">
      <c r="A214" s="409"/>
      <c r="B214" s="409"/>
      <c r="C214" s="409"/>
      <c r="D214" s="409"/>
      <c r="E214" s="409"/>
      <c r="F214" s="409"/>
      <c r="G214" s="409"/>
      <c r="H214" s="409"/>
      <c r="I214" s="409"/>
      <c r="J214" s="409"/>
      <c r="K214" s="409"/>
      <c r="L214" s="409"/>
      <c r="M214" s="424"/>
      <c r="N214" s="424"/>
      <c r="O214" s="409"/>
      <c r="P214" s="409"/>
      <c r="Q214" s="409"/>
      <c r="R214" s="409"/>
      <c r="S214" s="409"/>
      <c r="T214" s="409"/>
      <c r="U214" s="409"/>
      <c r="V214" s="409"/>
      <c r="W214" s="409"/>
      <c r="X214" s="409"/>
      <c r="Y214" s="409"/>
      <c r="Z214" s="409"/>
      <c r="AA214" s="409"/>
      <c r="AB214" s="409"/>
      <c r="AC214" s="527"/>
      <c r="AD214" s="409"/>
      <c r="AE214" s="413"/>
      <c r="AF214" s="409"/>
      <c r="AG214" s="445"/>
    </row>
    <row r="215" spans="1:33" s="382" customFormat="1" x14ac:dyDescent="0.25">
      <c r="A215" s="409"/>
      <c r="B215" s="409"/>
      <c r="C215" s="409"/>
      <c r="D215" s="409"/>
      <c r="E215" s="409"/>
      <c r="F215" s="409"/>
      <c r="G215" s="409"/>
      <c r="H215" s="409"/>
      <c r="I215" s="409"/>
      <c r="J215" s="409"/>
      <c r="K215" s="409"/>
      <c r="L215" s="409"/>
      <c r="M215" s="424"/>
      <c r="N215" s="424"/>
      <c r="O215" s="409"/>
      <c r="P215" s="409"/>
      <c r="Q215" s="409"/>
      <c r="R215" s="409"/>
      <c r="S215" s="409"/>
      <c r="T215" s="409"/>
      <c r="U215" s="409"/>
      <c r="V215" s="409"/>
      <c r="W215" s="409"/>
      <c r="X215" s="409"/>
      <c r="Y215" s="409"/>
      <c r="Z215" s="409"/>
      <c r="AA215" s="409"/>
      <c r="AB215" s="409"/>
      <c r="AC215" s="527"/>
      <c r="AD215" s="409"/>
      <c r="AE215" s="413"/>
      <c r="AF215" s="409"/>
      <c r="AG215" s="445"/>
    </row>
    <row r="216" spans="1:33" s="382" customFormat="1" x14ac:dyDescent="0.25">
      <c r="A216" s="409"/>
      <c r="B216" s="409"/>
      <c r="C216" s="409"/>
      <c r="D216" s="409"/>
      <c r="E216" s="409"/>
      <c r="F216" s="409"/>
      <c r="G216" s="409"/>
      <c r="H216" s="409"/>
      <c r="I216" s="409"/>
      <c r="J216" s="409"/>
      <c r="K216" s="409"/>
      <c r="L216" s="409"/>
      <c r="M216" s="424"/>
      <c r="N216" s="424"/>
      <c r="O216" s="409"/>
      <c r="P216" s="409"/>
      <c r="Q216" s="409"/>
      <c r="R216" s="409"/>
      <c r="S216" s="409"/>
      <c r="T216" s="409"/>
      <c r="U216" s="409"/>
      <c r="V216" s="409"/>
      <c r="W216" s="409"/>
      <c r="X216" s="409"/>
      <c r="Y216" s="409"/>
      <c r="Z216" s="409"/>
      <c r="AA216" s="409"/>
      <c r="AB216" s="409"/>
      <c r="AC216" s="527"/>
      <c r="AD216" s="409"/>
      <c r="AE216" s="413"/>
      <c r="AF216" s="409"/>
      <c r="AG216" s="445"/>
    </row>
    <row r="217" spans="1:33" s="382" customFormat="1" x14ac:dyDescent="0.25">
      <c r="A217" s="409"/>
      <c r="B217" s="409"/>
      <c r="C217" s="409"/>
      <c r="D217" s="409"/>
      <c r="E217" s="409"/>
      <c r="F217" s="409"/>
      <c r="G217" s="409"/>
      <c r="H217" s="409"/>
      <c r="I217" s="409"/>
      <c r="J217" s="409"/>
      <c r="K217" s="409"/>
      <c r="L217" s="409"/>
      <c r="M217" s="424"/>
      <c r="N217" s="424"/>
      <c r="O217" s="409"/>
      <c r="P217" s="409"/>
      <c r="Q217" s="409"/>
      <c r="R217" s="409"/>
      <c r="S217" s="409"/>
      <c r="T217" s="409"/>
      <c r="U217" s="409"/>
      <c r="V217" s="409"/>
      <c r="W217" s="409"/>
      <c r="X217" s="409"/>
      <c r="Y217" s="409"/>
      <c r="Z217" s="409"/>
      <c r="AA217" s="409"/>
      <c r="AB217" s="409"/>
      <c r="AC217" s="527"/>
      <c r="AD217" s="409"/>
      <c r="AE217" s="413"/>
      <c r="AF217" s="409"/>
      <c r="AG217" s="445"/>
    </row>
    <row r="218" spans="1:33" s="382" customFormat="1" x14ac:dyDescent="0.25">
      <c r="A218" s="409"/>
      <c r="B218" s="409"/>
      <c r="C218" s="409"/>
      <c r="D218" s="409"/>
      <c r="E218" s="409"/>
      <c r="F218" s="409"/>
      <c r="G218" s="409"/>
      <c r="H218" s="409"/>
      <c r="I218" s="409"/>
      <c r="J218" s="409"/>
      <c r="K218" s="409"/>
      <c r="L218" s="409"/>
      <c r="M218" s="424"/>
      <c r="N218" s="424"/>
      <c r="O218" s="409"/>
      <c r="P218" s="409"/>
      <c r="Q218" s="409"/>
      <c r="R218" s="409"/>
      <c r="S218" s="409"/>
      <c r="T218" s="409"/>
      <c r="U218" s="409"/>
      <c r="V218" s="409"/>
      <c r="W218" s="409"/>
      <c r="X218" s="409"/>
      <c r="Y218" s="409"/>
      <c r="Z218" s="409"/>
      <c r="AA218" s="409"/>
      <c r="AB218" s="409"/>
      <c r="AC218" s="527"/>
      <c r="AD218" s="409"/>
      <c r="AE218" s="413"/>
      <c r="AF218" s="409"/>
      <c r="AG218" s="445"/>
    </row>
    <row r="219" spans="1:33" s="382" customFormat="1" x14ac:dyDescent="0.25">
      <c r="A219" s="409"/>
      <c r="B219" s="409"/>
      <c r="C219" s="409"/>
      <c r="D219" s="409"/>
      <c r="E219" s="409"/>
      <c r="F219" s="409"/>
      <c r="G219" s="409"/>
      <c r="H219" s="409"/>
      <c r="I219" s="409"/>
      <c r="J219" s="409"/>
      <c r="K219" s="409"/>
      <c r="L219" s="409"/>
      <c r="M219" s="424"/>
      <c r="N219" s="424"/>
      <c r="O219" s="409"/>
      <c r="P219" s="409"/>
      <c r="Q219" s="409"/>
      <c r="R219" s="409"/>
      <c r="S219" s="409"/>
      <c r="T219" s="409"/>
      <c r="U219" s="409"/>
      <c r="V219" s="409"/>
      <c r="W219" s="409"/>
      <c r="X219" s="409"/>
      <c r="Y219" s="409"/>
      <c r="Z219" s="409"/>
      <c r="AA219" s="409"/>
      <c r="AB219" s="409"/>
      <c r="AC219" s="527"/>
      <c r="AD219" s="409"/>
      <c r="AE219" s="413"/>
      <c r="AF219" s="409"/>
      <c r="AG219" s="445"/>
    </row>
    <row r="220" spans="1:33" s="382" customFormat="1" x14ac:dyDescent="0.25">
      <c r="A220" s="409"/>
      <c r="B220" s="409"/>
      <c r="C220" s="409"/>
      <c r="D220" s="409"/>
      <c r="E220" s="409"/>
      <c r="F220" s="409"/>
      <c r="G220" s="409"/>
      <c r="H220" s="409"/>
      <c r="I220" s="409"/>
      <c r="J220" s="409"/>
      <c r="K220" s="409"/>
      <c r="L220" s="409"/>
      <c r="M220" s="424"/>
      <c r="N220" s="424"/>
      <c r="O220" s="409"/>
      <c r="P220" s="409"/>
      <c r="Q220" s="409"/>
      <c r="R220" s="409"/>
      <c r="S220" s="409"/>
      <c r="T220" s="409"/>
      <c r="U220" s="409"/>
      <c r="V220" s="409"/>
      <c r="W220" s="409"/>
      <c r="X220" s="409"/>
      <c r="Y220" s="409"/>
      <c r="Z220" s="409"/>
      <c r="AA220" s="409"/>
      <c r="AB220" s="409"/>
      <c r="AC220" s="527"/>
      <c r="AD220" s="409"/>
      <c r="AE220" s="413"/>
      <c r="AF220" s="409"/>
      <c r="AG220" s="445"/>
    </row>
    <row r="221" spans="1:33" s="382" customFormat="1" x14ac:dyDescent="0.25">
      <c r="A221" s="409"/>
      <c r="B221" s="409"/>
      <c r="C221" s="409"/>
      <c r="D221" s="409"/>
      <c r="E221" s="409"/>
      <c r="F221" s="409"/>
      <c r="G221" s="409"/>
      <c r="H221" s="409"/>
      <c r="I221" s="409"/>
      <c r="J221" s="409"/>
      <c r="K221" s="409"/>
      <c r="L221" s="409"/>
      <c r="M221" s="424"/>
      <c r="N221" s="424"/>
      <c r="O221" s="409"/>
      <c r="P221" s="409"/>
      <c r="Q221" s="409"/>
      <c r="R221" s="409"/>
      <c r="S221" s="409"/>
      <c r="T221" s="409"/>
      <c r="U221" s="409"/>
      <c r="V221" s="409"/>
      <c r="W221" s="409"/>
      <c r="X221" s="409"/>
      <c r="Y221" s="409"/>
      <c r="Z221" s="409"/>
      <c r="AA221" s="409"/>
      <c r="AB221" s="409"/>
      <c r="AC221" s="527"/>
      <c r="AD221" s="409"/>
      <c r="AE221" s="413"/>
      <c r="AF221" s="409"/>
      <c r="AG221" s="445"/>
    </row>
    <row r="222" spans="1:33" s="382" customFormat="1" x14ac:dyDescent="0.25">
      <c r="A222" s="409"/>
      <c r="B222" s="409"/>
      <c r="C222" s="409"/>
      <c r="D222" s="409"/>
      <c r="E222" s="409"/>
      <c r="F222" s="409"/>
      <c r="G222" s="409"/>
      <c r="H222" s="409"/>
      <c r="I222" s="409"/>
      <c r="J222" s="409"/>
      <c r="K222" s="409"/>
      <c r="L222" s="409"/>
      <c r="M222" s="424"/>
      <c r="N222" s="424"/>
      <c r="O222" s="409"/>
      <c r="P222" s="409"/>
      <c r="Q222" s="409"/>
      <c r="R222" s="409"/>
      <c r="S222" s="409"/>
      <c r="T222" s="409"/>
      <c r="U222" s="409"/>
      <c r="V222" s="409"/>
      <c r="W222" s="409"/>
      <c r="X222" s="409"/>
      <c r="Y222" s="409"/>
      <c r="Z222" s="409"/>
      <c r="AA222" s="409"/>
      <c r="AB222" s="409"/>
      <c r="AC222" s="527"/>
      <c r="AD222" s="409"/>
      <c r="AE222" s="413"/>
      <c r="AF222" s="409"/>
    </row>
    <row r="223" spans="1:33" s="382" customFormat="1" x14ac:dyDescent="0.25">
      <c r="A223" s="409"/>
      <c r="B223" s="409"/>
      <c r="C223" s="409"/>
      <c r="D223" s="409"/>
      <c r="E223" s="409"/>
      <c r="F223" s="409"/>
      <c r="G223" s="409"/>
      <c r="H223" s="409"/>
      <c r="I223" s="409"/>
      <c r="J223" s="409"/>
      <c r="K223" s="409"/>
      <c r="L223" s="409"/>
      <c r="M223" s="424"/>
      <c r="N223" s="424"/>
      <c r="O223" s="409"/>
      <c r="P223" s="409"/>
      <c r="Q223" s="409"/>
      <c r="R223" s="409"/>
      <c r="S223" s="409"/>
      <c r="T223" s="409"/>
      <c r="U223" s="409"/>
      <c r="V223" s="409"/>
      <c r="W223" s="409"/>
      <c r="X223" s="409"/>
      <c r="Y223" s="409"/>
      <c r="Z223" s="409"/>
      <c r="AA223" s="409"/>
      <c r="AB223" s="409"/>
      <c r="AC223" s="527"/>
      <c r="AD223" s="409"/>
      <c r="AE223" s="413"/>
      <c r="AF223" s="409"/>
    </row>
    <row r="224" spans="1:33" s="382" customFormat="1" x14ac:dyDescent="0.25">
      <c r="A224" s="409"/>
      <c r="B224" s="409"/>
      <c r="C224" s="409"/>
      <c r="D224" s="409"/>
      <c r="E224" s="409"/>
      <c r="F224" s="409"/>
      <c r="G224" s="409"/>
      <c r="H224" s="409"/>
      <c r="I224" s="409"/>
      <c r="J224" s="409"/>
      <c r="K224" s="409"/>
      <c r="L224" s="409"/>
      <c r="M224" s="424"/>
      <c r="N224" s="424"/>
      <c r="O224" s="409"/>
      <c r="P224" s="409"/>
      <c r="Q224" s="409"/>
      <c r="R224" s="409"/>
      <c r="S224" s="409"/>
      <c r="T224" s="409"/>
      <c r="U224" s="409"/>
      <c r="V224" s="409"/>
      <c r="W224" s="409"/>
      <c r="X224" s="409"/>
      <c r="Y224" s="409"/>
      <c r="Z224" s="409"/>
      <c r="AA224" s="409"/>
      <c r="AB224" s="409"/>
      <c r="AC224" s="527"/>
      <c r="AD224" s="409"/>
      <c r="AE224" s="413"/>
      <c r="AF224" s="409"/>
    </row>
    <row r="225" spans="1:34" s="382" customFormat="1" x14ac:dyDescent="0.25">
      <c r="A225" s="409"/>
      <c r="B225" s="409"/>
      <c r="C225" s="409"/>
      <c r="D225" s="409"/>
      <c r="E225" s="409"/>
      <c r="F225" s="409"/>
      <c r="G225" s="409"/>
      <c r="H225" s="409"/>
      <c r="I225" s="409"/>
      <c r="J225" s="409"/>
      <c r="K225" s="409"/>
      <c r="L225" s="409"/>
      <c r="M225" s="424"/>
      <c r="N225" s="424"/>
      <c r="O225" s="409"/>
      <c r="P225" s="409"/>
      <c r="Q225" s="409"/>
      <c r="R225" s="409"/>
      <c r="S225" s="409"/>
      <c r="T225" s="409"/>
      <c r="U225" s="409"/>
      <c r="V225" s="409"/>
      <c r="W225" s="409"/>
      <c r="X225" s="409"/>
      <c r="Y225" s="409"/>
      <c r="Z225" s="409"/>
      <c r="AA225" s="409"/>
      <c r="AB225" s="409"/>
      <c r="AC225" s="527"/>
      <c r="AD225" s="409"/>
      <c r="AE225" s="413"/>
      <c r="AF225" s="409"/>
    </row>
    <row r="226" spans="1:34" s="382" customFormat="1" x14ac:dyDescent="0.25">
      <c r="A226" s="409"/>
      <c r="B226" s="409"/>
      <c r="C226" s="409"/>
      <c r="D226" s="409"/>
      <c r="E226" s="409"/>
      <c r="F226" s="409"/>
      <c r="G226" s="409"/>
      <c r="H226" s="409"/>
      <c r="I226" s="409"/>
      <c r="J226" s="409"/>
      <c r="K226" s="409"/>
      <c r="L226" s="409"/>
      <c r="M226" s="424"/>
      <c r="N226" s="424"/>
      <c r="O226" s="409"/>
      <c r="P226" s="409"/>
      <c r="Q226" s="409"/>
      <c r="R226" s="409"/>
      <c r="S226" s="409"/>
      <c r="T226" s="409"/>
      <c r="U226" s="409"/>
      <c r="V226" s="409"/>
      <c r="W226" s="409"/>
      <c r="X226" s="409"/>
      <c r="Y226" s="409"/>
      <c r="Z226" s="409"/>
      <c r="AA226" s="409"/>
      <c r="AB226" s="409"/>
      <c r="AC226" s="527"/>
      <c r="AD226" s="409"/>
      <c r="AE226" s="413"/>
      <c r="AF226" s="409"/>
    </row>
    <row r="227" spans="1:34" s="382" customFormat="1" x14ac:dyDescent="0.25">
      <c r="A227" s="409"/>
      <c r="B227" s="409"/>
      <c r="C227" s="409"/>
      <c r="D227" s="409"/>
      <c r="E227" s="409"/>
      <c r="F227" s="409"/>
      <c r="G227" s="409"/>
      <c r="H227" s="409"/>
      <c r="I227" s="409"/>
      <c r="J227" s="409"/>
      <c r="K227" s="409"/>
      <c r="L227" s="409"/>
      <c r="M227" s="424"/>
      <c r="N227" s="424"/>
      <c r="O227" s="409"/>
      <c r="P227" s="409"/>
      <c r="Q227" s="409"/>
      <c r="R227" s="409"/>
      <c r="S227" s="409"/>
      <c r="T227" s="409"/>
      <c r="U227" s="409"/>
      <c r="V227" s="409"/>
      <c r="W227" s="409"/>
      <c r="X227" s="409"/>
      <c r="Y227" s="409"/>
      <c r="Z227" s="409"/>
      <c r="AA227" s="409"/>
      <c r="AB227" s="409"/>
      <c r="AC227" s="527"/>
      <c r="AD227" s="409"/>
      <c r="AE227" s="413"/>
      <c r="AF227" s="409"/>
    </row>
    <row r="228" spans="1:34" s="382" customFormat="1" x14ac:dyDescent="0.25">
      <c r="A228" s="409"/>
      <c r="B228" s="409"/>
      <c r="C228" s="409"/>
      <c r="D228" s="409"/>
      <c r="E228" s="409"/>
      <c r="F228" s="409"/>
      <c r="G228" s="409"/>
      <c r="H228" s="409"/>
      <c r="I228" s="409"/>
      <c r="J228" s="409"/>
      <c r="K228" s="409"/>
      <c r="L228" s="409"/>
      <c r="M228" s="424"/>
      <c r="N228" s="424"/>
      <c r="O228" s="409"/>
      <c r="P228" s="409"/>
      <c r="Q228" s="409"/>
      <c r="R228" s="409"/>
      <c r="S228" s="409"/>
      <c r="T228" s="409"/>
      <c r="U228" s="409"/>
      <c r="V228" s="409"/>
      <c r="W228" s="409"/>
      <c r="X228" s="409"/>
      <c r="Y228" s="409"/>
      <c r="Z228" s="409"/>
      <c r="AA228" s="409"/>
      <c r="AB228" s="409"/>
      <c r="AC228" s="527"/>
      <c r="AD228" s="409"/>
      <c r="AE228" s="413"/>
      <c r="AF228" s="409"/>
    </row>
    <row r="229" spans="1:34" s="382" customFormat="1" x14ac:dyDescent="0.25">
      <c r="A229" s="409"/>
      <c r="B229" s="409"/>
      <c r="C229" s="409"/>
      <c r="D229" s="409"/>
      <c r="E229" s="409"/>
      <c r="F229" s="409"/>
      <c r="G229" s="409"/>
      <c r="H229" s="409"/>
      <c r="I229" s="409"/>
      <c r="J229" s="409"/>
      <c r="K229" s="409"/>
      <c r="L229" s="409"/>
      <c r="M229" s="424"/>
      <c r="N229" s="424"/>
      <c r="O229" s="409"/>
      <c r="P229" s="409"/>
      <c r="Q229" s="409"/>
      <c r="R229" s="409"/>
      <c r="S229" s="409"/>
      <c r="T229" s="409"/>
      <c r="U229" s="409"/>
      <c r="V229" s="409"/>
      <c r="W229" s="409"/>
      <c r="X229" s="409"/>
      <c r="Y229" s="409"/>
      <c r="Z229" s="409"/>
      <c r="AA229" s="409"/>
      <c r="AB229" s="409"/>
      <c r="AC229" s="527"/>
      <c r="AD229" s="409"/>
      <c r="AE229" s="413"/>
      <c r="AF229" s="409"/>
    </row>
    <row r="230" spans="1:34" s="382" customFormat="1" x14ac:dyDescent="0.25">
      <c r="A230" s="409"/>
      <c r="B230" s="409"/>
      <c r="C230" s="409"/>
      <c r="D230" s="409"/>
      <c r="E230" s="409"/>
      <c r="F230" s="409"/>
      <c r="G230" s="409"/>
      <c r="H230" s="409"/>
      <c r="I230" s="409"/>
      <c r="J230" s="409"/>
      <c r="K230" s="409"/>
      <c r="L230" s="409"/>
      <c r="M230" s="424"/>
      <c r="N230" s="424"/>
      <c r="O230" s="409"/>
      <c r="P230" s="409"/>
      <c r="Q230" s="409"/>
      <c r="R230" s="409"/>
      <c r="S230" s="409"/>
      <c r="T230" s="409"/>
      <c r="U230" s="409"/>
      <c r="V230" s="409"/>
      <c r="W230" s="409"/>
      <c r="X230" s="409"/>
      <c r="Y230" s="409"/>
      <c r="Z230" s="409"/>
      <c r="AA230" s="409"/>
      <c r="AB230" s="409"/>
      <c r="AC230" s="527"/>
      <c r="AD230" s="409"/>
      <c r="AE230" s="413"/>
      <c r="AF230" s="409"/>
    </row>
    <row r="231" spans="1:34" s="382" customFormat="1" x14ac:dyDescent="0.25">
      <c r="A231" s="409"/>
      <c r="B231" s="409"/>
      <c r="C231" s="409"/>
      <c r="D231" s="409"/>
      <c r="E231" s="409"/>
      <c r="F231" s="409"/>
      <c r="G231" s="409"/>
      <c r="H231" s="409"/>
      <c r="I231" s="409"/>
      <c r="J231" s="409"/>
      <c r="K231" s="409"/>
      <c r="L231" s="409"/>
      <c r="M231" s="424"/>
      <c r="N231" s="424"/>
      <c r="O231" s="409"/>
      <c r="P231" s="409"/>
      <c r="Q231" s="409"/>
      <c r="R231" s="409"/>
      <c r="S231" s="409"/>
      <c r="T231" s="409"/>
      <c r="U231" s="409"/>
      <c r="V231" s="409"/>
      <c r="W231" s="409"/>
      <c r="X231" s="409"/>
      <c r="Y231" s="409"/>
      <c r="Z231" s="409"/>
      <c r="AA231" s="409"/>
      <c r="AB231" s="409"/>
      <c r="AC231" s="527"/>
      <c r="AD231" s="409"/>
      <c r="AE231" s="413"/>
      <c r="AF231" s="409"/>
    </row>
    <row r="232" spans="1:34" s="382" customFormat="1" x14ac:dyDescent="0.25">
      <c r="A232" s="409"/>
      <c r="B232" s="409"/>
      <c r="C232" s="409"/>
      <c r="D232" s="409"/>
      <c r="E232" s="409"/>
      <c r="F232" s="409"/>
      <c r="G232" s="409"/>
      <c r="H232" s="409"/>
      <c r="I232" s="409"/>
      <c r="J232" s="409"/>
      <c r="K232" s="409"/>
      <c r="L232" s="409"/>
      <c r="M232" s="424"/>
      <c r="N232" s="424"/>
      <c r="O232" s="409"/>
      <c r="P232" s="409"/>
      <c r="Q232" s="409"/>
      <c r="R232" s="409"/>
      <c r="S232" s="409"/>
      <c r="T232" s="409"/>
      <c r="U232" s="409"/>
      <c r="V232" s="409"/>
      <c r="W232" s="409"/>
      <c r="X232" s="409"/>
      <c r="Y232" s="409"/>
      <c r="Z232" s="409"/>
      <c r="AA232" s="409"/>
      <c r="AB232" s="409"/>
      <c r="AC232" s="527"/>
      <c r="AD232" s="409"/>
      <c r="AE232" s="413"/>
      <c r="AF232" s="409"/>
    </row>
    <row r="233" spans="1:34" s="382" customFormat="1" x14ac:dyDescent="0.25">
      <c r="A233" s="409"/>
      <c r="B233" s="409"/>
      <c r="C233" s="409"/>
      <c r="D233" s="409"/>
      <c r="E233" s="409"/>
      <c r="F233" s="409"/>
      <c r="G233" s="409"/>
      <c r="H233" s="409"/>
      <c r="I233" s="409"/>
      <c r="J233" s="409"/>
      <c r="K233" s="409"/>
      <c r="L233" s="409"/>
      <c r="M233" s="424"/>
      <c r="N233" s="424"/>
      <c r="O233" s="409"/>
      <c r="P233" s="409"/>
      <c r="Q233" s="409"/>
      <c r="R233" s="409"/>
      <c r="S233" s="409"/>
      <c r="T233" s="409"/>
      <c r="U233" s="409"/>
      <c r="V233" s="409"/>
      <c r="W233" s="409"/>
      <c r="X233" s="409"/>
      <c r="Y233" s="409"/>
      <c r="Z233" s="409"/>
      <c r="AA233" s="409"/>
      <c r="AB233" s="409"/>
      <c r="AC233" s="527"/>
      <c r="AD233" s="409"/>
      <c r="AE233" s="413"/>
      <c r="AF233" s="409"/>
    </row>
    <row r="234" spans="1:34" s="382" customFormat="1" x14ac:dyDescent="0.25">
      <c r="A234" s="409"/>
      <c r="B234" s="409"/>
      <c r="C234" s="409"/>
      <c r="D234" s="409"/>
      <c r="E234" s="409"/>
      <c r="F234" s="409"/>
      <c r="G234" s="409"/>
      <c r="H234" s="409"/>
      <c r="I234" s="409"/>
      <c r="J234" s="409"/>
      <c r="K234" s="409"/>
      <c r="L234" s="409"/>
      <c r="M234" s="424"/>
      <c r="N234" s="424"/>
      <c r="O234" s="409"/>
      <c r="P234" s="409"/>
      <c r="Q234" s="409"/>
      <c r="R234" s="409"/>
      <c r="S234" s="409"/>
      <c r="T234" s="409"/>
      <c r="U234" s="409"/>
      <c r="V234" s="409"/>
      <c r="W234" s="409"/>
      <c r="X234" s="409"/>
      <c r="Y234" s="409"/>
      <c r="Z234" s="409"/>
      <c r="AA234" s="409"/>
      <c r="AB234" s="409"/>
      <c r="AC234" s="527"/>
      <c r="AD234" s="409"/>
      <c r="AE234" s="413"/>
      <c r="AF234" s="409"/>
    </row>
    <row r="235" spans="1:34" s="382" customFormat="1" x14ac:dyDescent="0.25">
      <c r="A235" s="409"/>
      <c r="B235" s="409"/>
      <c r="C235" s="409"/>
      <c r="D235" s="409"/>
      <c r="E235" s="409"/>
      <c r="F235" s="409"/>
      <c r="G235" s="409"/>
      <c r="H235" s="409"/>
      <c r="I235" s="409"/>
      <c r="J235" s="409"/>
      <c r="K235" s="409"/>
      <c r="L235" s="409"/>
      <c r="M235" s="424"/>
      <c r="N235" s="424"/>
      <c r="O235" s="409"/>
      <c r="P235" s="409"/>
      <c r="Q235" s="409"/>
      <c r="R235" s="409"/>
      <c r="S235" s="409"/>
      <c r="T235" s="409"/>
      <c r="U235" s="409"/>
      <c r="V235" s="409"/>
      <c r="W235" s="409"/>
      <c r="X235" s="409"/>
      <c r="Y235" s="409"/>
      <c r="Z235" s="409"/>
      <c r="AA235" s="409"/>
      <c r="AB235" s="409"/>
      <c r="AC235" s="527"/>
      <c r="AD235" s="409"/>
      <c r="AE235" s="413"/>
      <c r="AF235" s="409"/>
    </row>
    <row r="236" spans="1:34" s="382" customFormat="1" x14ac:dyDescent="0.25">
      <c r="A236" s="409"/>
      <c r="B236" s="409"/>
      <c r="C236" s="409"/>
      <c r="D236" s="409"/>
      <c r="E236" s="409"/>
      <c r="F236" s="409"/>
      <c r="G236" s="409"/>
      <c r="H236" s="409"/>
      <c r="I236" s="409"/>
      <c r="J236" s="409"/>
      <c r="K236" s="409"/>
      <c r="L236" s="409"/>
      <c r="M236" s="424"/>
      <c r="N236" s="424"/>
      <c r="O236" s="409"/>
      <c r="P236" s="409"/>
      <c r="Q236" s="409"/>
      <c r="R236" s="409"/>
      <c r="S236" s="409"/>
      <c r="T236" s="409"/>
      <c r="U236" s="409"/>
      <c r="V236" s="409"/>
      <c r="W236" s="409"/>
      <c r="X236" s="409"/>
      <c r="Y236" s="409"/>
      <c r="Z236" s="409"/>
      <c r="AA236" s="409"/>
      <c r="AB236" s="409"/>
      <c r="AC236" s="527"/>
      <c r="AD236" s="409"/>
      <c r="AE236" s="413"/>
      <c r="AF236" s="409"/>
    </row>
    <row r="237" spans="1:34" s="382" customFormat="1" x14ac:dyDescent="0.25">
      <c r="A237" s="409"/>
      <c r="B237" s="409"/>
      <c r="C237" s="409"/>
      <c r="D237" s="409"/>
      <c r="E237" s="409"/>
      <c r="F237" s="409"/>
      <c r="G237" s="409"/>
      <c r="H237" s="409"/>
      <c r="I237" s="409"/>
      <c r="J237" s="409"/>
      <c r="K237" s="409"/>
      <c r="L237" s="409"/>
      <c r="M237" s="424"/>
      <c r="N237" s="424"/>
      <c r="O237" s="409"/>
      <c r="P237" s="409"/>
      <c r="Q237" s="409"/>
      <c r="R237" s="409"/>
      <c r="S237" s="409"/>
      <c r="T237" s="409"/>
      <c r="U237" s="409"/>
      <c r="V237" s="409"/>
      <c r="W237" s="409"/>
      <c r="X237" s="409"/>
      <c r="Y237" s="409"/>
      <c r="Z237" s="409"/>
      <c r="AA237" s="409"/>
      <c r="AB237" s="409"/>
      <c r="AC237" s="527"/>
      <c r="AD237" s="409"/>
      <c r="AE237" s="413"/>
      <c r="AF237" s="409"/>
    </row>
    <row r="238" spans="1:34" s="382" customFormat="1" x14ac:dyDescent="0.25">
      <c r="A238" s="409"/>
      <c r="B238" s="409"/>
      <c r="C238" s="409"/>
      <c r="D238" s="409"/>
      <c r="E238" s="409"/>
      <c r="F238" s="409"/>
      <c r="G238" s="409"/>
      <c r="H238" s="409"/>
      <c r="I238" s="409"/>
      <c r="J238" s="409"/>
      <c r="K238" s="409"/>
      <c r="L238" s="409"/>
      <c r="M238" s="424"/>
      <c r="N238" s="424"/>
      <c r="O238" s="409"/>
      <c r="P238" s="409"/>
      <c r="Q238" s="409"/>
      <c r="R238" s="409"/>
      <c r="S238" s="409"/>
      <c r="T238" s="409"/>
      <c r="U238" s="409"/>
      <c r="V238" s="409"/>
      <c r="W238" s="409"/>
      <c r="X238" s="409"/>
      <c r="Y238" s="409"/>
      <c r="Z238" s="409"/>
      <c r="AA238" s="409"/>
      <c r="AB238" s="409"/>
      <c r="AC238" s="527"/>
      <c r="AD238" s="409"/>
      <c r="AE238" s="413"/>
      <c r="AF238" s="409"/>
    </row>
    <row r="239" spans="1:34" s="382" customFormat="1" x14ac:dyDescent="0.25">
      <c r="A239" s="409"/>
      <c r="B239" s="409"/>
      <c r="C239" s="409"/>
      <c r="D239" s="409"/>
      <c r="E239" s="409"/>
      <c r="F239" s="409"/>
      <c r="G239" s="409"/>
      <c r="H239" s="409"/>
      <c r="I239" s="409"/>
      <c r="J239" s="409"/>
      <c r="K239" s="409"/>
      <c r="L239" s="409"/>
      <c r="M239" s="424"/>
      <c r="N239" s="424"/>
      <c r="O239" s="409"/>
      <c r="P239" s="409"/>
      <c r="Q239" s="409"/>
      <c r="R239" s="409"/>
      <c r="S239" s="409"/>
      <c r="T239" s="409"/>
      <c r="U239" s="409"/>
      <c r="V239" s="409"/>
      <c r="W239" s="409"/>
      <c r="X239" s="409"/>
      <c r="Y239" s="409"/>
      <c r="Z239" s="409"/>
      <c r="AA239" s="409"/>
      <c r="AB239" s="409"/>
      <c r="AC239" s="527"/>
      <c r="AD239" s="409"/>
      <c r="AE239" s="413"/>
      <c r="AF239" s="409"/>
      <c r="AH239" s="437"/>
    </row>
    <row r="240" spans="1:34" s="382" customFormat="1" x14ac:dyDescent="0.25">
      <c r="A240" s="409"/>
      <c r="B240" s="409"/>
      <c r="C240" s="409"/>
      <c r="D240" s="409"/>
      <c r="E240" s="409"/>
      <c r="F240" s="409"/>
      <c r="G240" s="409"/>
      <c r="H240" s="409"/>
      <c r="I240" s="409"/>
      <c r="J240" s="409"/>
      <c r="K240" s="409"/>
      <c r="L240" s="409"/>
      <c r="M240" s="424"/>
      <c r="N240" s="424"/>
      <c r="O240" s="409"/>
      <c r="P240" s="409"/>
      <c r="Q240" s="409"/>
      <c r="R240" s="409"/>
      <c r="S240" s="409"/>
      <c r="T240" s="409"/>
      <c r="U240" s="409"/>
      <c r="V240" s="409"/>
      <c r="W240" s="409"/>
      <c r="X240" s="409"/>
      <c r="Y240" s="409"/>
      <c r="Z240" s="409"/>
      <c r="AA240" s="409"/>
      <c r="AB240" s="409"/>
      <c r="AC240" s="527"/>
      <c r="AD240" s="409"/>
      <c r="AE240" s="413"/>
      <c r="AF240" s="409"/>
      <c r="AG240" s="446"/>
      <c r="AH240" s="437"/>
    </row>
    <row r="241" spans="1:34" s="382" customFormat="1" x14ac:dyDescent="0.25">
      <c r="A241" s="409"/>
      <c r="B241" s="409"/>
      <c r="C241" s="409"/>
      <c r="D241" s="409"/>
      <c r="E241" s="409"/>
      <c r="F241" s="409"/>
      <c r="G241" s="409"/>
      <c r="H241" s="409"/>
      <c r="I241" s="409"/>
      <c r="J241" s="409"/>
      <c r="K241" s="409"/>
      <c r="L241" s="409"/>
      <c r="M241" s="424"/>
      <c r="N241" s="424"/>
      <c r="O241" s="409"/>
      <c r="P241" s="409"/>
      <c r="Q241" s="409"/>
      <c r="R241" s="409"/>
      <c r="S241" s="409"/>
      <c r="T241" s="409"/>
      <c r="U241" s="409"/>
      <c r="V241" s="409"/>
      <c r="W241" s="409"/>
      <c r="X241" s="409"/>
      <c r="Y241" s="409"/>
      <c r="Z241" s="409"/>
      <c r="AA241" s="409"/>
      <c r="AB241" s="409"/>
      <c r="AC241" s="527"/>
      <c r="AD241" s="409"/>
      <c r="AE241" s="413"/>
      <c r="AF241" s="409"/>
      <c r="AG241" s="446"/>
      <c r="AH241" s="439"/>
    </row>
    <row r="242" spans="1:34" s="382" customFormat="1" x14ac:dyDescent="0.25">
      <c r="A242" s="409"/>
      <c r="B242" s="409"/>
      <c r="C242" s="409"/>
      <c r="D242" s="409"/>
      <c r="E242" s="409"/>
      <c r="F242" s="409"/>
      <c r="G242" s="409"/>
      <c r="H242" s="409"/>
      <c r="I242" s="409"/>
      <c r="J242" s="409"/>
      <c r="K242" s="409"/>
      <c r="L242" s="409"/>
      <c r="M242" s="424"/>
      <c r="N242" s="424"/>
      <c r="O242" s="409"/>
      <c r="P242" s="409"/>
      <c r="Q242" s="409"/>
      <c r="R242" s="409"/>
      <c r="S242" s="409"/>
      <c r="T242" s="409"/>
      <c r="U242" s="409"/>
      <c r="V242" s="409"/>
      <c r="W242" s="409"/>
      <c r="X242" s="409"/>
      <c r="Y242" s="409"/>
      <c r="Z242" s="409"/>
      <c r="AA242" s="409"/>
      <c r="AB242" s="409"/>
      <c r="AC242" s="527"/>
      <c r="AD242" s="409"/>
      <c r="AE242" s="413"/>
      <c r="AF242" s="409"/>
      <c r="AG242" s="446"/>
      <c r="AH242" s="437"/>
    </row>
    <row r="243" spans="1:34" s="382" customFormat="1" ht="14.25" customHeight="1" x14ac:dyDescent="0.25">
      <c r="A243" s="409"/>
      <c r="B243" s="409"/>
      <c r="C243" s="409"/>
      <c r="D243" s="409"/>
      <c r="E243" s="409"/>
      <c r="F243" s="409"/>
      <c r="G243" s="409"/>
      <c r="H243" s="409"/>
      <c r="I243" s="409"/>
      <c r="J243" s="409"/>
      <c r="K243" s="409"/>
      <c r="L243" s="409"/>
      <c r="M243" s="424"/>
      <c r="N243" s="424"/>
      <c r="O243" s="409"/>
      <c r="P243" s="409"/>
      <c r="Q243" s="409"/>
      <c r="R243" s="409"/>
      <c r="S243" s="409"/>
      <c r="T243" s="409"/>
      <c r="U243" s="409"/>
      <c r="V243" s="409"/>
      <c r="W243" s="409"/>
      <c r="X243" s="409"/>
      <c r="Y243" s="409"/>
      <c r="Z243" s="409"/>
      <c r="AA243" s="409"/>
      <c r="AB243" s="409"/>
      <c r="AC243" s="527"/>
      <c r="AD243" s="409"/>
      <c r="AE243" s="413"/>
      <c r="AF243" s="409"/>
      <c r="AG243" s="446"/>
      <c r="AH243" s="436"/>
    </row>
    <row r="244" spans="1:34" s="382" customFormat="1" x14ac:dyDescent="0.25">
      <c r="A244" s="409"/>
      <c r="B244" s="409"/>
      <c r="C244" s="409"/>
      <c r="D244" s="409"/>
      <c r="E244" s="409"/>
      <c r="F244" s="409"/>
      <c r="G244" s="409"/>
      <c r="H244" s="409"/>
      <c r="I244" s="409"/>
      <c r="J244" s="409"/>
      <c r="K244" s="409"/>
      <c r="L244" s="409"/>
      <c r="M244" s="424"/>
      <c r="N244" s="424"/>
      <c r="O244" s="409"/>
      <c r="P244" s="409"/>
      <c r="Q244" s="409"/>
      <c r="R244" s="409"/>
      <c r="S244" s="409"/>
      <c r="T244" s="409"/>
      <c r="U244" s="409"/>
      <c r="V244" s="409"/>
      <c r="W244" s="409"/>
      <c r="X244" s="409"/>
      <c r="Y244" s="409"/>
      <c r="Z244" s="409"/>
      <c r="AA244" s="409"/>
      <c r="AB244" s="409"/>
      <c r="AC244" s="527"/>
      <c r="AD244" s="409"/>
      <c r="AE244" s="413"/>
      <c r="AF244" s="409"/>
      <c r="AH244" s="436"/>
    </row>
    <row r="245" spans="1:34" s="447" customFormat="1" ht="12" customHeight="1" x14ac:dyDescent="0.25">
      <c r="A245" s="409"/>
      <c r="B245" s="409"/>
      <c r="C245" s="409"/>
      <c r="D245" s="409"/>
      <c r="E245" s="409"/>
      <c r="F245" s="409"/>
      <c r="G245" s="409"/>
      <c r="H245" s="409"/>
      <c r="I245" s="409"/>
      <c r="J245" s="409"/>
      <c r="K245" s="409"/>
      <c r="L245" s="409"/>
      <c r="M245" s="424"/>
      <c r="N245" s="424"/>
      <c r="O245" s="409"/>
      <c r="P245" s="409"/>
      <c r="Q245" s="409"/>
      <c r="R245" s="409"/>
      <c r="S245" s="409"/>
      <c r="T245" s="409"/>
      <c r="U245" s="409"/>
      <c r="V245" s="409"/>
      <c r="W245" s="409"/>
      <c r="X245" s="409"/>
      <c r="Y245" s="409"/>
      <c r="Z245" s="409"/>
      <c r="AA245" s="409"/>
      <c r="AB245" s="409"/>
      <c r="AC245" s="527"/>
      <c r="AD245" s="409"/>
      <c r="AE245" s="413"/>
      <c r="AF245" s="409"/>
      <c r="AG245" s="382"/>
      <c r="AH245" s="437"/>
    </row>
    <row r="246" spans="1:34" s="382" customFormat="1" x14ac:dyDescent="0.25">
      <c r="A246" s="409"/>
      <c r="B246" s="409"/>
      <c r="C246" s="409"/>
      <c r="D246" s="409"/>
      <c r="E246" s="409"/>
      <c r="F246" s="409"/>
      <c r="G246" s="409"/>
      <c r="H246" s="409"/>
      <c r="I246" s="409"/>
      <c r="J246" s="409"/>
      <c r="K246" s="409"/>
      <c r="L246" s="409"/>
      <c r="M246" s="424"/>
      <c r="N246" s="424"/>
      <c r="O246" s="409"/>
      <c r="P246" s="409"/>
      <c r="Q246" s="409"/>
      <c r="R246" s="409"/>
      <c r="S246" s="409"/>
      <c r="T246" s="409"/>
      <c r="U246" s="409"/>
      <c r="V246" s="409"/>
      <c r="W246" s="409"/>
      <c r="X246" s="409"/>
      <c r="Y246" s="409"/>
      <c r="Z246" s="409"/>
      <c r="AA246" s="409"/>
      <c r="AB246" s="409"/>
      <c r="AC246" s="527"/>
      <c r="AD246" s="409"/>
      <c r="AE246" s="413"/>
      <c r="AF246" s="409"/>
      <c r="AH246" s="437"/>
    </row>
    <row r="247" spans="1:34" s="382" customFormat="1" ht="17.25" customHeight="1" x14ac:dyDescent="0.25">
      <c r="A247" s="409"/>
      <c r="B247" s="409"/>
      <c r="C247" s="409"/>
      <c r="D247" s="409"/>
      <c r="E247" s="409"/>
      <c r="F247" s="409"/>
      <c r="G247" s="409"/>
      <c r="H247" s="409"/>
      <c r="I247" s="409"/>
      <c r="J247" s="409"/>
      <c r="K247" s="409"/>
      <c r="L247" s="409"/>
      <c r="M247" s="424"/>
      <c r="N247" s="424"/>
      <c r="O247" s="409"/>
      <c r="P247" s="409"/>
      <c r="Q247" s="409"/>
      <c r="R247" s="409"/>
      <c r="S247" s="409"/>
      <c r="T247" s="409"/>
      <c r="U247" s="409"/>
      <c r="V247" s="409"/>
      <c r="W247" s="409"/>
      <c r="X247" s="409"/>
      <c r="Y247" s="409"/>
      <c r="Z247" s="409"/>
      <c r="AA247" s="409"/>
      <c r="AB247" s="409"/>
      <c r="AC247" s="527"/>
      <c r="AD247" s="409"/>
      <c r="AE247" s="413"/>
      <c r="AF247" s="409"/>
      <c r="AH247" s="437"/>
    </row>
    <row r="248" spans="1:34" s="382" customFormat="1" x14ac:dyDescent="0.25">
      <c r="A248" s="409"/>
      <c r="B248" s="409"/>
      <c r="C248" s="409"/>
      <c r="D248" s="409"/>
      <c r="E248" s="409"/>
      <c r="F248" s="409"/>
      <c r="G248" s="409"/>
      <c r="H248" s="409"/>
      <c r="I248" s="409"/>
      <c r="J248" s="409"/>
      <c r="K248" s="409"/>
      <c r="L248" s="409"/>
      <c r="M248" s="424"/>
      <c r="N248" s="424"/>
      <c r="O248" s="409"/>
      <c r="P248" s="409"/>
      <c r="Q248" s="409"/>
      <c r="R248" s="409"/>
      <c r="S248" s="409"/>
      <c r="T248" s="409"/>
      <c r="U248" s="409"/>
      <c r="V248" s="409"/>
      <c r="W248" s="409"/>
      <c r="X248" s="409"/>
      <c r="Y248" s="409"/>
      <c r="Z248" s="409"/>
      <c r="AA248" s="409"/>
      <c r="AB248" s="409"/>
      <c r="AC248" s="527"/>
      <c r="AD248" s="409"/>
      <c r="AE248" s="413"/>
      <c r="AF248" s="409"/>
      <c r="AH248" s="427"/>
    </row>
    <row r="249" spans="1:34" s="382" customFormat="1" x14ac:dyDescent="0.25">
      <c r="A249" s="409"/>
      <c r="B249" s="409"/>
      <c r="C249" s="409"/>
      <c r="D249" s="409"/>
      <c r="E249" s="409"/>
      <c r="F249" s="409"/>
      <c r="G249" s="409"/>
      <c r="H249" s="409"/>
      <c r="I249" s="409"/>
      <c r="J249" s="409"/>
      <c r="K249" s="409"/>
      <c r="L249" s="409"/>
      <c r="M249" s="424"/>
      <c r="N249" s="424"/>
      <c r="O249" s="409"/>
      <c r="P249" s="409"/>
      <c r="Q249" s="409"/>
      <c r="R249" s="409"/>
      <c r="S249" s="409"/>
      <c r="T249" s="409"/>
      <c r="U249" s="409"/>
      <c r="V249" s="409"/>
      <c r="W249" s="409"/>
      <c r="X249" s="409"/>
      <c r="Y249" s="409"/>
      <c r="Z249" s="409"/>
      <c r="AA249" s="409"/>
      <c r="AB249" s="409"/>
      <c r="AC249" s="527"/>
      <c r="AD249" s="409"/>
      <c r="AE249" s="413"/>
      <c r="AF249" s="409"/>
      <c r="AG249" s="436"/>
      <c r="AH249" s="408"/>
    </row>
    <row r="250" spans="1:34" s="382" customFormat="1" x14ac:dyDescent="0.25">
      <c r="A250" s="409"/>
      <c r="B250" s="409"/>
      <c r="C250" s="409"/>
      <c r="D250" s="409"/>
      <c r="E250" s="409"/>
      <c r="F250" s="409"/>
      <c r="G250" s="409"/>
      <c r="H250" s="409"/>
      <c r="I250" s="409"/>
      <c r="J250" s="409"/>
      <c r="K250" s="409"/>
      <c r="L250" s="409"/>
      <c r="M250" s="424"/>
      <c r="N250" s="424"/>
      <c r="O250" s="409"/>
      <c r="P250" s="409"/>
      <c r="Q250" s="409"/>
      <c r="R250" s="409"/>
      <c r="S250" s="409"/>
      <c r="T250" s="409"/>
      <c r="U250" s="409"/>
      <c r="V250" s="409"/>
      <c r="W250" s="409"/>
      <c r="X250" s="409"/>
      <c r="Y250" s="409"/>
      <c r="Z250" s="409"/>
      <c r="AA250" s="409"/>
      <c r="AB250" s="409"/>
      <c r="AC250" s="527"/>
      <c r="AD250" s="409"/>
      <c r="AE250" s="413"/>
      <c r="AF250" s="409"/>
      <c r="AG250" s="436"/>
      <c r="AH250" s="408"/>
    </row>
    <row r="251" spans="1:34" s="382" customFormat="1" ht="13.5" customHeight="1" x14ac:dyDescent="0.25">
      <c r="A251" s="409"/>
      <c r="B251" s="409"/>
      <c r="C251" s="409"/>
      <c r="D251" s="409"/>
      <c r="E251" s="409"/>
      <c r="F251" s="409"/>
      <c r="G251" s="409"/>
      <c r="H251" s="409"/>
      <c r="I251" s="409"/>
      <c r="J251" s="409"/>
      <c r="K251" s="409"/>
      <c r="L251" s="409"/>
      <c r="M251" s="424"/>
      <c r="N251" s="424"/>
      <c r="O251" s="409"/>
      <c r="P251" s="409"/>
      <c r="Q251" s="409"/>
      <c r="R251" s="409"/>
      <c r="S251" s="409"/>
      <c r="T251" s="409"/>
      <c r="U251" s="409"/>
      <c r="V251" s="409"/>
      <c r="W251" s="409"/>
      <c r="X251" s="409"/>
      <c r="Y251" s="409"/>
      <c r="Z251" s="409"/>
      <c r="AA251" s="409"/>
      <c r="AB251" s="409"/>
      <c r="AC251" s="527"/>
      <c r="AD251" s="409"/>
      <c r="AE251" s="413"/>
      <c r="AF251" s="409"/>
      <c r="AG251" s="434"/>
      <c r="AH251" s="409"/>
    </row>
    <row r="252" spans="1:34" s="382" customFormat="1" x14ac:dyDescent="0.25">
      <c r="A252" s="409"/>
      <c r="B252" s="409"/>
      <c r="C252" s="409"/>
      <c r="D252" s="409"/>
      <c r="E252" s="409"/>
      <c r="F252" s="409"/>
      <c r="G252" s="409"/>
      <c r="H252" s="409"/>
      <c r="I252" s="409"/>
      <c r="J252" s="409"/>
      <c r="K252" s="409"/>
      <c r="L252" s="409"/>
      <c r="M252" s="424"/>
      <c r="N252" s="424"/>
      <c r="O252" s="409"/>
      <c r="P252" s="409"/>
      <c r="Q252" s="409"/>
      <c r="R252" s="409"/>
      <c r="S252" s="409"/>
      <c r="T252" s="409"/>
      <c r="U252" s="409"/>
      <c r="V252" s="409"/>
      <c r="W252" s="409"/>
      <c r="X252" s="409"/>
      <c r="Y252" s="409"/>
      <c r="Z252" s="409"/>
      <c r="AA252" s="409"/>
      <c r="AB252" s="409"/>
      <c r="AC252" s="527"/>
      <c r="AD252" s="409"/>
      <c r="AE252" s="413"/>
      <c r="AF252" s="409"/>
      <c r="AG252" s="407"/>
      <c r="AH252" s="409"/>
    </row>
    <row r="253" spans="1:34" s="382" customFormat="1" x14ac:dyDescent="0.25">
      <c r="A253" s="409"/>
      <c r="B253" s="409"/>
      <c r="C253" s="409"/>
      <c r="D253" s="409"/>
      <c r="E253" s="409"/>
      <c r="F253" s="409"/>
      <c r="G253" s="409"/>
      <c r="H253" s="409"/>
      <c r="I253" s="409"/>
      <c r="J253" s="409"/>
      <c r="K253" s="409"/>
      <c r="L253" s="409"/>
      <c r="M253" s="424"/>
      <c r="N253" s="424"/>
      <c r="O253" s="409"/>
      <c r="P253" s="409"/>
      <c r="Q253" s="409"/>
      <c r="R253" s="409"/>
      <c r="S253" s="409"/>
      <c r="T253" s="409"/>
      <c r="U253" s="409"/>
      <c r="V253" s="409"/>
      <c r="W253" s="409"/>
      <c r="X253" s="409"/>
      <c r="Y253" s="409"/>
      <c r="Z253" s="409"/>
      <c r="AA253" s="409"/>
      <c r="AB253" s="409"/>
      <c r="AC253" s="527"/>
      <c r="AD253" s="409"/>
      <c r="AE253" s="413"/>
      <c r="AF253" s="409"/>
      <c r="AG253" s="407"/>
      <c r="AH253" s="409"/>
    </row>
    <row r="254" spans="1:34" s="382" customFormat="1" x14ac:dyDescent="0.25">
      <c r="A254" s="409"/>
      <c r="B254" s="409"/>
      <c r="C254" s="409"/>
      <c r="D254" s="409"/>
      <c r="E254" s="409"/>
      <c r="F254" s="409"/>
      <c r="G254" s="409"/>
      <c r="H254" s="409"/>
      <c r="I254" s="409"/>
      <c r="J254" s="409"/>
      <c r="K254" s="409"/>
      <c r="L254" s="409"/>
      <c r="M254" s="424"/>
      <c r="N254" s="424"/>
      <c r="O254" s="409"/>
      <c r="P254" s="409"/>
      <c r="Q254" s="409"/>
      <c r="R254" s="409"/>
      <c r="S254" s="409"/>
      <c r="T254" s="409"/>
      <c r="U254" s="409"/>
      <c r="V254" s="409"/>
      <c r="W254" s="409"/>
      <c r="X254" s="409"/>
      <c r="Y254" s="409"/>
      <c r="Z254" s="409"/>
      <c r="AA254" s="409"/>
      <c r="AB254" s="409"/>
      <c r="AC254" s="527"/>
      <c r="AD254" s="409"/>
      <c r="AE254" s="413"/>
      <c r="AF254" s="409"/>
      <c r="AG254" s="407"/>
      <c r="AH254" s="409"/>
    </row>
    <row r="255" spans="1:34" s="382" customFormat="1" x14ac:dyDescent="0.25">
      <c r="A255" s="409"/>
      <c r="B255" s="409"/>
      <c r="C255" s="409"/>
      <c r="D255" s="409"/>
      <c r="E255" s="409"/>
      <c r="F255" s="409"/>
      <c r="G255" s="409"/>
      <c r="H255" s="409"/>
      <c r="I255" s="409"/>
      <c r="J255" s="409"/>
      <c r="K255" s="409"/>
      <c r="L255" s="409"/>
      <c r="M255" s="424"/>
      <c r="N255" s="424"/>
      <c r="O255" s="409"/>
      <c r="P255" s="409"/>
      <c r="Q255" s="409"/>
      <c r="R255" s="409"/>
      <c r="S255" s="409"/>
      <c r="T255" s="409"/>
      <c r="U255" s="409"/>
      <c r="V255" s="409"/>
      <c r="W255" s="409"/>
      <c r="X255" s="409"/>
      <c r="Y255" s="409"/>
      <c r="Z255" s="409"/>
      <c r="AA255" s="409"/>
      <c r="AB255" s="409"/>
      <c r="AC255" s="527"/>
      <c r="AD255" s="409"/>
      <c r="AE255" s="413"/>
      <c r="AF255" s="409"/>
      <c r="AG255" s="414"/>
      <c r="AH255" s="416"/>
    </row>
    <row r="256" spans="1:34" s="382" customFormat="1" ht="15.75" customHeight="1" x14ac:dyDescent="0.25">
      <c r="A256" s="409"/>
      <c r="B256" s="409"/>
      <c r="C256" s="409"/>
      <c r="D256" s="409"/>
      <c r="E256" s="409"/>
      <c r="F256" s="409"/>
      <c r="G256" s="409"/>
      <c r="H256" s="409"/>
      <c r="I256" s="409"/>
      <c r="J256" s="409"/>
      <c r="K256" s="409"/>
      <c r="L256" s="409"/>
      <c r="M256" s="424"/>
      <c r="N256" s="424"/>
      <c r="O256" s="409"/>
      <c r="P256" s="409"/>
      <c r="Q256" s="409"/>
      <c r="R256" s="409"/>
      <c r="S256" s="409"/>
      <c r="T256" s="409"/>
      <c r="U256" s="409"/>
      <c r="V256" s="409"/>
      <c r="W256" s="409"/>
      <c r="X256" s="409"/>
      <c r="Y256" s="409"/>
      <c r="Z256" s="409"/>
      <c r="AA256" s="409"/>
      <c r="AB256" s="409"/>
      <c r="AC256" s="527"/>
      <c r="AD256" s="409"/>
      <c r="AE256" s="413"/>
      <c r="AF256" s="409"/>
      <c r="AG256" s="414"/>
      <c r="AH256" s="420"/>
    </row>
    <row r="257" spans="1:34" s="382" customFormat="1" ht="15.75" customHeight="1" x14ac:dyDescent="0.25">
      <c r="A257" s="409"/>
      <c r="B257" s="409"/>
      <c r="C257" s="409"/>
      <c r="D257" s="409"/>
      <c r="E257" s="409"/>
      <c r="F257" s="409"/>
      <c r="G257" s="409"/>
      <c r="H257" s="409"/>
      <c r="I257" s="409"/>
      <c r="J257" s="409"/>
      <c r="K257" s="409"/>
      <c r="L257" s="409"/>
      <c r="M257" s="424"/>
      <c r="N257" s="424"/>
      <c r="O257" s="409"/>
      <c r="P257" s="409"/>
      <c r="Q257" s="409"/>
      <c r="R257" s="409"/>
      <c r="S257" s="409"/>
      <c r="T257" s="409"/>
      <c r="U257" s="409"/>
      <c r="V257" s="409"/>
      <c r="W257" s="409"/>
      <c r="X257" s="409"/>
      <c r="Y257" s="409"/>
      <c r="Z257" s="409"/>
      <c r="AA257" s="409"/>
      <c r="AB257" s="409"/>
      <c r="AC257" s="527"/>
      <c r="AD257" s="409"/>
      <c r="AE257" s="413"/>
      <c r="AF257" s="409"/>
      <c r="AG257" s="414"/>
      <c r="AH257" s="409"/>
    </row>
    <row r="258" spans="1:34" s="382" customFormat="1" ht="12.75" customHeight="1" x14ac:dyDescent="0.25">
      <c r="A258" s="409"/>
      <c r="B258" s="409"/>
      <c r="C258" s="409"/>
      <c r="D258" s="409"/>
      <c r="E258" s="409"/>
      <c r="F258" s="409"/>
      <c r="G258" s="409"/>
      <c r="H258" s="409"/>
      <c r="I258" s="409"/>
      <c r="J258" s="409"/>
      <c r="K258" s="409"/>
      <c r="L258" s="409"/>
      <c r="M258" s="424"/>
      <c r="N258" s="424"/>
      <c r="O258" s="409"/>
      <c r="P258" s="409"/>
      <c r="Q258" s="409"/>
      <c r="R258" s="409"/>
      <c r="S258" s="409"/>
      <c r="T258" s="409"/>
      <c r="U258" s="409"/>
      <c r="V258" s="409"/>
      <c r="W258" s="409"/>
      <c r="X258" s="409"/>
      <c r="Y258" s="409"/>
      <c r="Z258" s="409"/>
      <c r="AA258" s="409"/>
      <c r="AB258" s="409"/>
      <c r="AC258" s="527"/>
      <c r="AD258" s="409"/>
      <c r="AE258" s="413"/>
      <c r="AF258" s="409"/>
      <c r="AG258" s="419"/>
      <c r="AH258" s="421"/>
    </row>
    <row r="259" spans="1:34" s="382" customFormat="1" x14ac:dyDescent="0.25">
      <c r="A259" s="409"/>
      <c r="B259" s="409"/>
      <c r="C259" s="409"/>
      <c r="D259" s="409"/>
      <c r="E259" s="409"/>
      <c r="F259" s="409"/>
      <c r="G259" s="409"/>
      <c r="H259" s="409"/>
      <c r="I259" s="409"/>
      <c r="J259" s="409"/>
      <c r="K259" s="409"/>
      <c r="L259" s="409"/>
      <c r="M259" s="424"/>
      <c r="N259" s="424"/>
      <c r="O259" s="409"/>
      <c r="P259" s="409"/>
      <c r="Q259" s="409"/>
      <c r="R259" s="409"/>
      <c r="S259" s="409"/>
      <c r="T259" s="409"/>
      <c r="U259" s="409"/>
      <c r="V259" s="409"/>
      <c r="W259" s="409"/>
      <c r="X259" s="409"/>
      <c r="Y259" s="409"/>
      <c r="Z259" s="409"/>
      <c r="AA259" s="409"/>
      <c r="AB259" s="409"/>
      <c r="AC259" s="527"/>
      <c r="AD259" s="409"/>
      <c r="AE259" s="413"/>
      <c r="AF259" s="409"/>
      <c r="AG259" s="420"/>
      <c r="AH259" s="421"/>
    </row>
    <row r="260" spans="1:34" s="382" customFormat="1" x14ac:dyDescent="0.25">
      <c r="A260" s="409"/>
      <c r="B260" s="409"/>
      <c r="C260" s="409"/>
      <c r="D260" s="409"/>
      <c r="E260" s="409"/>
      <c r="F260" s="409"/>
      <c r="G260" s="409"/>
      <c r="H260" s="409"/>
      <c r="I260" s="409"/>
      <c r="J260" s="409"/>
      <c r="K260" s="409"/>
      <c r="L260" s="409"/>
      <c r="M260" s="424"/>
      <c r="N260" s="424"/>
      <c r="O260" s="409"/>
      <c r="P260" s="409"/>
      <c r="Q260" s="409"/>
      <c r="R260" s="409"/>
      <c r="S260" s="409"/>
      <c r="T260" s="409"/>
      <c r="U260" s="409"/>
      <c r="V260" s="409"/>
      <c r="W260" s="409"/>
      <c r="X260" s="409"/>
      <c r="Y260" s="409"/>
      <c r="Z260" s="409"/>
      <c r="AA260" s="409"/>
      <c r="AB260" s="409"/>
      <c r="AC260" s="527"/>
      <c r="AD260" s="409"/>
      <c r="AE260" s="413"/>
      <c r="AF260" s="409"/>
      <c r="AG260" s="409"/>
      <c r="AH260" s="409"/>
    </row>
    <row r="261" spans="1:34" s="382" customFormat="1" x14ac:dyDescent="0.25">
      <c r="A261" s="409"/>
      <c r="B261" s="409"/>
      <c r="C261" s="409"/>
      <c r="D261" s="409"/>
      <c r="E261" s="409"/>
      <c r="F261" s="409"/>
      <c r="G261" s="409"/>
      <c r="H261" s="409"/>
      <c r="I261" s="409"/>
      <c r="J261" s="409"/>
      <c r="K261" s="409"/>
      <c r="L261" s="409"/>
      <c r="M261" s="424"/>
      <c r="N261" s="424"/>
      <c r="O261" s="409"/>
      <c r="P261" s="409"/>
      <c r="Q261" s="409"/>
      <c r="R261" s="409"/>
      <c r="S261" s="409"/>
      <c r="T261" s="409"/>
      <c r="U261" s="409"/>
      <c r="V261" s="409"/>
      <c r="W261" s="409"/>
      <c r="X261" s="409"/>
      <c r="Y261" s="409"/>
      <c r="Z261" s="409"/>
      <c r="AA261" s="409"/>
      <c r="AB261" s="409"/>
      <c r="AC261" s="527"/>
      <c r="AD261" s="409"/>
      <c r="AE261" s="413"/>
      <c r="AF261" s="409"/>
      <c r="AG261" s="421"/>
      <c r="AH261" s="422"/>
    </row>
    <row r="262" spans="1:34" s="382" customFormat="1" x14ac:dyDescent="0.25">
      <c r="A262" s="409"/>
      <c r="B262" s="409"/>
      <c r="C262" s="409"/>
      <c r="D262" s="409"/>
      <c r="E262" s="409"/>
      <c r="F262" s="409"/>
      <c r="G262" s="409"/>
      <c r="H262" s="409"/>
      <c r="I262" s="409"/>
      <c r="J262" s="409"/>
      <c r="K262" s="409"/>
      <c r="L262" s="409"/>
      <c r="M262" s="424"/>
      <c r="N262" s="424"/>
      <c r="O262" s="409"/>
      <c r="P262" s="409"/>
      <c r="Q262" s="409"/>
      <c r="R262" s="409"/>
      <c r="S262" s="409"/>
      <c r="T262" s="409"/>
      <c r="U262" s="409"/>
      <c r="V262" s="409"/>
      <c r="W262" s="409"/>
      <c r="X262" s="409"/>
      <c r="Y262" s="409"/>
      <c r="Z262" s="409"/>
      <c r="AA262" s="409"/>
      <c r="AB262" s="409"/>
      <c r="AC262" s="527"/>
      <c r="AD262" s="409"/>
      <c r="AE262" s="413"/>
      <c r="AF262" s="409"/>
      <c r="AG262" s="421"/>
      <c r="AH262" s="423"/>
    </row>
    <row r="263" spans="1:34" s="382" customFormat="1" x14ac:dyDescent="0.25">
      <c r="A263" s="409"/>
      <c r="B263" s="409"/>
      <c r="C263" s="409"/>
      <c r="D263" s="409"/>
      <c r="E263" s="409"/>
      <c r="F263" s="409"/>
      <c r="G263" s="409"/>
      <c r="H263" s="409"/>
      <c r="I263" s="409"/>
      <c r="J263" s="409"/>
      <c r="K263" s="409"/>
      <c r="L263" s="409"/>
      <c r="M263" s="424"/>
      <c r="N263" s="424"/>
      <c r="O263" s="409"/>
      <c r="P263" s="409"/>
      <c r="Q263" s="409"/>
      <c r="R263" s="409"/>
      <c r="S263" s="409"/>
      <c r="T263" s="409"/>
      <c r="U263" s="409"/>
      <c r="V263" s="409"/>
      <c r="W263" s="409"/>
      <c r="X263" s="409"/>
      <c r="Y263" s="409"/>
      <c r="Z263" s="409"/>
      <c r="AA263" s="409"/>
      <c r="AB263" s="409"/>
      <c r="AC263" s="527"/>
      <c r="AD263" s="409"/>
      <c r="AE263" s="413"/>
      <c r="AF263" s="409"/>
      <c r="AG263" s="409"/>
      <c r="AH263" s="423"/>
    </row>
    <row r="264" spans="1:34" s="382" customFormat="1" ht="14.25" customHeight="1" x14ac:dyDescent="0.25">
      <c r="A264" s="409"/>
      <c r="B264" s="409"/>
      <c r="C264" s="409"/>
      <c r="D264" s="409"/>
      <c r="E264" s="409"/>
      <c r="F264" s="409"/>
      <c r="G264" s="409"/>
      <c r="H264" s="409"/>
      <c r="I264" s="409"/>
      <c r="J264" s="409"/>
      <c r="K264" s="409"/>
      <c r="L264" s="409"/>
      <c r="M264" s="424"/>
      <c r="N264" s="424"/>
      <c r="O264" s="409"/>
      <c r="P264" s="409"/>
      <c r="Q264" s="409"/>
      <c r="R264" s="409"/>
      <c r="S264" s="409"/>
      <c r="T264" s="409"/>
      <c r="U264" s="409"/>
      <c r="V264" s="409"/>
      <c r="W264" s="409"/>
      <c r="X264" s="409"/>
      <c r="Y264" s="409"/>
      <c r="Z264" s="409"/>
      <c r="AA264" s="409"/>
      <c r="AB264" s="409"/>
      <c r="AC264" s="527"/>
      <c r="AD264" s="409"/>
      <c r="AE264" s="413"/>
      <c r="AF264" s="409"/>
      <c r="AG264" s="422"/>
      <c r="AH264" s="423"/>
    </row>
    <row r="265" spans="1:34" s="382" customFormat="1" x14ac:dyDescent="0.25">
      <c r="A265" s="409"/>
      <c r="B265" s="409"/>
      <c r="C265" s="409"/>
      <c r="D265" s="409"/>
      <c r="E265" s="409"/>
      <c r="F265" s="409"/>
      <c r="G265" s="409"/>
      <c r="H265" s="409"/>
      <c r="I265" s="409"/>
      <c r="J265" s="409"/>
      <c r="K265" s="409"/>
      <c r="L265" s="409"/>
      <c r="M265" s="424"/>
      <c r="N265" s="424"/>
      <c r="O265" s="409"/>
      <c r="P265" s="409"/>
      <c r="Q265" s="409"/>
      <c r="R265" s="409"/>
      <c r="S265" s="409"/>
      <c r="T265" s="409"/>
      <c r="U265" s="409"/>
      <c r="V265" s="409"/>
      <c r="W265" s="409"/>
      <c r="X265" s="409"/>
      <c r="Y265" s="409"/>
      <c r="Z265" s="409"/>
      <c r="AA265" s="409"/>
      <c r="AB265" s="409"/>
      <c r="AC265" s="527"/>
      <c r="AD265" s="409"/>
      <c r="AE265" s="413"/>
      <c r="AF265" s="409"/>
      <c r="AG265" s="423"/>
      <c r="AH265" s="423"/>
    </row>
    <row r="266" spans="1:34" s="382" customFormat="1" x14ac:dyDescent="0.25">
      <c r="A266" s="409"/>
      <c r="B266" s="409"/>
      <c r="C266" s="409"/>
      <c r="D266" s="409"/>
      <c r="E266" s="409"/>
      <c r="F266" s="409"/>
      <c r="G266" s="409"/>
      <c r="H266" s="409"/>
      <c r="I266" s="409"/>
      <c r="J266" s="409"/>
      <c r="K266" s="409"/>
      <c r="L266" s="409"/>
      <c r="M266" s="424"/>
      <c r="N266" s="424"/>
      <c r="O266" s="409"/>
      <c r="P266" s="409"/>
      <c r="Q266" s="409"/>
      <c r="R266" s="409"/>
      <c r="S266" s="409"/>
      <c r="T266" s="409"/>
      <c r="U266" s="409"/>
      <c r="V266" s="409"/>
      <c r="W266" s="409"/>
      <c r="X266" s="409"/>
      <c r="Y266" s="409"/>
      <c r="Z266" s="409"/>
      <c r="AA266" s="409"/>
      <c r="AB266" s="409"/>
      <c r="AC266" s="527"/>
      <c r="AD266" s="409"/>
      <c r="AE266" s="413"/>
      <c r="AF266" s="409"/>
      <c r="AG266" s="423"/>
      <c r="AH266" s="423"/>
    </row>
    <row r="267" spans="1:34" s="415" customFormat="1" x14ac:dyDescent="0.25">
      <c r="A267" s="409"/>
      <c r="B267" s="409"/>
      <c r="C267" s="409"/>
      <c r="D267" s="409"/>
      <c r="E267" s="409"/>
      <c r="F267" s="409"/>
      <c r="G267" s="409"/>
      <c r="H267" s="409"/>
      <c r="I267" s="409"/>
      <c r="J267" s="409"/>
      <c r="K267" s="409"/>
      <c r="L267" s="409"/>
      <c r="M267" s="424"/>
      <c r="N267" s="424"/>
      <c r="O267" s="409"/>
      <c r="P267" s="409"/>
      <c r="Q267" s="409"/>
      <c r="R267" s="409"/>
      <c r="S267" s="409"/>
      <c r="T267" s="409"/>
      <c r="U267" s="409"/>
      <c r="V267" s="409"/>
      <c r="W267" s="409"/>
      <c r="X267" s="409"/>
      <c r="Y267" s="409"/>
      <c r="Z267" s="409"/>
      <c r="AA267" s="409"/>
      <c r="AB267" s="409"/>
      <c r="AC267" s="527"/>
      <c r="AD267" s="409"/>
      <c r="AE267" s="413"/>
      <c r="AF267" s="409"/>
      <c r="AG267" s="423"/>
      <c r="AH267" s="423"/>
    </row>
    <row r="268" spans="1:34" s="415" customFormat="1" ht="12" customHeight="1" x14ac:dyDescent="0.25">
      <c r="A268" s="409"/>
      <c r="B268" s="409"/>
      <c r="C268" s="409"/>
      <c r="D268" s="409"/>
      <c r="E268" s="409"/>
      <c r="F268" s="409"/>
      <c r="G268" s="409"/>
      <c r="H268" s="409"/>
      <c r="I268" s="409"/>
      <c r="J268" s="409"/>
      <c r="K268" s="409"/>
      <c r="L268" s="409"/>
      <c r="M268" s="424"/>
      <c r="N268" s="424"/>
      <c r="O268" s="409"/>
      <c r="P268" s="409"/>
      <c r="Q268" s="409"/>
      <c r="R268" s="409"/>
      <c r="S268" s="409"/>
      <c r="T268" s="409"/>
      <c r="U268" s="409"/>
      <c r="V268" s="409"/>
      <c r="W268" s="409"/>
      <c r="X268" s="409"/>
      <c r="Y268" s="409"/>
      <c r="Z268" s="409"/>
      <c r="AA268" s="409"/>
      <c r="AB268" s="409"/>
      <c r="AC268" s="527"/>
      <c r="AD268" s="409"/>
      <c r="AE268" s="413"/>
      <c r="AF268" s="409"/>
      <c r="AG268" s="423"/>
    </row>
    <row r="269" spans="1:34" s="415" customFormat="1" x14ac:dyDescent="0.25">
      <c r="A269" s="409"/>
      <c r="B269" s="409"/>
      <c r="C269" s="409"/>
      <c r="D269" s="409"/>
      <c r="E269" s="409"/>
      <c r="F269" s="409"/>
      <c r="G269" s="409"/>
      <c r="H269" s="409"/>
      <c r="I269" s="409"/>
      <c r="J269" s="409"/>
      <c r="K269" s="409"/>
      <c r="L269" s="409"/>
      <c r="M269" s="424"/>
      <c r="N269" s="424"/>
      <c r="O269" s="409"/>
      <c r="P269" s="409"/>
      <c r="Q269" s="409"/>
      <c r="R269" s="409"/>
      <c r="S269" s="409"/>
      <c r="T269" s="409"/>
      <c r="U269" s="409"/>
      <c r="V269" s="409"/>
      <c r="W269" s="409"/>
      <c r="X269" s="409"/>
      <c r="Y269" s="409"/>
      <c r="Z269" s="409"/>
      <c r="AA269" s="409"/>
      <c r="AB269" s="409"/>
      <c r="AC269" s="527"/>
      <c r="AD269" s="409"/>
      <c r="AE269" s="413"/>
      <c r="AF269" s="409"/>
      <c r="AG269" s="423"/>
    </row>
    <row r="270" spans="1:34" s="416" customFormat="1" ht="11.25" customHeight="1" x14ac:dyDescent="0.25">
      <c r="A270" s="409"/>
      <c r="B270" s="409"/>
      <c r="C270" s="409"/>
      <c r="D270" s="409"/>
      <c r="E270" s="409"/>
      <c r="F270" s="409"/>
      <c r="G270" s="409"/>
      <c r="H270" s="409"/>
      <c r="I270" s="409"/>
      <c r="J270" s="409"/>
      <c r="K270" s="409"/>
      <c r="L270" s="409"/>
      <c r="M270" s="424"/>
      <c r="N270" s="424"/>
      <c r="O270" s="409"/>
      <c r="P270" s="409"/>
      <c r="Q270" s="409"/>
      <c r="R270" s="409"/>
      <c r="S270" s="409"/>
      <c r="T270" s="409"/>
      <c r="U270" s="409"/>
      <c r="V270" s="409"/>
      <c r="W270" s="409"/>
      <c r="X270" s="409"/>
      <c r="Y270" s="409"/>
      <c r="Z270" s="409"/>
      <c r="AA270" s="409"/>
      <c r="AB270" s="409"/>
      <c r="AC270" s="527"/>
      <c r="AD270" s="409"/>
      <c r="AE270" s="413"/>
      <c r="AF270" s="409"/>
      <c r="AG270" s="423"/>
    </row>
    <row r="271" spans="1:34" s="420" customFormat="1" x14ac:dyDescent="0.25">
      <c r="A271" s="409"/>
      <c r="B271" s="409"/>
      <c r="C271" s="409"/>
      <c r="D271" s="409"/>
      <c r="E271" s="409"/>
      <c r="F271" s="409"/>
      <c r="G271" s="409"/>
      <c r="H271" s="409"/>
      <c r="I271" s="409"/>
      <c r="J271" s="409"/>
      <c r="K271" s="409"/>
      <c r="L271" s="409"/>
      <c r="M271" s="424"/>
      <c r="N271" s="424"/>
      <c r="O271" s="409"/>
      <c r="P271" s="409"/>
      <c r="Q271" s="409"/>
      <c r="R271" s="409"/>
      <c r="S271" s="409"/>
      <c r="T271" s="409"/>
      <c r="U271" s="409"/>
      <c r="V271" s="409"/>
      <c r="W271" s="409"/>
      <c r="X271" s="409"/>
      <c r="Y271" s="409"/>
      <c r="Z271" s="409"/>
      <c r="AA271" s="409"/>
      <c r="AB271" s="409"/>
      <c r="AC271" s="527"/>
      <c r="AD271" s="409"/>
      <c r="AE271" s="413"/>
      <c r="AF271" s="409"/>
      <c r="AG271" s="423"/>
    </row>
    <row r="272" spans="1:34" x14ac:dyDescent="0.25">
      <c r="AG272" s="425"/>
    </row>
    <row r="273" spans="1:33" s="421" customFormat="1" x14ac:dyDescent="0.25">
      <c r="A273" s="409"/>
      <c r="B273" s="409"/>
      <c r="C273" s="409"/>
      <c r="D273" s="409"/>
      <c r="E273" s="409"/>
      <c r="F273" s="409"/>
      <c r="G273" s="409"/>
      <c r="H273" s="409"/>
      <c r="I273" s="409"/>
      <c r="J273" s="409"/>
      <c r="K273" s="409"/>
      <c r="L273" s="409"/>
      <c r="M273" s="424"/>
      <c r="N273" s="424"/>
      <c r="O273" s="409"/>
      <c r="P273" s="409"/>
      <c r="Q273" s="409"/>
      <c r="R273" s="409"/>
      <c r="S273" s="409"/>
      <c r="T273" s="409"/>
      <c r="U273" s="409"/>
      <c r="V273" s="409"/>
      <c r="W273" s="409"/>
      <c r="X273" s="409"/>
      <c r="Y273" s="409"/>
      <c r="Z273" s="409"/>
      <c r="AA273" s="409"/>
      <c r="AB273" s="409"/>
      <c r="AC273" s="527"/>
      <c r="AD273" s="409"/>
      <c r="AE273" s="413"/>
      <c r="AF273" s="409"/>
      <c r="AG273" s="427"/>
    </row>
    <row r="274" spans="1:33" s="421" customFormat="1" x14ac:dyDescent="0.25">
      <c r="A274" s="409"/>
      <c r="B274" s="409"/>
      <c r="C274" s="409"/>
      <c r="D274" s="409"/>
      <c r="E274" s="409"/>
      <c r="F274" s="409"/>
      <c r="G274" s="409"/>
      <c r="H274" s="409"/>
      <c r="I274" s="409"/>
      <c r="J274" s="409"/>
      <c r="K274" s="409"/>
      <c r="L274" s="409"/>
      <c r="M274" s="424"/>
      <c r="N274" s="424"/>
      <c r="O274" s="409"/>
      <c r="P274" s="409"/>
      <c r="Q274" s="409"/>
      <c r="R274" s="409"/>
      <c r="S274" s="409"/>
      <c r="T274" s="409"/>
      <c r="U274" s="409"/>
      <c r="V274" s="409"/>
      <c r="W274" s="409"/>
      <c r="X274" s="409"/>
      <c r="Y274" s="409"/>
      <c r="Z274" s="409"/>
      <c r="AA274" s="409"/>
      <c r="AB274" s="409"/>
      <c r="AC274" s="527"/>
      <c r="AD274" s="409"/>
      <c r="AE274" s="413"/>
      <c r="AF274" s="409"/>
      <c r="AG274" s="427"/>
    </row>
    <row r="275" spans="1:33" x14ac:dyDescent="0.25">
      <c r="AG275" s="427"/>
    </row>
    <row r="276" spans="1:33" x14ac:dyDescent="0.25">
      <c r="AG276" s="427"/>
    </row>
    <row r="277" spans="1:33" s="424" customFormat="1" x14ac:dyDescent="0.25">
      <c r="A277" s="409"/>
      <c r="B277" s="409"/>
      <c r="C277" s="409"/>
      <c r="D277" s="409"/>
      <c r="E277" s="409"/>
      <c r="F277" s="409"/>
      <c r="G277" s="409"/>
      <c r="H277" s="409"/>
      <c r="I277" s="409"/>
      <c r="J277" s="409"/>
      <c r="K277" s="409"/>
      <c r="L277" s="409"/>
      <c r="O277" s="409"/>
      <c r="P277" s="409"/>
      <c r="Q277" s="409"/>
      <c r="R277" s="409"/>
      <c r="S277" s="409"/>
      <c r="T277" s="409"/>
      <c r="U277" s="409"/>
      <c r="V277" s="409"/>
      <c r="W277" s="409"/>
      <c r="X277" s="409"/>
      <c r="Y277" s="409"/>
      <c r="Z277" s="409"/>
      <c r="AA277" s="409"/>
      <c r="AB277" s="409"/>
      <c r="AC277" s="527"/>
      <c r="AD277" s="409"/>
      <c r="AE277" s="413"/>
      <c r="AF277" s="409"/>
      <c r="AG277" s="429"/>
    </row>
    <row r="278" spans="1:33" s="424" customFormat="1" x14ac:dyDescent="0.25">
      <c r="A278" s="409"/>
      <c r="B278" s="409"/>
      <c r="C278" s="409"/>
      <c r="D278" s="409"/>
      <c r="E278" s="409"/>
      <c r="F278" s="409"/>
      <c r="G278" s="409"/>
      <c r="H278" s="409"/>
      <c r="I278" s="409"/>
      <c r="J278" s="409"/>
      <c r="K278" s="409"/>
      <c r="L278" s="409"/>
      <c r="O278" s="409"/>
      <c r="P278" s="409"/>
      <c r="Q278" s="409"/>
      <c r="R278" s="409"/>
      <c r="S278" s="409"/>
      <c r="T278" s="409"/>
      <c r="U278" s="409"/>
      <c r="V278" s="409"/>
      <c r="W278" s="409"/>
      <c r="X278" s="409"/>
      <c r="Y278" s="409"/>
      <c r="Z278" s="409"/>
      <c r="AA278" s="409"/>
      <c r="AB278" s="409"/>
      <c r="AC278" s="527"/>
      <c r="AD278" s="409"/>
      <c r="AE278" s="413"/>
      <c r="AF278" s="409"/>
      <c r="AG278" s="415"/>
    </row>
    <row r="279" spans="1:33" s="424" customFormat="1" x14ac:dyDescent="0.25">
      <c r="A279" s="409"/>
      <c r="B279" s="409"/>
      <c r="C279" s="409"/>
      <c r="D279" s="409"/>
      <c r="E279" s="409"/>
      <c r="F279" s="409"/>
      <c r="G279" s="409"/>
      <c r="H279" s="409"/>
      <c r="I279" s="409"/>
      <c r="J279" s="409"/>
      <c r="K279" s="409"/>
      <c r="L279" s="409"/>
      <c r="O279" s="409"/>
      <c r="P279" s="409"/>
      <c r="Q279" s="409"/>
      <c r="R279" s="409"/>
      <c r="S279" s="409"/>
      <c r="T279" s="409"/>
      <c r="U279" s="409"/>
      <c r="V279" s="409"/>
      <c r="W279" s="409"/>
      <c r="X279" s="409"/>
      <c r="Y279" s="409"/>
      <c r="Z279" s="409"/>
      <c r="AA279" s="409"/>
      <c r="AB279" s="409"/>
      <c r="AC279" s="527"/>
      <c r="AD279" s="409"/>
      <c r="AE279" s="413"/>
      <c r="AF279" s="409"/>
      <c r="AG279" s="415"/>
    </row>
    <row r="280" spans="1:33" s="424" customFormat="1" x14ac:dyDescent="0.25">
      <c r="A280" s="409"/>
      <c r="B280" s="409"/>
      <c r="C280" s="409"/>
      <c r="D280" s="409"/>
      <c r="E280" s="409"/>
      <c r="F280" s="409"/>
      <c r="G280" s="409"/>
      <c r="H280" s="409"/>
      <c r="I280" s="409"/>
      <c r="J280" s="409"/>
      <c r="K280" s="409"/>
      <c r="L280" s="409"/>
      <c r="O280" s="409"/>
      <c r="P280" s="409"/>
      <c r="Q280" s="409"/>
      <c r="R280" s="409"/>
      <c r="S280" s="409"/>
      <c r="T280" s="409"/>
      <c r="U280" s="409"/>
      <c r="V280" s="409"/>
      <c r="W280" s="409"/>
      <c r="X280" s="409"/>
      <c r="Y280" s="409"/>
      <c r="Z280" s="409"/>
      <c r="AA280" s="409"/>
      <c r="AB280" s="409"/>
      <c r="AC280" s="527"/>
      <c r="AD280" s="409"/>
      <c r="AE280" s="413"/>
      <c r="AF280" s="409"/>
      <c r="AG280" s="416"/>
    </row>
    <row r="281" spans="1:33" s="424" customFormat="1" x14ac:dyDescent="0.25">
      <c r="A281" s="409"/>
      <c r="B281" s="409"/>
      <c r="C281" s="409"/>
      <c r="D281" s="409"/>
      <c r="E281" s="409"/>
      <c r="F281" s="409"/>
      <c r="G281" s="409"/>
      <c r="H281" s="409"/>
      <c r="I281" s="409"/>
      <c r="J281" s="409"/>
      <c r="K281" s="409"/>
      <c r="L281" s="409"/>
      <c r="O281" s="409"/>
      <c r="P281" s="409"/>
      <c r="Q281" s="409"/>
      <c r="R281" s="409"/>
      <c r="S281" s="409"/>
      <c r="T281" s="409"/>
      <c r="U281" s="409"/>
      <c r="V281" s="409"/>
      <c r="W281" s="409"/>
      <c r="X281" s="409"/>
      <c r="Y281" s="409"/>
      <c r="Z281" s="409"/>
      <c r="AA281" s="409"/>
      <c r="AB281" s="409"/>
      <c r="AC281" s="527"/>
      <c r="AD281" s="409"/>
      <c r="AE281" s="413"/>
      <c r="AF281" s="409"/>
      <c r="AG281" s="420"/>
    </row>
    <row r="282" spans="1:33" s="424" customFormat="1" x14ac:dyDescent="0.25">
      <c r="A282" s="409"/>
      <c r="B282" s="409"/>
      <c r="C282" s="409"/>
      <c r="D282" s="409"/>
      <c r="E282" s="409"/>
      <c r="F282" s="409"/>
      <c r="G282" s="409"/>
      <c r="H282" s="409"/>
      <c r="I282" s="409"/>
      <c r="J282" s="409"/>
      <c r="K282" s="409"/>
      <c r="L282" s="409"/>
      <c r="O282" s="409"/>
      <c r="P282" s="409"/>
      <c r="Q282" s="409"/>
      <c r="R282" s="409"/>
      <c r="S282" s="409"/>
      <c r="T282" s="409"/>
      <c r="U282" s="409"/>
      <c r="V282" s="409"/>
      <c r="W282" s="409"/>
      <c r="X282" s="409"/>
      <c r="Y282" s="409"/>
      <c r="Z282" s="409"/>
      <c r="AA282" s="409"/>
      <c r="AB282" s="409"/>
      <c r="AC282" s="527"/>
      <c r="AD282" s="409"/>
      <c r="AE282" s="413"/>
      <c r="AF282" s="409"/>
      <c r="AG282" s="409"/>
    </row>
    <row r="283" spans="1:33" s="424" customFormat="1" x14ac:dyDescent="0.25">
      <c r="A283" s="409"/>
      <c r="B283" s="409"/>
      <c r="C283" s="409"/>
      <c r="D283" s="409"/>
      <c r="E283" s="409"/>
      <c r="F283" s="409"/>
      <c r="G283" s="409"/>
      <c r="H283" s="409"/>
      <c r="I283" s="409"/>
      <c r="J283" s="409"/>
      <c r="K283" s="409"/>
      <c r="L283" s="409"/>
      <c r="O283" s="409"/>
      <c r="P283" s="409"/>
      <c r="Q283" s="409"/>
      <c r="R283" s="409"/>
      <c r="S283" s="409"/>
      <c r="T283" s="409"/>
      <c r="U283" s="409"/>
      <c r="V283" s="409"/>
      <c r="W283" s="409"/>
      <c r="X283" s="409"/>
      <c r="Y283" s="409"/>
      <c r="Z283" s="409"/>
      <c r="AA283" s="409"/>
      <c r="AB283" s="409"/>
      <c r="AC283" s="527"/>
      <c r="AD283" s="409"/>
      <c r="AE283" s="413"/>
      <c r="AF283" s="409"/>
      <c r="AG283" s="421"/>
    </row>
    <row r="284" spans="1:33" s="424" customFormat="1" x14ac:dyDescent="0.25">
      <c r="A284" s="409"/>
      <c r="B284" s="409"/>
      <c r="C284" s="409"/>
      <c r="D284" s="409"/>
      <c r="E284" s="409"/>
      <c r="F284" s="409"/>
      <c r="G284" s="409"/>
      <c r="H284" s="409"/>
      <c r="I284" s="409"/>
      <c r="J284" s="409"/>
      <c r="K284" s="409"/>
      <c r="L284" s="409"/>
      <c r="O284" s="409"/>
      <c r="P284" s="409"/>
      <c r="Q284" s="409"/>
      <c r="R284" s="409"/>
      <c r="S284" s="409"/>
      <c r="T284" s="409"/>
      <c r="U284" s="409"/>
      <c r="V284" s="409"/>
      <c r="W284" s="409"/>
      <c r="X284" s="409"/>
      <c r="Y284" s="409"/>
      <c r="Z284" s="409"/>
      <c r="AA284" s="409"/>
      <c r="AB284" s="409"/>
      <c r="AC284" s="527"/>
      <c r="AD284" s="409"/>
      <c r="AE284" s="413"/>
      <c r="AF284" s="409"/>
      <c r="AG284" s="421"/>
    </row>
    <row r="286" spans="1:33" s="422" customFormat="1" x14ac:dyDescent="0.25">
      <c r="A286" s="409"/>
      <c r="B286" s="409"/>
      <c r="C286" s="409"/>
      <c r="D286" s="409"/>
      <c r="E286" s="409"/>
      <c r="F286" s="409"/>
      <c r="G286" s="409"/>
      <c r="H286" s="409"/>
      <c r="I286" s="409"/>
      <c r="J286" s="409"/>
      <c r="K286" s="409"/>
      <c r="L286" s="409"/>
      <c r="M286" s="424"/>
      <c r="N286" s="424"/>
      <c r="O286" s="409"/>
      <c r="P286" s="409"/>
      <c r="Q286" s="409"/>
      <c r="R286" s="409"/>
      <c r="S286" s="409"/>
      <c r="T286" s="409"/>
      <c r="U286" s="409"/>
      <c r="V286" s="409"/>
      <c r="W286" s="409"/>
      <c r="X286" s="409"/>
      <c r="Y286" s="409"/>
      <c r="Z286" s="409"/>
      <c r="AA286" s="409"/>
      <c r="AB286" s="409"/>
      <c r="AC286" s="527"/>
      <c r="AD286" s="409"/>
      <c r="AE286" s="413"/>
      <c r="AF286" s="409"/>
      <c r="AG286" s="409"/>
    </row>
    <row r="287" spans="1:33" s="423" customFormat="1" x14ac:dyDescent="0.25">
      <c r="A287" s="409"/>
      <c r="B287" s="409"/>
      <c r="C287" s="409"/>
      <c r="D287" s="409"/>
      <c r="E287" s="409"/>
      <c r="F287" s="409"/>
      <c r="G287" s="409"/>
      <c r="H287" s="409"/>
      <c r="I287" s="409"/>
      <c r="J287" s="409"/>
      <c r="K287" s="409"/>
      <c r="L287" s="409"/>
      <c r="M287" s="424"/>
      <c r="N287" s="424"/>
      <c r="O287" s="409"/>
      <c r="P287" s="409"/>
      <c r="Q287" s="409"/>
      <c r="R287" s="409"/>
      <c r="S287" s="409"/>
      <c r="T287" s="409"/>
      <c r="U287" s="409"/>
      <c r="V287" s="409"/>
      <c r="W287" s="409"/>
      <c r="X287" s="409"/>
      <c r="Y287" s="409"/>
      <c r="Z287" s="409"/>
      <c r="AA287" s="409"/>
      <c r="AB287" s="409"/>
      <c r="AC287" s="527"/>
      <c r="AD287" s="409"/>
      <c r="AE287" s="413"/>
      <c r="AF287" s="409"/>
      <c r="AG287" s="424"/>
    </row>
    <row r="288" spans="1:33" s="423" customFormat="1" x14ac:dyDescent="0.25">
      <c r="A288" s="409"/>
      <c r="B288" s="409"/>
      <c r="C288" s="409"/>
      <c r="D288" s="409"/>
      <c r="E288" s="409"/>
      <c r="F288" s="409"/>
      <c r="G288" s="409"/>
      <c r="H288" s="409"/>
      <c r="I288" s="409"/>
      <c r="J288" s="409"/>
      <c r="K288" s="409"/>
      <c r="L288" s="409"/>
      <c r="M288" s="424"/>
      <c r="N288" s="424"/>
      <c r="O288" s="409"/>
      <c r="P288" s="409"/>
      <c r="Q288" s="409"/>
      <c r="R288" s="409"/>
      <c r="S288" s="409"/>
      <c r="T288" s="409"/>
      <c r="U288" s="409"/>
      <c r="V288" s="409"/>
      <c r="W288" s="409"/>
      <c r="X288" s="409"/>
      <c r="Y288" s="409"/>
      <c r="Z288" s="409"/>
      <c r="AA288" s="409"/>
      <c r="AB288" s="409"/>
      <c r="AC288" s="527"/>
      <c r="AD288" s="409"/>
      <c r="AE288" s="413"/>
      <c r="AF288" s="409"/>
      <c r="AG288" s="424"/>
    </row>
    <row r="289" spans="1:33" s="423" customFormat="1" x14ac:dyDescent="0.25">
      <c r="A289" s="409"/>
      <c r="B289" s="409"/>
      <c r="C289" s="409"/>
      <c r="D289" s="409"/>
      <c r="E289" s="409"/>
      <c r="F289" s="409"/>
      <c r="G289" s="409"/>
      <c r="H289" s="409"/>
      <c r="I289" s="409"/>
      <c r="J289" s="409"/>
      <c r="K289" s="409"/>
      <c r="L289" s="409"/>
      <c r="M289" s="424"/>
      <c r="N289" s="424"/>
      <c r="O289" s="409"/>
      <c r="P289" s="409"/>
      <c r="Q289" s="409"/>
      <c r="R289" s="409"/>
      <c r="S289" s="409"/>
      <c r="T289" s="409"/>
      <c r="U289" s="409"/>
      <c r="V289" s="409"/>
      <c r="W289" s="409"/>
      <c r="X289" s="409"/>
      <c r="Y289" s="409"/>
      <c r="Z289" s="409"/>
      <c r="AA289" s="409"/>
      <c r="AB289" s="409"/>
      <c r="AC289" s="527"/>
      <c r="AD289" s="409"/>
      <c r="AE289" s="413"/>
      <c r="AF289" s="409"/>
      <c r="AG289" s="424"/>
    </row>
    <row r="290" spans="1:33" s="423" customFormat="1" x14ac:dyDescent="0.25">
      <c r="A290" s="409"/>
      <c r="B290" s="409"/>
      <c r="C290" s="409"/>
      <c r="D290" s="409"/>
      <c r="E290" s="409"/>
      <c r="F290" s="409"/>
      <c r="G290" s="409"/>
      <c r="H290" s="409"/>
      <c r="I290" s="409"/>
      <c r="J290" s="409"/>
      <c r="K290" s="409"/>
      <c r="L290" s="409"/>
      <c r="M290" s="424"/>
      <c r="N290" s="424"/>
      <c r="O290" s="409"/>
      <c r="P290" s="409"/>
      <c r="Q290" s="409"/>
      <c r="R290" s="409"/>
      <c r="S290" s="409"/>
      <c r="T290" s="409"/>
      <c r="U290" s="409"/>
      <c r="V290" s="409"/>
      <c r="W290" s="409"/>
      <c r="X290" s="409"/>
      <c r="Y290" s="409"/>
      <c r="Z290" s="409"/>
      <c r="AA290" s="409"/>
      <c r="AB290" s="409"/>
      <c r="AC290" s="527"/>
      <c r="AD290" s="409"/>
      <c r="AE290" s="413"/>
      <c r="AF290" s="409"/>
      <c r="AG290" s="424"/>
    </row>
    <row r="291" spans="1:33" s="423" customFormat="1" x14ac:dyDescent="0.25">
      <c r="A291" s="409"/>
      <c r="B291" s="409"/>
      <c r="C291" s="409"/>
      <c r="D291" s="409"/>
      <c r="E291" s="409"/>
      <c r="F291" s="409"/>
      <c r="G291" s="409"/>
      <c r="H291" s="409"/>
      <c r="I291" s="409"/>
      <c r="J291" s="409"/>
      <c r="K291" s="409"/>
      <c r="L291" s="409"/>
      <c r="M291" s="424"/>
      <c r="N291" s="424"/>
      <c r="O291" s="409"/>
      <c r="P291" s="409"/>
      <c r="Q291" s="409"/>
      <c r="R291" s="409"/>
      <c r="S291" s="409"/>
      <c r="T291" s="409"/>
      <c r="U291" s="409"/>
      <c r="V291" s="409"/>
      <c r="W291" s="409"/>
      <c r="X291" s="409"/>
      <c r="Y291" s="409"/>
      <c r="Z291" s="409"/>
      <c r="AA291" s="409"/>
      <c r="AB291" s="409"/>
      <c r="AC291" s="527"/>
      <c r="AD291" s="409"/>
      <c r="AE291" s="413"/>
      <c r="AF291" s="409"/>
      <c r="AG291" s="424"/>
    </row>
    <row r="292" spans="1:33" s="423" customFormat="1" x14ac:dyDescent="0.25">
      <c r="A292" s="409"/>
      <c r="B292" s="409"/>
      <c r="C292" s="409"/>
      <c r="D292" s="409"/>
      <c r="E292" s="409"/>
      <c r="F292" s="409"/>
      <c r="G292" s="409"/>
      <c r="H292" s="409"/>
      <c r="I292" s="409"/>
      <c r="J292" s="409"/>
      <c r="K292" s="409"/>
      <c r="L292" s="409"/>
      <c r="M292" s="424"/>
      <c r="N292" s="424"/>
      <c r="O292" s="409"/>
      <c r="P292" s="409"/>
      <c r="Q292" s="409"/>
      <c r="R292" s="409"/>
      <c r="S292" s="409"/>
      <c r="T292" s="409"/>
      <c r="U292" s="409"/>
      <c r="V292" s="409"/>
      <c r="W292" s="409"/>
      <c r="X292" s="409"/>
      <c r="Y292" s="409"/>
      <c r="Z292" s="409"/>
      <c r="AA292" s="409"/>
      <c r="AB292" s="409"/>
      <c r="AC292" s="527"/>
      <c r="AD292" s="409"/>
      <c r="AE292" s="413"/>
      <c r="AF292" s="409"/>
      <c r="AG292" s="424"/>
    </row>
    <row r="293" spans="1:33" s="423" customFormat="1" x14ac:dyDescent="0.25">
      <c r="A293" s="409"/>
      <c r="B293" s="409"/>
      <c r="C293" s="409"/>
      <c r="D293" s="409"/>
      <c r="E293" s="409"/>
      <c r="F293" s="409"/>
      <c r="G293" s="409"/>
      <c r="H293" s="409"/>
      <c r="I293" s="409"/>
      <c r="J293" s="409"/>
      <c r="K293" s="409"/>
      <c r="L293" s="409"/>
      <c r="M293" s="424"/>
      <c r="N293" s="424"/>
      <c r="O293" s="409"/>
      <c r="P293" s="409"/>
      <c r="Q293" s="409"/>
      <c r="R293" s="409"/>
      <c r="S293" s="409"/>
      <c r="T293" s="409"/>
      <c r="U293" s="409"/>
      <c r="V293" s="409"/>
      <c r="W293" s="409"/>
      <c r="X293" s="409"/>
      <c r="Y293" s="409"/>
      <c r="Z293" s="409"/>
      <c r="AA293" s="409"/>
      <c r="AB293" s="409"/>
      <c r="AC293" s="527"/>
      <c r="AD293" s="409"/>
      <c r="AE293" s="413"/>
      <c r="AF293" s="409"/>
      <c r="AG293" s="424"/>
    </row>
    <row r="294" spans="1:33" s="426" customFormat="1" x14ac:dyDescent="0.25">
      <c r="A294" s="409"/>
      <c r="B294" s="409"/>
      <c r="C294" s="409"/>
      <c r="D294" s="409"/>
      <c r="E294" s="409"/>
      <c r="F294" s="409"/>
      <c r="G294" s="409"/>
      <c r="H294" s="409"/>
      <c r="I294" s="409"/>
      <c r="J294" s="409"/>
      <c r="K294" s="409"/>
      <c r="L294" s="409"/>
      <c r="M294" s="424"/>
      <c r="N294" s="424"/>
      <c r="O294" s="409"/>
      <c r="P294" s="409"/>
      <c r="Q294" s="409"/>
      <c r="R294" s="409"/>
      <c r="S294" s="409"/>
      <c r="T294" s="409"/>
      <c r="U294" s="409"/>
      <c r="V294" s="409"/>
      <c r="W294" s="409"/>
      <c r="X294" s="409"/>
      <c r="Y294" s="409"/>
      <c r="Z294" s="409"/>
      <c r="AA294" s="409"/>
      <c r="AB294" s="409"/>
      <c r="AC294" s="527"/>
      <c r="AD294" s="409"/>
      <c r="AE294" s="413"/>
      <c r="AF294" s="409"/>
      <c r="AG294" s="424"/>
    </row>
    <row r="295" spans="1:33" s="427" customFormat="1" ht="12.75" customHeight="1" x14ac:dyDescent="0.25">
      <c r="A295" s="409"/>
      <c r="B295" s="409"/>
      <c r="C295" s="409"/>
      <c r="D295" s="409"/>
      <c r="E295" s="409"/>
      <c r="F295" s="409"/>
      <c r="G295" s="409"/>
      <c r="H295" s="409"/>
      <c r="I295" s="409"/>
      <c r="J295" s="409"/>
      <c r="K295" s="409"/>
      <c r="L295" s="409"/>
      <c r="M295" s="424"/>
      <c r="N295" s="424"/>
      <c r="O295" s="409"/>
      <c r="P295" s="409"/>
      <c r="Q295" s="409"/>
      <c r="R295" s="409"/>
      <c r="S295" s="409"/>
      <c r="T295" s="409"/>
      <c r="U295" s="409"/>
      <c r="V295" s="409"/>
      <c r="W295" s="409"/>
      <c r="X295" s="409"/>
      <c r="Y295" s="409"/>
      <c r="Z295" s="409"/>
      <c r="AA295" s="409"/>
      <c r="AB295" s="409"/>
      <c r="AC295" s="527"/>
      <c r="AD295" s="409"/>
      <c r="AE295" s="413"/>
      <c r="AF295" s="409"/>
      <c r="AG295" s="409"/>
    </row>
    <row r="296" spans="1:33" s="427" customFormat="1" ht="12.75" customHeight="1" x14ac:dyDescent="0.25">
      <c r="A296" s="409"/>
      <c r="B296" s="409"/>
      <c r="C296" s="409"/>
      <c r="D296" s="409"/>
      <c r="E296" s="409"/>
      <c r="F296" s="409"/>
      <c r="G296" s="409"/>
      <c r="H296" s="409"/>
      <c r="I296" s="409"/>
      <c r="J296" s="409"/>
      <c r="K296" s="409"/>
      <c r="L296" s="409"/>
      <c r="M296" s="424"/>
      <c r="N296" s="424"/>
      <c r="O296" s="409"/>
      <c r="P296" s="409"/>
      <c r="Q296" s="409"/>
      <c r="R296" s="409"/>
      <c r="S296" s="409"/>
      <c r="T296" s="409"/>
      <c r="U296" s="409"/>
      <c r="V296" s="409"/>
      <c r="W296" s="409"/>
      <c r="X296" s="409"/>
      <c r="Y296" s="409"/>
      <c r="Z296" s="409"/>
      <c r="AA296" s="409"/>
      <c r="AB296" s="409"/>
      <c r="AC296" s="527"/>
      <c r="AD296" s="409"/>
      <c r="AE296" s="413"/>
      <c r="AF296" s="409"/>
      <c r="AG296" s="422"/>
    </row>
    <row r="297" spans="1:33" s="427" customFormat="1" ht="12.75" customHeight="1" x14ac:dyDescent="0.25">
      <c r="A297" s="409"/>
      <c r="B297" s="409"/>
      <c r="C297" s="409"/>
      <c r="D297" s="409"/>
      <c r="E297" s="409"/>
      <c r="F297" s="409"/>
      <c r="G297" s="409"/>
      <c r="H297" s="409"/>
      <c r="I297" s="409"/>
      <c r="J297" s="409"/>
      <c r="K297" s="409"/>
      <c r="L297" s="409"/>
      <c r="M297" s="424"/>
      <c r="N297" s="424"/>
      <c r="O297" s="409"/>
      <c r="P297" s="409"/>
      <c r="Q297" s="409"/>
      <c r="R297" s="409"/>
      <c r="S297" s="409"/>
      <c r="T297" s="409"/>
      <c r="U297" s="409"/>
      <c r="V297" s="409"/>
      <c r="W297" s="409"/>
      <c r="X297" s="409"/>
      <c r="Y297" s="409"/>
      <c r="Z297" s="409"/>
      <c r="AA297" s="409"/>
      <c r="AB297" s="409"/>
      <c r="AC297" s="527"/>
      <c r="AD297" s="409"/>
      <c r="AE297" s="413"/>
      <c r="AF297" s="409"/>
      <c r="AG297" s="423"/>
    </row>
    <row r="298" spans="1:33" s="427" customFormat="1" ht="12.75" customHeight="1" x14ac:dyDescent="0.25">
      <c r="A298" s="409"/>
      <c r="B298" s="409"/>
      <c r="C298" s="409"/>
      <c r="D298" s="409"/>
      <c r="E298" s="409"/>
      <c r="F298" s="409"/>
      <c r="G298" s="409"/>
      <c r="H298" s="409"/>
      <c r="I298" s="409"/>
      <c r="J298" s="409"/>
      <c r="K298" s="409"/>
      <c r="L298" s="409"/>
      <c r="M298" s="424"/>
      <c r="N298" s="424"/>
      <c r="O298" s="409"/>
      <c r="P298" s="409"/>
      <c r="Q298" s="409"/>
      <c r="R298" s="409"/>
      <c r="S298" s="409"/>
      <c r="T298" s="409"/>
      <c r="U298" s="409"/>
      <c r="V298" s="409"/>
      <c r="W298" s="409"/>
      <c r="X298" s="409"/>
      <c r="Y298" s="409"/>
      <c r="Z298" s="409"/>
      <c r="AA298" s="409"/>
      <c r="AB298" s="409"/>
      <c r="AC298" s="527"/>
      <c r="AD298" s="409"/>
      <c r="AE298" s="413"/>
      <c r="AF298" s="409"/>
      <c r="AG298" s="423"/>
    </row>
    <row r="299" spans="1:33" s="427" customFormat="1" ht="12.75" customHeight="1" x14ac:dyDescent="0.25">
      <c r="A299" s="409"/>
      <c r="B299" s="409"/>
      <c r="C299" s="409"/>
      <c r="D299" s="409"/>
      <c r="E299" s="409"/>
      <c r="F299" s="409"/>
      <c r="G299" s="409"/>
      <c r="H299" s="409"/>
      <c r="I299" s="409"/>
      <c r="J299" s="409"/>
      <c r="K299" s="409"/>
      <c r="L299" s="409"/>
      <c r="M299" s="424"/>
      <c r="N299" s="424"/>
      <c r="O299" s="409"/>
      <c r="P299" s="409"/>
      <c r="Q299" s="409"/>
      <c r="R299" s="409"/>
      <c r="S299" s="409"/>
      <c r="T299" s="409"/>
      <c r="U299" s="409"/>
      <c r="V299" s="409"/>
      <c r="W299" s="409"/>
      <c r="X299" s="409"/>
      <c r="Y299" s="409"/>
      <c r="Z299" s="409"/>
      <c r="AA299" s="409"/>
      <c r="AB299" s="409"/>
      <c r="AC299" s="527"/>
      <c r="AD299" s="409"/>
      <c r="AE299" s="413"/>
      <c r="AF299" s="409"/>
      <c r="AG299" s="423"/>
    </row>
    <row r="300" spans="1:33" s="427" customFormat="1" ht="12.75" customHeight="1" x14ac:dyDescent="0.25">
      <c r="A300" s="409"/>
      <c r="B300" s="409"/>
      <c r="C300" s="409"/>
      <c r="D300" s="409"/>
      <c r="E300" s="409"/>
      <c r="F300" s="409"/>
      <c r="G300" s="409"/>
      <c r="H300" s="409"/>
      <c r="I300" s="409"/>
      <c r="J300" s="409"/>
      <c r="K300" s="409"/>
      <c r="L300" s="409"/>
      <c r="M300" s="424"/>
      <c r="N300" s="424"/>
      <c r="O300" s="409"/>
      <c r="P300" s="409"/>
      <c r="Q300" s="409"/>
      <c r="R300" s="409"/>
      <c r="S300" s="409"/>
      <c r="T300" s="409"/>
      <c r="U300" s="409"/>
      <c r="V300" s="409"/>
      <c r="W300" s="409"/>
      <c r="X300" s="409"/>
      <c r="Y300" s="409"/>
      <c r="Z300" s="409"/>
      <c r="AA300" s="409"/>
      <c r="AB300" s="409"/>
      <c r="AC300" s="527"/>
      <c r="AD300" s="409"/>
      <c r="AE300" s="413"/>
      <c r="AF300" s="409"/>
      <c r="AG300" s="423"/>
    </row>
    <row r="301" spans="1:33" s="427" customFormat="1" ht="12.75" customHeight="1" x14ac:dyDescent="0.25">
      <c r="A301" s="409"/>
      <c r="B301" s="409"/>
      <c r="C301" s="409"/>
      <c r="D301" s="409"/>
      <c r="E301" s="409"/>
      <c r="F301" s="409"/>
      <c r="G301" s="409"/>
      <c r="H301" s="409"/>
      <c r="I301" s="409"/>
      <c r="J301" s="409"/>
      <c r="K301" s="409"/>
      <c r="L301" s="409"/>
      <c r="M301" s="424"/>
      <c r="N301" s="424"/>
      <c r="O301" s="409"/>
      <c r="P301" s="409"/>
      <c r="Q301" s="409"/>
      <c r="R301" s="409"/>
      <c r="S301" s="409"/>
      <c r="T301" s="409"/>
      <c r="U301" s="409"/>
      <c r="V301" s="409"/>
      <c r="W301" s="409"/>
      <c r="X301" s="409"/>
      <c r="Y301" s="409"/>
      <c r="Z301" s="409"/>
      <c r="AA301" s="409"/>
      <c r="AB301" s="409"/>
      <c r="AC301" s="527"/>
      <c r="AD301" s="409"/>
      <c r="AE301" s="413"/>
      <c r="AF301" s="409"/>
      <c r="AG301" s="423"/>
    </row>
    <row r="302" spans="1:33" s="427" customFormat="1" ht="12.75" customHeight="1" x14ac:dyDescent="0.25">
      <c r="A302" s="409"/>
      <c r="B302" s="409"/>
      <c r="C302" s="409"/>
      <c r="D302" s="409"/>
      <c r="E302" s="409"/>
      <c r="F302" s="409"/>
      <c r="G302" s="409"/>
      <c r="H302" s="409"/>
      <c r="I302" s="409"/>
      <c r="J302" s="409"/>
      <c r="K302" s="409"/>
      <c r="L302" s="409"/>
      <c r="M302" s="424"/>
      <c r="N302" s="424"/>
      <c r="O302" s="409"/>
      <c r="P302" s="409"/>
      <c r="Q302" s="409"/>
      <c r="R302" s="409"/>
      <c r="S302" s="409"/>
      <c r="T302" s="409"/>
      <c r="U302" s="409"/>
      <c r="V302" s="409"/>
      <c r="W302" s="409"/>
      <c r="X302" s="409"/>
      <c r="Y302" s="409"/>
      <c r="Z302" s="409"/>
      <c r="AA302" s="409"/>
      <c r="AB302" s="409"/>
      <c r="AC302" s="527"/>
      <c r="AD302" s="409"/>
      <c r="AE302" s="413"/>
      <c r="AF302" s="409"/>
      <c r="AG302" s="423"/>
    </row>
    <row r="303" spans="1:33" s="427" customFormat="1" ht="12.75" customHeight="1" x14ac:dyDescent="0.25">
      <c r="A303" s="409"/>
      <c r="B303" s="409"/>
      <c r="C303" s="409"/>
      <c r="D303" s="409"/>
      <c r="E303" s="409"/>
      <c r="F303" s="409"/>
      <c r="G303" s="409"/>
      <c r="H303" s="409"/>
      <c r="I303" s="409"/>
      <c r="J303" s="409"/>
      <c r="K303" s="409"/>
      <c r="L303" s="409"/>
      <c r="M303" s="424"/>
      <c r="N303" s="424"/>
      <c r="O303" s="409"/>
      <c r="P303" s="409"/>
      <c r="Q303" s="409"/>
      <c r="R303" s="409"/>
      <c r="S303" s="409"/>
      <c r="T303" s="409"/>
      <c r="U303" s="409"/>
      <c r="V303" s="409"/>
      <c r="W303" s="409"/>
      <c r="X303" s="409"/>
      <c r="Y303" s="409"/>
      <c r="Z303" s="409"/>
      <c r="AA303" s="409"/>
      <c r="AB303" s="409"/>
      <c r="AC303" s="527"/>
      <c r="AD303" s="409"/>
      <c r="AE303" s="413"/>
      <c r="AF303" s="409"/>
      <c r="AG303" s="423"/>
    </row>
    <row r="304" spans="1:33" s="430" customFormat="1" x14ac:dyDescent="0.25">
      <c r="A304" s="409"/>
      <c r="B304" s="409"/>
      <c r="C304" s="409"/>
      <c r="D304" s="409"/>
      <c r="E304" s="409"/>
      <c r="F304" s="409"/>
      <c r="G304" s="409"/>
      <c r="H304" s="409"/>
      <c r="I304" s="409"/>
      <c r="J304" s="409"/>
      <c r="K304" s="409"/>
      <c r="L304" s="409"/>
      <c r="M304" s="424"/>
      <c r="N304" s="424"/>
      <c r="O304" s="409"/>
      <c r="P304" s="409"/>
      <c r="Q304" s="409"/>
      <c r="R304" s="409"/>
      <c r="S304" s="409"/>
      <c r="T304" s="409"/>
      <c r="U304" s="409"/>
      <c r="V304" s="409"/>
      <c r="W304" s="409"/>
      <c r="X304" s="409"/>
      <c r="Y304" s="409"/>
      <c r="Z304" s="409"/>
      <c r="AA304" s="409"/>
      <c r="AB304" s="409"/>
      <c r="AC304" s="527"/>
      <c r="AD304" s="409"/>
      <c r="AE304" s="413"/>
      <c r="AF304" s="409"/>
      <c r="AG304" s="426"/>
    </row>
    <row r="305" spans="1:33" s="430" customFormat="1" x14ac:dyDescent="0.25">
      <c r="A305" s="409"/>
      <c r="B305" s="409"/>
      <c r="C305" s="409"/>
      <c r="D305" s="409"/>
      <c r="E305" s="409"/>
      <c r="F305" s="409"/>
      <c r="G305" s="409"/>
      <c r="H305" s="409"/>
      <c r="I305" s="409"/>
      <c r="J305" s="409"/>
      <c r="K305" s="409"/>
      <c r="L305" s="409"/>
      <c r="M305" s="424"/>
      <c r="N305" s="424"/>
      <c r="O305" s="409"/>
      <c r="P305" s="409"/>
      <c r="Q305" s="409"/>
      <c r="R305" s="409"/>
      <c r="S305" s="409"/>
      <c r="T305" s="409"/>
      <c r="U305" s="409"/>
      <c r="V305" s="409"/>
      <c r="W305" s="409"/>
      <c r="X305" s="409"/>
      <c r="Y305" s="409"/>
      <c r="Z305" s="409"/>
      <c r="AA305" s="409"/>
      <c r="AB305" s="409"/>
      <c r="AC305" s="527"/>
      <c r="AD305" s="409"/>
      <c r="AE305" s="413"/>
      <c r="AF305" s="409"/>
      <c r="AG305" s="427"/>
    </row>
    <row r="306" spans="1:33" s="430" customFormat="1" x14ac:dyDescent="0.25">
      <c r="A306" s="409"/>
      <c r="B306" s="409"/>
      <c r="C306" s="409"/>
      <c r="D306" s="409"/>
      <c r="E306" s="409"/>
      <c r="F306" s="409"/>
      <c r="G306" s="409"/>
      <c r="H306" s="409"/>
      <c r="I306" s="409"/>
      <c r="J306" s="409"/>
      <c r="K306" s="409"/>
      <c r="L306" s="409"/>
      <c r="M306" s="424"/>
      <c r="N306" s="424"/>
      <c r="O306" s="409"/>
      <c r="P306" s="409"/>
      <c r="Q306" s="409"/>
      <c r="R306" s="409"/>
      <c r="S306" s="409"/>
      <c r="T306" s="409"/>
      <c r="U306" s="409"/>
      <c r="V306" s="409"/>
      <c r="W306" s="409"/>
      <c r="X306" s="409"/>
      <c r="Y306" s="409"/>
      <c r="Z306" s="409"/>
      <c r="AA306" s="409"/>
      <c r="AB306" s="409"/>
      <c r="AC306" s="527"/>
      <c r="AD306" s="409"/>
      <c r="AE306" s="413"/>
      <c r="AF306" s="409"/>
      <c r="AG306" s="427"/>
    </row>
    <row r="307" spans="1:33" s="430" customFormat="1" x14ac:dyDescent="0.25">
      <c r="A307" s="409"/>
      <c r="B307" s="409"/>
      <c r="C307" s="409"/>
      <c r="D307" s="409"/>
      <c r="E307" s="409"/>
      <c r="F307" s="409"/>
      <c r="G307" s="409"/>
      <c r="H307" s="409"/>
      <c r="I307" s="409"/>
      <c r="J307" s="409"/>
      <c r="K307" s="409"/>
      <c r="L307" s="409"/>
      <c r="M307" s="424"/>
      <c r="N307" s="424"/>
      <c r="O307" s="409"/>
      <c r="P307" s="409"/>
      <c r="Q307" s="409"/>
      <c r="R307" s="409"/>
      <c r="S307" s="409"/>
      <c r="T307" s="409"/>
      <c r="U307" s="409"/>
      <c r="V307" s="409"/>
      <c r="W307" s="409"/>
      <c r="X307" s="409"/>
      <c r="Y307" s="409"/>
      <c r="Z307" s="409"/>
      <c r="AA307" s="409"/>
      <c r="AB307" s="409"/>
      <c r="AC307" s="527"/>
      <c r="AD307" s="409"/>
      <c r="AE307" s="413"/>
      <c r="AF307" s="409"/>
      <c r="AG307" s="427"/>
    </row>
    <row r="308" spans="1:33" s="430" customFormat="1" x14ac:dyDescent="0.25">
      <c r="A308" s="409"/>
      <c r="B308" s="409"/>
      <c r="C308" s="409"/>
      <c r="D308" s="409"/>
      <c r="E308" s="409"/>
      <c r="F308" s="409"/>
      <c r="G308" s="409"/>
      <c r="H308" s="409"/>
      <c r="I308" s="409"/>
      <c r="J308" s="409"/>
      <c r="K308" s="409"/>
      <c r="L308" s="409"/>
      <c r="M308" s="424"/>
      <c r="N308" s="424"/>
      <c r="O308" s="409"/>
      <c r="P308" s="409"/>
      <c r="Q308" s="409"/>
      <c r="R308" s="409"/>
      <c r="S308" s="409"/>
      <c r="T308" s="409"/>
      <c r="U308" s="409"/>
      <c r="V308" s="409"/>
      <c r="W308" s="409"/>
      <c r="X308" s="409"/>
      <c r="Y308" s="409"/>
      <c r="Z308" s="409"/>
      <c r="AA308" s="409"/>
      <c r="AB308" s="409"/>
      <c r="AC308" s="527"/>
      <c r="AD308" s="409"/>
      <c r="AE308" s="413"/>
      <c r="AF308" s="409"/>
      <c r="AG308" s="427"/>
    </row>
    <row r="309" spans="1:33" s="430" customFormat="1" x14ac:dyDescent="0.25">
      <c r="A309" s="409"/>
      <c r="B309" s="409"/>
      <c r="C309" s="409"/>
      <c r="D309" s="409"/>
      <c r="E309" s="409"/>
      <c r="F309" s="409"/>
      <c r="G309" s="409"/>
      <c r="H309" s="409"/>
      <c r="I309" s="409"/>
      <c r="J309" s="409"/>
      <c r="K309" s="409"/>
      <c r="L309" s="409"/>
      <c r="M309" s="424"/>
      <c r="N309" s="424"/>
      <c r="O309" s="409"/>
      <c r="P309" s="409"/>
      <c r="Q309" s="409"/>
      <c r="R309" s="409"/>
      <c r="S309" s="409"/>
      <c r="T309" s="409"/>
      <c r="U309" s="409"/>
      <c r="V309" s="409"/>
      <c r="W309" s="409"/>
      <c r="X309" s="409"/>
      <c r="Y309" s="409"/>
      <c r="Z309" s="409"/>
      <c r="AA309" s="409"/>
      <c r="AB309" s="409"/>
      <c r="AC309" s="527"/>
      <c r="AD309" s="409"/>
      <c r="AE309" s="413"/>
      <c r="AF309" s="409"/>
      <c r="AG309" s="427"/>
    </row>
    <row r="310" spans="1:33" s="430" customFormat="1" x14ac:dyDescent="0.25">
      <c r="A310" s="409"/>
      <c r="B310" s="409"/>
      <c r="C310" s="409"/>
      <c r="D310" s="409"/>
      <c r="E310" s="409"/>
      <c r="F310" s="409"/>
      <c r="G310" s="409"/>
      <c r="H310" s="409"/>
      <c r="I310" s="409"/>
      <c r="J310" s="409"/>
      <c r="K310" s="409"/>
      <c r="L310" s="409"/>
      <c r="M310" s="424"/>
      <c r="N310" s="424"/>
      <c r="O310" s="409"/>
      <c r="P310" s="409"/>
      <c r="Q310" s="409"/>
      <c r="R310" s="409"/>
      <c r="S310" s="409"/>
      <c r="T310" s="409"/>
      <c r="U310" s="409"/>
      <c r="V310" s="409"/>
      <c r="W310" s="409"/>
      <c r="X310" s="409"/>
      <c r="Y310" s="409"/>
      <c r="Z310" s="409"/>
      <c r="AA310" s="409"/>
      <c r="AB310" s="409"/>
      <c r="AC310" s="527"/>
      <c r="AD310" s="409"/>
      <c r="AE310" s="413"/>
      <c r="AF310" s="409"/>
      <c r="AG310" s="427"/>
    </row>
    <row r="311" spans="1:33" s="430" customFormat="1" x14ac:dyDescent="0.25">
      <c r="A311" s="409"/>
      <c r="B311" s="409"/>
      <c r="C311" s="409"/>
      <c r="D311" s="409"/>
      <c r="E311" s="409"/>
      <c r="F311" s="409"/>
      <c r="G311" s="409"/>
      <c r="H311" s="409"/>
      <c r="I311" s="409"/>
      <c r="J311" s="409"/>
      <c r="K311" s="409"/>
      <c r="L311" s="409"/>
      <c r="M311" s="424"/>
      <c r="N311" s="424"/>
      <c r="O311" s="409"/>
      <c r="P311" s="409"/>
      <c r="Q311" s="409"/>
      <c r="R311" s="409"/>
      <c r="S311" s="409"/>
      <c r="T311" s="409"/>
      <c r="U311" s="409"/>
      <c r="V311" s="409"/>
      <c r="W311" s="409"/>
      <c r="X311" s="409"/>
      <c r="Y311" s="409"/>
      <c r="Z311" s="409"/>
      <c r="AA311" s="409"/>
      <c r="AB311" s="409"/>
      <c r="AC311" s="527"/>
      <c r="AD311" s="409"/>
      <c r="AE311" s="413"/>
      <c r="AF311" s="409"/>
      <c r="AG311" s="427"/>
    </row>
    <row r="312" spans="1:33" x14ac:dyDescent="0.25">
      <c r="AG312" s="427"/>
    </row>
    <row r="313" spans="1:33" x14ac:dyDescent="0.25">
      <c r="AG313" s="427"/>
    </row>
    <row r="314" spans="1:33" x14ac:dyDescent="0.25">
      <c r="AG314" s="430"/>
    </row>
    <row r="315" spans="1:33" x14ac:dyDescent="0.25">
      <c r="AG315" s="430"/>
    </row>
    <row r="316" spans="1:33" x14ac:dyDescent="0.25">
      <c r="AG316" s="430"/>
    </row>
    <row r="317" spans="1:33" x14ac:dyDescent="0.25">
      <c r="AG317" s="430"/>
    </row>
    <row r="318" spans="1:33" x14ac:dyDescent="0.25">
      <c r="AG318" s="430"/>
    </row>
    <row r="319" spans="1:33" x14ac:dyDescent="0.25">
      <c r="AG319" s="430"/>
    </row>
    <row r="320" spans="1:33" x14ac:dyDescent="0.25">
      <c r="AG320" s="430"/>
    </row>
    <row r="321" spans="33:33" x14ac:dyDescent="0.25">
      <c r="AG321" s="430"/>
    </row>
  </sheetData>
  <printOptions horizontalCentered="1"/>
  <pageMargins left="0.17" right="0.35" top="0.36" bottom="0.28000000000000003" header="0.2" footer="0.18"/>
  <pageSetup paperSize="5" scale="10"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320040</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205740</xdr:colOff>
                    <xdr:row>95</xdr:row>
                    <xdr:rowOff>167640</xdr:rowOff>
                  </from>
                  <to>
                    <xdr:col>12</xdr:col>
                    <xdr:colOff>99060</xdr:colOff>
                    <xdr:row>96</xdr:row>
                    <xdr:rowOff>99060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zoomScale="70" workbookViewId="0">
      <pane ySplit="3" topLeftCell="A4" activePane="bottomLeft" state="frozen"/>
      <selection pane="bottomLeft" activeCell="L12" sqref="A4:L12"/>
    </sheetView>
  </sheetViews>
  <sheetFormatPr defaultColWidth="9.109375" defaultRowHeight="13.2" x14ac:dyDescent="0.25"/>
  <cols>
    <col min="1" max="1" width="23.109375" style="193" customWidth="1"/>
    <col min="2" max="2" width="11.5546875" style="179" customWidth="1"/>
    <col min="3" max="4" width="8.88671875" style="179" customWidth="1"/>
    <col min="5" max="5" width="10" style="179" customWidth="1"/>
    <col min="6" max="7" width="8.88671875" style="179" customWidth="1"/>
    <col min="8" max="8" width="8.6640625" style="179" customWidth="1"/>
    <col min="9" max="9" width="7.6640625" style="179" customWidth="1"/>
    <col min="10" max="10" width="7.44140625" style="179" customWidth="1"/>
    <col min="11" max="11" width="8" style="179" customWidth="1"/>
    <col min="12" max="12" width="7.88671875" style="179" customWidth="1"/>
    <col min="13" max="13" width="7.6640625" style="179" customWidth="1"/>
    <col min="14" max="14" width="7.33203125" style="179" customWidth="1"/>
    <col min="15" max="16" width="8.33203125" style="179" customWidth="1"/>
    <col min="17" max="19" width="7.88671875" style="179" customWidth="1"/>
    <col min="20" max="20" width="8" style="179" customWidth="1"/>
    <col min="21" max="22" width="7.88671875" style="179" customWidth="1"/>
    <col min="23" max="23" width="9.109375" style="179"/>
    <col min="24" max="24" width="7.5546875" style="179" customWidth="1"/>
    <col min="25" max="25" width="8" style="179" customWidth="1"/>
    <col min="26" max="26" width="11.88671875" style="179" customWidth="1"/>
    <col min="27" max="27" width="12.44140625" style="194" customWidth="1"/>
    <col min="28" max="28" width="9.109375" style="179"/>
    <col min="29" max="29" width="12.88671875" style="179" customWidth="1"/>
    <col min="30" max="16384" width="9.109375" style="179"/>
  </cols>
  <sheetData>
    <row r="1" spans="1:213" ht="15.75" customHeight="1" thickTop="1" thickBot="1" x14ac:dyDescent="0.35">
      <c r="A1" s="613">
        <v>36861</v>
      </c>
      <c r="B1" s="572"/>
      <c r="C1" s="572"/>
      <c r="D1" s="572"/>
      <c r="E1" s="572"/>
      <c r="F1" s="572"/>
      <c r="G1" s="572"/>
      <c r="H1" s="572"/>
      <c r="I1" s="572"/>
      <c r="J1" s="572"/>
      <c r="K1" s="572"/>
      <c r="L1" s="572"/>
      <c r="M1" s="572"/>
      <c r="N1" s="572"/>
      <c r="O1" s="572"/>
      <c r="P1" s="572"/>
      <c r="Q1" s="572"/>
      <c r="R1" s="572"/>
      <c r="S1" s="572"/>
      <c r="T1" s="572"/>
      <c r="U1" s="572"/>
      <c r="V1" s="572"/>
      <c r="W1" s="572"/>
      <c r="X1" s="572"/>
      <c r="Y1" s="573"/>
      <c r="Z1" s="177"/>
      <c r="AA1" s="178"/>
      <c r="AB1" s="177"/>
      <c r="AC1" s="177"/>
      <c r="AD1" s="177"/>
      <c r="AE1" s="177"/>
      <c r="AF1" s="177"/>
      <c r="AG1" s="177"/>
      <c r="AH1" s="177"/>
      <c r="AI1" s="177"/>
      <c r="AJ1" s="177"/>
      <c r="AK1" s="177"/>
      <c r="AL1" s="177"/>
      <c r="AM1" s="177"/>
      <c r="AN1" s="177"/>
      <c r="AO1" s="177"/>
      <c r="AP1" s="177"/>
      <c r="AQ1" s="177"/>
      <c r="AR1" s="177"/>
      <c r="AS1" s="177"/>
      <c r="AT1" s="177"/>
      <c r="AU1" s="177"/>
      <c r="AV1" s="177"/>
      <c r="AW1" s="177"/>
      <c r="AX1" s="177"/>
      <c r="AY1" s="177"/>
      <c r="AZ1" s="177"/>
      <c r="BA1" s="177"/>
      <c r="BB1" s="177"/>
      <c r="BC1" s="177"/>
      <c r="BD1" s="177"/>
      <c r="BE1" s="177"/>
      <c r="BF1" s="177"/>
      <c r="BG1" s="177"/>
      <c r="BH1" s="177"/>
      <c r="BI1" s="177"/>
      <c r="BJ1" s="177"/>
      <c r="BK1" s="177"/>
      <c r="BL1" s="177"/>
      <c r="BM1" s="177"/>
      <c r="BN1" s="177"/>
      <c r="BO1" s="177"/>
      <c r="BP1" s="177"/>
      <c r="BQ1" s="177"/>
      <c r="BR1" s="177"/>
      <c r="BS1" s="177"/>
      <c r="BT1" s="177"/>
      <c r="BU1" s="177"/>
      <c r="BV1" s="177"/>
      <c r="BW1" s="177"/>
      <c r="BX1" s="177"/>
      <c r="BY1" s="177"/>
      <c r="BZ1" s="177"/>
      <c r="CA1" s="177"/>
      <c r="CB1" s="177"/>
      <c r="CC1" s="177"/>
      <c r="CD1" s="177"/>
      <c r="CE1" s="177"/>
      <c r="CF1" s="177"/>
      <c r="CG1" s="177"/>
      <c r="CH1" s="177"/>
      <c r="CI1" s="177"/>
      <c r="CJ1" s="177"/>
      <c r="CK1" s="177"/>
      <c r="CL1" s="177"/>
      <c r="CM1" s="177"/>
      <c r="CN1" s="177"/>
      <c r="CO1" s="177"/>
      <c r="CP1" s="177"/>
      <c r="CQ1" s="177"/>
      <c r="CR1" s="177"/>
      <c r="CS1" s="177"/>
      <c r="CT1" s="177"/>
      <c r="CU1" s="177"/>
      <c r="CV1" s="177"/>
      <c r="CW1" s="177"/>
      <c r="CX1" s="177"/>
      <c r="CY1" s="177"/>
      <c r="CZ1" s="177"/>
      <c r="DA1" s="177"/>
      <c r="DB1" s="177"/>
      <c r="DC1" s="177"/>
      <c r="DD1" s="177"/>
      <c r="DE1" s="177"/>
      <c r="DF1" s="177"/>
      <c r="DG1" s="177"/>
      <c r="DH1" s="177"/>
      <c r="DI1" s="177"/>
      <c r="DJ1" s="177"/>
      <c r="DK1" s="177"/>
      <c r="DL1" s="177"/>
      <c r="DM1" s="177"/>
      <c r="DN1" s="177"/>
      <c r="DO1" s="177"/>
      <c r="DP1" s="177"/>
      <c r="DQ1" s="177"/>
      <c r="DR1" s="177"/>
      <c r="DS1" s="177"/>
      <c r="DT1" s="177"/>
      <c r="DU1" s="177"/>
      <c r="DV1" s="177"/>
      <c r="DW1" s="177"/>
      <c r="DX1" s="177"/>
      <c r="DY1" s="177"/>
      <c r="DZ1" s="177"/>
      <c r="EA1" s="177"/>
      <c r="EB1" s="177"/>
      <c r="EC1" s="177"/>
      <c r="ED1" s="177"/>
      <c r="EE1" s="177"/>
      <c r="EF1" s="177"/>
      <c r="EG1" s="177"/>
      <c r="EH1" s="177"/>
      <c r="EI1" s="177"/>
      <c r="EJ1" s="177"/>
      <c r="EK1" s="177"/>
      <c r="EL1" s="177"/>
      <c r="EM1" s="177"/>
      <c r="EN1" s="177"/>
      <c r="EO1" s="177"/>
      <c r="EP1" s="177"/>
      <c r="EQ1" s="177"/>
      <c r="ER1" s="177"/>
      <c r="ES1" s="177"/>
      <c r="ET1" s="177"/>
      <c r="EU1" s="177"/>
      <c r="EV1" s="177"/>
      <c r="EW1" s="177"/>
      <c r="EX1" s="177"/>
      <c r="EY1" s="177"/>
      <c r="EZ1" s="177"/>
      <c r="FA1" s="177"/>
      <c r="FB1" s="177"/>
      <c r="FC1" s="177"/>
      <c r="FD1" s="177"/>
      <c r="FE1" s="177"/>
      <c r="FF1" s="177"/>
      <c r="FG1" s="177"/>
      <c r="FH1" s="177"/>
      <c r="FI1" s="177"/>
      <c r="FJ1" s="177"/>
      <c r="FK1" s="177"/>
      <c r="FL1" s="177"/>
      <c r="FM1" s="177"/>
      <c r="FN1" s="177"/>
      <c r="FO1" s="177"/>
      <c r="FP1" s="177"/>
      <c r="FQ1" s="177"/>
      <c r="FR1" s="177"/>
      <c r="FS1" s="177"/>
      <c r="FT1" s="177"/>
      <c r="FU1" s="177"/>
      <c r="FV1" s="177"/>
      <c r="FW1" s="177"/>
      <c r="FX1" s="177"/>
      <c r="FY1" s="177"/>
      <c r="FZ1" s="177"/>
      <c r="GA1" s="177"/>
      <c r="GB1" s="177"/>
      <c r="GC1" s="177"/>
      <c r="GD1" s="177"/>
      <c r="GE1" s="177"/>
      <c r="GF1" s="177"/>
      <c r="GG1" s="177"/>
      <c r="GH1" s="177"/>
      <c r="GI1" s="177"/>
      <c r="GJ1" s="177"/>
      <c r="GK1" s="177"/>
      <c r="GL1" s="177"/>
      <c r="GM1" s="177"/>
      <c r="GN1" s="177"/>
      <c r="GO1" s="177"/>
      <c r="GP1" s="177"/>
      <c r="GQ1" s="177"/>
      <c r="GR1" s="177"/>
      <c r="GS1" s="177"/>
      <c r="GT1" s="177"/>
      <c r="GU1" s="177"/>
      <c r="GV1" s="177"/>
      <c r="GW1" s="177"/>
      <c r="GX1" s="177"/>
      <c r="GY1" s="177"/>
      <c r="GZ1" s="177"/>
      <c r="HA1" s="177"/>
      <c r="HB1" s="177"/>
      <c r="HC1" s="177"/>
      <c r="HD1" s="177"/>
      <c r="HE1" s="177"/>
    </row>
    <row r="2" spans="1:213" s="571" customFormat="1" ht="17.25" customHeight="1" thickBot="1" x14ac:dyDescent="0.35">
      <c r="A2" s="662"/>
      <c r="B2" s="574" t="s">
        <v>420</v>
      </c>
      <c r="C2" s="574" t="s">
        <v>420</v>
      </c>
      <c r="D2" s="574" t="s">
        <v>420</v>
      </c>
      <c r="E2" s="574" t="s">
        <v>420</v>
      </c>
      <c r="F2" s="574" t="s">
        <v>420</v>
      </c>
      <c r="G2" s="574" t="s">
        <v>420</v>
      </c>
      <c r="H2" s="574" t="s">
        <v>420</v>
      </c>
      <c r="I2" s="574" t="s">
        <v>420</v>
      </c>
      <c r="J2" s="574" t="s">
        <v>420</v>
      </c>
      <c r="K2" s="574" t="s">
        <v>420</v>
      </c>
      <c r="L2" s="574" t="s">
        <v>420</v>
      </c>
      <c r="M2" s="574" t="s">
        <v>420</v>
      </c>
      <c r="N2" s="574" t="s">
        <v>420</v>
      </c>
      <c r="O2" s="574" t="s">
        <v>420</v>
      </c>
      <c r="P2" s="574" t="s">
        <v>420</v>
      </c>
      <c r="Q2" s="574" t="s">
        <v>420</v>
      </c>
      <c r="R2" s="574" t="s">
        <v>420</v>
      </c>
      <c r="S2" s="574" t="s">
        <v>420</v>
      </c>
      <c r="T2" s="574" t="s">
        <v>420</v>
      </c>
      <c r="U2" s="574" t="s">
        <v>420</v>
      </c>
      <c r="V2" s="574" t="s">
        <v>420</v>
      </c>
      <c r="W2" s="574" t="s">
        <v>420</v>
      </c>
      <c r="X2" s="574" t="s">
        <v>420</v>
      </c>
      <c r="Y2" s="575" t="s">
        <v>420</v>
      </c>
      <c r="Z2" s="569"/>
      <c r="AA2" s="570"/>
      <c r="AB2" s="569"/>
      <c r="AC2" s="569"/>
      <c r="AD2" s="569"/>
      <c r="AE2" s="569"/>
      <c r="AF2" s="569"/>
      <c r="AG2" s="569"/>
      <c r="AH2" s="569"/>
      <c r="AI2" s="569"/>
      <c r="AJ2" s="569"/>
      <c r="AK2" s="569"/>
      <c r="AL2" s="569"/>
      <c r="AM2" s="569"/>
      <c r="AN2" s="569"/>
      <c r="AO2" s="569"/>
      <c r="AP2" s="569"/>
      <c r="AQ2" s="569"/>
      <c r="AR2" s="569"/>
      <c r="AS2" s="569"/>
      <c r="AT2" s="569"/>
      <c r="AU2" s="569"/>
      <c r="AV2" s="569"/>
      <c r="AW2" s="569"/>
      <c r="AX2" s="569"/>
      <c r="AY2" s="569"/>
      <c r="AZ2" s="569"/>
      <c r="BA2" s="569"/>
      <c r="BB2" s="569"/>
      <c r="BC2" s="569"/>
      <c r="BD2" s="569"/>
      <c r="BE2" s="569"/>
      <c r="BF2" s="569"/>
      <c r="BG2" s="569"/>
      <c r="BH2" s="569"/>
      <c r="BI2" s="569"/>
      <c r="BJ2" s="569"/>
      <c r="BK2" s="569"/>
      <c r="BL2" s="569"/>
      <c r="BM2" s="569"/>
      <c r="BN2" s="569"/>
      <c r="BO2" s="569"/>
      <c r="BP2" s="569"/>
      <c r="BQ2" s="569"/>
      <c r="BR2" s="569"/>
      <c r="BS2" s="569"/>
      <c r="BT2" s="569"/>
      <c r="BU2" s="569"/>
      <c r="BV2" s="569"/>
      <c r="BW2" s="569"/>
      <c r="BX2" s="569"/>
      <c r="BY2" s="569"/>
      <c r="BZ2" s="569"/>
      <c r="CA2" s="569"/>
      <c r="CB2" s="569"/>
      <c r="CC2" s="569"/>
      <c r="CD2" s="569"/>
      <c r="CE2" s="569"/>
      <c r="CF2" s="569"/>
      <c r="CG2" s="569"/>
      <c r="CH2" s="569"/>
      <c r="CI2" s="569"/>
      <c r="CJ2" s="569"/>
      <c r="CK2" s="569"/>
      <c r="CL2" s="569"/>
      <c r="CM2" s="569"/>
      <c r="CN2" s="569"/>
      <c r="CO2" s="569"/>
      <c r="CP2" s="569"/>
      <c r="CQ2" s="569"/>
      <c r="CR2" s="569"/>
      <c r="CS2" s="569"/>
      <c r="CT2" s="569"/>
      <c r="CU2" s="569"/>
      <c r="CV2" s="569"/>
      <c r="CW2" s="569"/>
      <c r="CX2" s="569"/>
      <c r="CY2" s="569"/>
      <c r="CZ2" s="569"/>
      <c r="DA2" s="569"/>
      <c r="DB2" s="569"/>
      <c r="DC2" s="569"/>
      <c r="DD2" s="569"/>
      <c r="DE2" s="569"/>
      <c r="DF2" s="569"/>
      <c r="DG2" s="569"/>
      <c r="DH2" s="569"/>
      <c r="DI2" s="569"/>
      <c r="DJ2" s="569"/>
      <c r="DK2" s="569"/>
      <c r="DL2" s="569"/>
      <c r="DM2" s="569"/>
      <c r="DN2" s="569"/>
      <c r="DO2" s="569"/>
      <c r="DP2" s="569"/>
      <c r="DQ2" s="569"/>
      <c r="DR2" s="569"/>
      <c r="DS2" s="569"/>
      <c r="DT2" s="569"/>
      <c r="DU2" s="569"/>
      <c r="DV2" s="569"/>
      <c r="DW2" s="569"/>
      <c r="DX2" s="569"/>
      <c r="DY2" s="569"/>
      <c r="DZ2" s="569"/>
      <c r="EA2" s="569"/>
      <c r="EB2" s="569"/>
      <c r="EC2" s="569"/>
      <c r="ED2" s="569"/>
      <c r="EE2" s="569"/>
      <c r="EF2" s="569"/>
      <c r="EG2" s="569"/>
      <c r="EH2" s="569"/>
      <c r="EI2" s="569"/>
      <c r="EJ2" s="569"/>
      <c r="EK2" s="569"/>
      <c r="EL2" s="569"/>
      <c r="EM2" s="569"/>
      <c r="EN2" s="569"/>
      <c r="EO2" s="569"/>
      <c r="EP2" s="569"/>
      <c r="EQ2" s="569"/>
      <c r="ER2" s="569"/>
      <c r="ES2" s="569"/>
      <c r="ET2" s="569"/>
      <c r="EU2" s="569"/>
      <c r="EV2" s="569"/>
      <c r="EW2" s="569"/>
      <c r="EX2" s="569"/>
      <c r="EY2" s="569"/>
      <c r="EZ2" s="569"/>
      <c r="FA2" s="569"/>
      <c r="FB2" s="569"/>
      <c r="FC2" s="569"/>
      <c r="FD2" s="569"/>
      <c r="FE2" s="569"/>
      <c r="FF2" s="569"/>
      <c r="FG2" s="569"/>
      <c r="FH2" s="569"/>
      <c r="FI2" s="569"/>
      <c r="FJ2" s="569"/>
      <c r="FK2" s="569"/>
      <c r="FL2" s="569"/>
      <c r="FM2" s="569"/>
      <c r="FN2" s="569"/>
      <c r="FO2" s="569"/>
      <c r="FP2" s="569"/>
      <c r="FQ2" s="569"/>
      <c r="FR2" s="569"/>
      <c r="FS2" s="569"/>
      <c r="FT2" s="569"/>
      <c r="FU2" s="569"/>
      <c r="FV2" s="569"/>
      <c r="FW2" s="569"/>
      <c r="FX2" s="569"/>
      <c r="FY2" s="569"/>
      <c r="FZ2" s="569"/>
      <c r="GA2" s="569"/>
      <c r="GB2" s="569"/>
      <c r="GC2" s="569"/>
      <c r="GD2" s="569"/>
      <c r="GE2" s="569"/>
      <c r="GF2" s="569"/>
      <c r="GG2" s="569"/>
      <c r="GH2" s="569"/>
      <c r="GI2" s="569"/>
      <c r="GJ2" s="569"/>
      <c r="GK2" s="569"/>
      <c r="GL2" s="569"/>
      <c r="GM2" s="569"/>
      <c r="GN2" s="569"/>
      <c r="GO2" s="569"/>
      <c r="GP2" s="569"/>
      <c r="GQ2" s="569"/>
      <c r="GR2" s="569"/>
      <c r="GS2" s="569"/>
      <c r="GT2" s="569"/>
      <c r="GU2" s="569"/>
      <c r="GV2" s="569"/>
      <c r="GW2" s="569"/>
      <c r="GX2" s="569"/>
      <c r="GY2" s="569"/>
      <c r="GZ2" s="569"/>
      <c r="HA2" s="569"/>
      <c r="HB2" s="569"/>
      <c r="HC2" s="569"/>
      <c r="HD2" s="569"/>
      <c r="HE2" s="569"/>
    </row>
    <row r="3" spans="1:213" ht="13.8" thickBot="1" x14ac:dyDescent="0.3">
      <c r="A3" s="664" t="s">
        <v>409</v>
      </c>
      <c r="B3" s="608">
        <v>1</v>
      </c>
      <c r="C3" s="606">
        <v>2</v>
      </c>
      <c r="D3" s="606">
        <v>3</v>
      </c>
      <c r="E3" s="606">
        <v>4</v>
      </c>
      <c r="F3" s="606">
        <v>5</v>
      </c>
      <c r="G3" s="606">
        <v>6</v>
      </c>
      <c r="H3" s="606">
        <v>7</v>
      </c>
      <c r="I3" s="606">
        <v>8</v>
      </c>
      <c r="J3" s="606">
        <v>9</v>
      </c>
      <c r="K3" s="606">
        <v>10</v>
      </c>
      <c r="L3" s="606">
        <v>11</v>
      </c>
      <c r="M3" s="606">
        <v>12</v>
      </c>
      <c r="N3" s="606">
        <v>13</v>
      </c>
      <c r="O3" s="606">
        <v>14</v>
      </c>
      <c r="P3" s="606">
        <v>15</v>
      </c>
      <c r="Q3" s="606">
        <v>16</v>
      </c>
      <c r="R3" s="606">
        <v>17</v>
      </c>
      <c r="S3" s="607">
        <v>18</v>
      </c>
      <c r="T3" s="608">
        <v>19</v>
      </c>
      <c r="U3" s="606">
        <v>20</v>
      </c>
      <c r="V3" s="606">
        <v>21</v>
      </c>
      <c r="W3" s="606">
        <v>22</v>
      </c>
      <c r="X3" s="606">
        <v>23</v>
      </c>
      <c r="Y3" s="609">
        <v>24</v>
      </c>
      <c r="Z3" s="177"/>
      <c r="AA3" s="178"/>
      <c r="AB3" s="177"/>
      <c r="AC3" s="177"/>
      <c r="AD3" s="177"/>
      <c r="AE3" s="177"/>
      <c r="AF3" s="177"/>
      <c r="AG3" s="177"/>
      <c r="AH3" s="177"/>
      <c r="AI3" s="177"/>
      <c r="AJ3" s="177"/>
      <c r="AK3" s="177"/>
      <c r="AL3" s="177"/>
      <c r="AM3" s="177"/>
      <c r="AN3" s="177"/>
      <c r="AO3" s="177"/>
      <c r="AP3" s="177"/>
      <c r="AQ3" s="177"/>
      <c r="AR3" s="177"/>
      <c r="AS3" s="177"/>
      <c r="AT3" s="177"/>
      <c r="AU3" s="177"/>
      <c r="AV3" s="177"/>
      <c r="AW3" s="177"/>
      <c r="AX3" s="177"/>
      <c r="AY3" s="177"/>
      <c r="AZ3" s="177"/>
      <c r="BA3" s="177"/>
      <c r="BB3" s="177"/>
      <c r="BC3" s="177"/>
      <c r="BD3" s="177"/>
      <c r="BE3" s="177"/>
      <c r="BF3" s="177"/>
      <c r="BG3" s="177"/>
      <c r="BH3" s="177"/>
      <c r="BI3" s="177"/>
      <c r="BJ3" s="177"/>
      <c r="BK3" s="177"/>
      <c r="BL3" s="177"/>
      <c r="BM3" s="177"/>
      <c r="BN3" s="177"/>
      <c r="BO3" s="177"/>
      <c r="BP3" s="177"/>
      <c r="BQ3" s="177"/>
      <c r="BR3" s="177"/>
      <c r="BS3" s="177"/>
      <c r="BT3" s="177"/>
      <c r="BU3" s="177"/>
      <c r="BV3" s="177"/>
      <c r="BW3" s="177"/>
      <c r="BX3" s="177"/>
      <c r="BY3" s="177"/>
      <c r="BZ3" s="177"/>
      <c r="CA3" s="177"/>
      <c r="CB3" s="177"/>
      <c r="CC3" s="177"/>
      <c r="CD3" s="177"/>
      <c r="CE3" s="177"/>
      <c r="CF3" s="177"/>
      <c r="CG3" s="177"/>
      <c r="CH3" s="177"/>
      <c r="CI3" s="177"/>
      <c r="CJ3" s="177"/>
      <c r="CK3" s="177"/>
      <c r="CL3" s="177"/>
      <c r="CM3" s="177"/>
      <c r="CN3" s="177"/>
      <c r="CO3" s="177"/>
      <c r="CP3" s="177"/>
      <c r="CQ3" s="177"/>
      <c r="CR3" s="177"/>
      <c r="CS3" s="177"/>
      <c r="CT3" s="177"/>
      <c r="CU3" s="177"/>
      <c r="CV3" s="177"/>
      <c r="CW3" s="177"/>
      <c r="CX3" s="177"/>
      <c r="CY3" s="177"/>
      <c r="CZ3" s="177"/>
      <c r="DA3" s="177"/>
      <c r="DB3" s="177"/>
      <c r="DC3" s="177"/>
      <c r="DD3" s="177"/>
      <c r="DE3" s="177"/>
      <c r="DF3" s="177"/>
      <c r="DG3" s="177"/>
      <c r="DH3" s="177"/>
      <c r="DI3" s="177"/>
      <c r="DJ3" s="177"/>
      <c r="DK3" s="177"/>
      <c r="DL3" s="177"/>
      <c r="DM3" s="177"/>
      <c r="DN3" s="177"/>
      <c r="DO3" s="177"/>
      <c r="DP3" s="177"/>
      <c r="DQ3" s="177"/>
      <c r="DR3" s="177"/>
      <c r="DS3" s="177"/>
      <c r="DT3" s="177"/>
      <c r="DU3" s="177"/>
      <c r="DV3" s="177"/>
      <c r="DW3" s="177"/>
      <c r="DX3" s="177"/>
      <c r="DY3" s="177"/>
      <c r="DZ3" s="177"/>
      <c r="EA3" s="177"/>
      <c r="EB3" s="177"/>
      <c r="EC3" s="177"/>
      <c r="ED3" s="177"/>
      <c r="EE3" s="177"/>
      <c r="EF3" s="177"/>
      <c r="EG3" s="177"/>
      <c r="EH3" s="177"/>
      <c r="EI3" s="177"/>
      <c r="EJ3" s="177"/>
      <c r="EK3" s="177"/>
      <c r="EL3" s="177"/>
      <c r="EM3" s="177"/>
      <c r="EN3" s="177"/>
      <c r="EO3" s="177"/>
      <c r="EP3" s="177"/>
      <c r="EQ3" s="177"/>
      <c r="ER3" s="177"/>
      <c r="ES3" s="177"/>
      <c r="ET3" s="177"/>
      <c r="EU3" s="177"/>
      <c r="EV3" s="177"/>
      <c r="EW3" s="177"/>
      <c r="EX3" s="177"/>
      <c r="EY3" s="177"/>
      <c r="EZ3" s="177"/>
      <c r="FA3" s="177"/>
      <c r="FB3" s="177"/>
      <c r="FC3" s="177"/>
      <c r="FD3" s="177"/>
      <c r="FE3" s="177"/>
      <c r="FF3" s="177"/>
      <c r="FG3" s="177"/>
      <c r="FH3" s="177"/>
      <c r="FI3" s="177"/>
      <c r="FJ3" s="177"/>
      <c r="FK3" s="177"/>
      <c r="FL3" s="177"/>
      <c r="FM3" s="177"/>
      <c r="FN3" s="177"/>
      <c r="FO3" s="177"/>
      <c r="FP3" s="177"/>
      <c r="FQ3" s="177"/>
      <c r="FR3" s="177"/>
      <c r="FS3" s="177"/>
      <c r="FT3" s="177"/>
      <c r="FU3" s="177"/>
      <c r="FV3" s="177"/>
      <c r="FW3" s="177"/>
      <c r="FX3" s="177"/>
      <c r="FY3" s="177"/>
      <c r="FZ3" s="177"/>
      <c r="GA3" s="177"/>
      <c r="GB3" s="177"/>
      <c r="GC3" s="177"/>
      <c r="GD3" s="177"/>
      <c r="GE3" s="177"/>
      <c r="GF3" s="177"/>
      <c r="GG3" s="177"/>
      <c r="GH3" s="177"/>
      <c r="GI3" s="177"/>
      <c r="GJ3" s="177"/>
      <c r="GK3" s="177"/>
      <c r="GL3" s="177"/>
      <c r="GM3" s="177"/>
      <c r="GN3" s="177"/>
      <c r="GO3" s="177"/>
      <c r="GP3" s="177"/>
      <c r="GQ3" s="177"/>
      <c r="GR3" s="177"/>
      <c r="GS3" s="177"/>
      <c r="GT3" s="177"/>
      <c r="GU3" s="177"/>
      <c r="GV3" s="177"/>
      <c r="GW3" s="177"/>
      <c r="GX3" s="177"/>
      <c r="GY3" s="177"/>
      <c r="GZ3" s="177"/>
      <c r="HA3" s="177"/>
      <c r="HB3" s="177"/>
      <c r="HC3" s="177"/>
      <c r="HD3" s="177"/>
      <c r="HE3" s="177"/>
    </row>
    <row r="4" spans="1:213" s="381" customFormat="1" x14ac:dyDescent="0.25">
      <c r="A4" s="663" t="s">
        <v>361</v>
      </c>
      <c r="B4" s="610">
        <v>600</v>
      </c>
      <c r="C4" s="611">
        <v>596</v>
      </c>
      <c r="D4" s="611">
        <v>575</v>
      </c>
      <c r="E4" s="611">
        <v>582</v>
      </c>
      <c r="F4" s="611">
        <v>583</v>
      </c>
      <c r="G4" s="611">
        <v>645</v>
      </c>
      <c r="H4" s="611">
        <v>731</v>
      </c>
      <c r="I4" s="611">
        <v>758</v>
      </c>
      <c r="J4" s="611">
        <v>770</v>
      </c>
      <c r="K4" s="611">
        <v>770</v>
      </c>
      <c r="L4" s="611">
        <v>779</v>
      </c>
      <c r="M4" s="611">
        <v>773</v>
      </c>
      <c r="N4" s="611">
        <v>758</v>
      </c>
      <c r="O4" s="611">
        <v>753</v>
      </c>
      <c r="P4" s="611">
        <v>745</v>
      </c>
      <c r="Q4" s="611">
        <v>725</v>
      </c>
      <c r="R4" s="611">
        <v>747</v>
      </c>
      <c r="S4" s="611">
        <v>826</v>
      </c>
      <c r="T4" s="611">
        <v>838</v>
      </c>
      <c r="U4" s="611">
        <v>827</v>
      </c>
      <c r="V4" s="611">
        <v>803</v>
      </c>
      <c r="W4" s="611">
        <v>774</v>
      </c>
      <c r="X4" s="612">
        <v>743</v>
      </c>
      <c r="Y4" s="612">
        <v>665</v>
      </c>
      <c r="Z4" s="380"/>
      <c r="AA4" s="380"/>
      <c r="AB4" s="380"/>
      <c r="AC4" s="380"/>
      <c r="AD4" s="380"/>
    </row>
    <row r="5" spans="1:213" s="181" customFormat="1" ht="12.6" thickBot="1" x14ac:dyDescent="0.3">
      <c r="A5" s="201" t="s">
        <v>71</v>
      </c>
      <c r="B5" s="614">
        <f>Deals!F4</f>
        <v>25</v>
      </c>
      <c r="C5" s="614">
        <f>Deals!G4</f>
        <v>25</v>
      </c>
      <c r="D5" s="614">
        <f>Deals!H4</f>
        <v>25</v>
      </c>
      <c r="E5" s="614">
        <f>Deals!I4</f>
        <v>25</v>
      </c>
      <c r="F5" s="614">
        <f>Deals!J4</f>
        <v>25</v>
      </c>
      <c r="G5" s="614">
        <f>Deals!K4</f>
        <v>25</v>
      </c>
      <c r="H5" s="614">
        <f>Deals!L4</f>
        <v>25</v>
      </c>
      <c r="I5" s="614">
        <f>Deals!M4</f>
        <v>25</v>
      </c>
      <c r="J5" s="614">
        <f>Deals!N4</f>
        <v>25</v>
      </c>
      <c r="K5" s="614">
        <f>Deals!O4</f>
        <v>25</v>
      </c>
      <c r="L5" s="614">
        <f>Deals!P4</f>
        <v>25</v>
      </c>
      <c r="M5" s="614">
        <f>Deals!Q4</f>
        <v>25</v>
      </c>
      <c r="N5" s="614">
        <f>Deals!R4</f>
        <v>25</v>
      </c>
      <c r="O5" s="614">
        <f>Deals!S4</f>
        <v>25</v>
      </c>
      <c r="P5" s="614">
        <f>Deals!T4</f>
        <v>25</v>
      </c>
      <c r="Q5" s="614">
        <f>Deals!U4</f>
        <v>25</v>
      </c>
      <c r="R5" s="614">
        <f>Deals!V4</f>
        <v>25</v>
      </c>
      <c r="S5" s="614">
        <f>Deals!W4</f>
        <v>25</v>
      </c>
      <c r="T5" s="614">
        <f>Deals!X4</f>
        <v>25</v>
      </c>
      <c r="U5" s="614">
        <f>Deals!Y4</f>
        <v>25</v>
      </c>
      <c r="V5" s="614">
        <f>Deals!Z4</f>
        <v>25</v>
      </c>
      <c r="W5" s="614">
        <f>Deals!AA4</f>
        <v>25</v>
      </c>
      <c r="X5" s="614">
        <f>Deals!AB4</f>
        <v>25</v>
      </c>
      <c r="Y5" s="596">
        <f>Deals!AC4</f>
        <v>25</v>
      </c>
      <c r="Z5" s="180"/>
      <c r="AA5" s="182"/>
    </row>
    <row r="6" spans="1:213" s="181" customFormat="1" ht="12" x14ac:dyDescent="0.25">
      <c r="A6" s="615" t="s">
        <v>24</v>
      </c>
      <c r="B6" s="616"/>
      <c r="C6" s="616"/>
      <c r="D6" s="616"/>
      <c r="E6" s="616"/>
      <c r="F6" s="616"/>
      <c r="G6" s="616"/>
      <c r="H6" s="616"/>
      <c r="I6" s="616"/>
      <c r="J6" s="616"/>
      <c r="K6" s="616"/>
      <c r="L6" s="616"/>
      <c r="M6" s="616"/>
      <c r="N6" s="616"/>
      <c r="O6" s="616"/>
      <c r="P6" s="616"/>
      <c r="Q6" s="616"/>
      <c r="R6" s="616"/>
      <c r="S6" s="616"/>
      <c r="T6" s="616"/>
      <c r="U6" s="616"/>
      <c r="V6" s="616"/>
      <c r="W6" s="616"/>
      <c r="X6" s="616"/>
      <c r="Y6" s="617"/>
      <c r="Z6" s="180"/>
      <c r="AA6" s="182"/>
    </row>
    <row r="7" spans="1:213" s="181" customFormat="1" ht="12.6" thickBot="1" x14ac:dyDescent="0.3">
      <c r="A7" s="618" t="s">
        <v>26</v>
      </c>
      <c r="B7" s="576"/>
      <c r="C7" s="576"/>
      <c r="D7" s="576"/>
      <c r="E7" s="576"/>
      <c r="F7" s="576"/>
      <c r="G7" s="576"/>
      <c r="H7" s="576"/>
      <c r="I7" s="576"/>
      <c r="J7" s="576"/>
      <c r="K7" s="576"/>
      <c r="L7" s="576"/>
      <c r="M7" s="576"/>
      <c r="N7" s="576"/>
      <c r="O7" s="576">
        <v>0</v>
      </c>
      <c r="P7" s="576"/>
      <c r="Q7" s="576"/>
      <c r="R7" s="576"/>
      <c r="S7" s="576"/>
      <c r="T7" s="576"/>
      <c r="U7" s="576"/>
      <c r="V7" s="576"/>
      <c r="W7" s="576"/>
      <c r="X7" s="576"/>
      <c r="Y7" s="619"/>
      <c r="Z7" s="180"/>
      <c r="AA7" s="182"/>
    </row>
    <row r="8" spans="1:213" s="181" customFormat="1" ht="11.4" x14ac:dyDescent="0.2">
      <c r="A8" s="578" t="s">
        <v>266</v>
      </c>
      <c r="B8" s="579">
        <f t="array" aca="1" ref="B8" ca="1">SUM(IF((DelPoint= "4C")*(DType = "pre")*(OFFSET(DelPoint,0,B3+2)&lt;0),OFFSET(DelPoint,0,B3+2),0))</f>
        <v>0</v>
      </c>
      <c r="C8" s="579">
        <f t="array" aca="1" ref="C8" ca="1">SUM(IF((DelPoint= "4C")*(DType = "pre")*(OFFSET(DelPoint,0,C3+2)&lt;0),OFFSET(DelPoint,0,C3+2),0))</f>
        <v>0</v>
      </c>
      <c r="D8" s="579">
        <f t="array" aca="1" ref="D8" ca="1">SUM(IF((DelPoint= "4C")*(DType = "pre")*(OFFSET(DelPoint,0,D3+2)&lt;0),OFFSET(DelPoint,0,D3+2),0))</f>
        <v>0</v>
      </c>
      <c r="E8" s="579">
        <f t="array" aca="1" ref="E8" ca="1">SUM(IF((DelPoint= "4C")*(DType = "pre")*(OFFSET(DelPoint,0,E3+2)&lt;0),OFFSET(DelPoint,0,E3+2),0))</f>
        <v>0</v>
      </c>
      <c r="F8" s="579">
        <f t="array" aca="1" ref="F8" ca="1">SUM(IF((DelPoint= "4C")*(DType = "pre")*(OFFSET(DelPoint,0,F3+2)&lt;0),OFFSET(DelPoint,0,F3+2),0))</f>
        <v>0</v>
      </c>
      <c r="G8" s="579">
        <f t="array" aca="1" ref="G8" ca="1">SUM(IF((DelPoint= "4C")*(DType = "pre")*(OFFSET(DelPoint,0,G3+2)&lt;0),OFFSET(DelPoint,0,G3+2),0))</f>
        <v>0</v>
      </c>
      <c r="H8" s="579">
        <f t="array" aca="1" ref="H8" ca="1">SUM(IF((DelPoint= "4C")*(DType = "pre")*(OFFSET(DelPoint,0,H3+2)&lt;0),OFFSET(DelPoint,0,H3+2),0))</f>
        <v>0</v>
      </c>
      <c r="I8" s="579">
        <f t="array" aca="1" ref="I8" ca="1">SUM(IF((DelPoint= "4C")*(DType = "pre")*(OFFSET(DelPoint,0,I3+2)&lt;0),OFFSET(DelPoint,0,I3+2),0))</f>
        <v>0</v>
      </c>
      <c r="J8" s="579">
        <f t="array" aca="1" ref="J8" ca="1">SUM(IF((DelPoint= "4C")*(DType = "pre")*(OFFSET(DelPoint,0,J3+2)&lt;0),OFFSET(DelPoint,0,J3+2),0))</f>
        <v>0</v>
      </c>
      <c r="K8" s="579">
        <f t="array" aca="1" ref="K8" ca="1">SUM(IF((DelPoint= "4C")*(DType = "pre")*(OFFSET(DelPoint,0,K3+2)&lt;0),OFFSET(DelPoint,0,K3+2),0))</f>
        <v>0</v>
      </c>
      <c r="L8" s="579">
        <f t="array" aca="1" ref="L8" ca="1">SUM(IF((DelPoint= "4C")*(DType = "pre")*(OFFSET(DelPoint,0,L3+2)&lt;0),OFFSET(DelPoint,0,L3+2),0))</f>
        <v>0</v>
      </c>
      <c r="M8" s="579">
        <f t="array" aca="1" ref="M8" ca="1">SUM(IF((DelPoint= "4C")*(DType = "pre")*(OFFSET(DelPoint,0,M3+2)&lt;0),OFFSET(DelPoint,0,M3+2),0))</f>
        <v>0</v>
      </c>
      <c r="N8" s="579">
        <f t="array" aca="1" ref="N8" ca="1">SUM(IF((DelPoint= "4C")*(DType = "pre")*(OFFSET(DelPoint,0,N3+2)&lt;0),OFFSET(DelPoint,0,N3+2),0))</f>
        <v>0</v>
      </c>
      <c r="O8" s="579">
        <f t="array" aca="1" ref="O8" ca="1">SUM(IF((DelPoint= "4C")*(DType = "pre")*(OFFSET(DelPoint,0,O3+2)&lt;0),OFFSET(DelPoint,0,O3+2),0))</f>
        <v>0</v>
      </c>
      <c r="P8" s="579">
        <f t="array" aca="1" ref="P8" ca="1">SUM(IF((DelPoint= "4C")*(DType = "pre")*(OFFSET(DelPoint,0,P3+2)&lt;0),OFFSET(DelPoint,0,P3+2),0))</f>
        <v>0</v>
      </c>
      <c r="Q8" s="579">
        <f t="array" aca="1" ref="Q8" ca="1">SUM(IF((DelPoint= "4C")*(DType = "pre")*(OFFSET(DelPoint,0,Q3+2)&lt;0),OFFSET(DelPoint,0,Q3+2),0))</f>
        <v>0</v>
      </c>
      <c r="R8" s="579">
        <f t="array" aca="1" ref="R8" ca="1">SUM(IF((DelPoint= "4C")*(DType = "pre")*(OFFSET(DelPoint,0,R3+2)&lt;0),OFFSET(DelPoint,0,R3+2),0))</f>
        <v>0</v>
      </c>
      <c r="S8" s="579">
        <f t="array" aca="1" ref="S8" ca="1">SUM(IF((DelPoint= "4C")*(DType = "pre")*(OFFSET(DelPoint,0,S3+2)&lt;0),OFFSET(DelPoint,0,S3+2),0))</f>
        <v>0</v>
      </c>
      <c r="T8" s="579">
        <f t="array" aca="1" ref="T8" ca="1">SUM(IF((DelPoint= "4C")*(DType = "pre")*(OFFSET(DelPoint,0,T3+2)&lt;0),OFFSET(DelPoint,0,T3+2),0))</f>
        <v>0</v>
      </c>
      <c r="U8" s="579">
        <f t="array" aca="1" ref="U8" ca="1">SUM(IF((DelPoint= "4C")*(DType = "pre")*(OFFSET(DelPoint,0,U3+2)&lt;0),OFFSET(DelPoint,0,U3+2),0))</f>
        <v>0</v>
      </c>
      <c r="V8" s="579">
        <f t="array" aca="1" ref="V8" ca="1">SUM(IF((DelPoint= "4C")*(DType = "pre")*(OFFSET(DelPoint,0,V3+2)&lt;0),OFFSET(DelPoint,0,V3+2),0))</f>
        <v>0</v>
      </c>
      <c r="W8" s="579">
        <f t="array" aca="1" ref="W8" ca="1">SUM(IF((DelPoint= "4C")*(DType = "pre")*(OFFSET(DelPoint,0,W3+2)&lt;0),OFFSET(DelPoint,0,W3+2),0))</f>
        <v>0</v>
      </c>
      <c r="X8" s="579">
        <f t="array" aca="1" ref="X8" ca="1">SUM(IF((DelPoint= "4C")*(DType = "pre")*(OFFSET(DelPoint,0,X3+2)&lt;0),OFFSET(DelPoint,0,X3+2),0))</f>
        <v>0</v>
      </c>
      <c r="Y8" s="580">
        <f t="array" aca="1" ref="Y8" ca="1">SUM(IF((DelPoint= "4C")*(DType = "pre")*(OFFSET(DelPoint,0,Y3+2)&lt;0),OFFSET(DelPoint,0,Y3+2),0))</f>
        <v>0</v>
      </c>
      <c r="Z8" s="180"/>
      <c r="AA8" s="182"/>
    </row>
    <row r="9" spans="1:213" s="181" customFormat="1" ht="11.4" x14ac:dyDescent="0.2">
      <c r="A9" s="581" t="s">
        <v>28</v>
      </c>
      <c r="B9" s="219"/>
      <c r="C9" s="219"/>
      <c r="D9" s="219"/>
      <c r="E9" s="219">
        <f t="shared" ref="E9:Y9" ca="1" si="0">SUMIF(OFFSET(CBalancingVol,E$3,0),"&lt;0")</f>
        <v>0</v>
      </c>
      <c r="F9" s="219">
        <f t="shared" ca="1" si="0"/>
        <v>0</v>
      </c>
      <c r="G9" s="219">
        <f t="shared" ca="1" si="0"/>
        <v>0</v>
      </c>
      <c r="H9" s="219">
        <f t="shared" ca="1" si="0"/>
        <v>0</v>
      </c>
      <c r="I9" s="219">
        <f t="shared" ca="1" si="0"/>
        <v>0</v>
      </c>
      <c r="J9" s="219">
        <f t="shared" ca="1" si="0"/>
        <v>0</v>
      </c>
      <c r="K9" s="219">
        <f t="shared" ca="1" si="0"/>
        <v>0</v>
      </c>
      <c r="L9" s="219">
        <f t="shared" ca="1" si="0"/>
        <v>0</v>
      </c>
      <c r="M9" s="219">
        <f t="shared" ca="1" si="0"/>
        <v>0</v>
      </c>
      <c r="N9" s="219">
        <f t="shared" ca="1" si="0"/>
        <v>0</v>
      </c>
      <c r="O9" s="219">
        <f t="shared" ca="1" si="0"/>
        <v>0</v>
      </c>
      <c r="P9" s="219">
        <f ca="1">SUMIF(OFFSET(CBalancingVol,P$3,0),"&lt;0")</f>
        <v>0</v>
      </c>
      <c r="Q9" s="219">
        <f t="shared" ca="1" si="0"/>
        <v>0</v>
      </c>
      <c r="R9" s="219">
        <f t="shared" ca="1" si="0"/>
        <v>0</v>
      </c>
      <c r="S9" s="219">
        <f t="shared" ca="1" si="0"/>
        <v>0</v>
      </c>
      <c r="T9" s="219">
        <f t="shared" ca="1" si="0"/>
        <v>0</v>
      </c>
      <c r="U9" s="219">
        <f t="shared" ca="1" si="0"/>
        <v>0</v>
      </c>
      <c r="V9" s="219">
        <f t="shared" ca="1" si="0"/>
        <v>0</v>
      </c>
      <c r="W9" s="219">
        <f t="shared" ca="1" si="0"/>
        <v>0</v>
      </c>
      <c r="X9" s="219">
        <f t="shared" ca="1" si="0"/>
        <v>0</v>
      </c>
      <c r="Y9" s="582">
        <f t="shared" ca="1" si="0"/>
        <v>0</v>
      </c>
      <c r="Z9" s="180"/>
      <c r="AA9" s="182"/>
    </row>
    <row r="10" spans="1:213" s="181" customFormat="1" ht="11.4" x14ac:dyDescent="0.2">
      <c r="A10" s="581" t="s">
        <v>267</v>
      </c>
      <c r="B10" s="220">
        <f t="array" aca="1" ref="B10" ca="1">SUM(IF((DelPoint= "4C")*IF((DType = "firm")+(DType = "econ")&gt;0,1,0)*(OFFSET(DelPoint,0,B3+2)&lt;0),OFFSET(DelPoint,0,B3+2),0))</f>
        <v>-75</v>
      </c>
      <c r="C10" s="220">
        <f t="array" aca="1" ref="C10" ca="1">SUM(IF((DelPoint= "4C")*IF((DType = "firm")+(DType = "econ")&gt;0,1,0)*(OFFSET(DelPoint,0,C3+2)&lt;0),OFFSET(DelPoint,0,C3+2),0))</f>
        <v>0</v>
      </c>
      <c r="D10" s="220">
        <f t="array" aca="1" ref="D10" ca="1">SUM(IF((DelPoint= "4C")*IF((DType = "firm")+(DType = "econ")&gt;0,1,0)*(OFFSET(DelPoint,0,D3+2)&lt;0),OFFSET(DelPoint,0,D3+2),0))</f>
        <v>0</v>
      </c>
      <c r="E10" s="220">
        <f t="array" aca="1" ref="E10" ca="1">SUM(IF((DelPoint= "4C")*IF((DType = "firm")+(DType = "econ")&gt;0,1,0)*(OFFSET(DelPoint,0,E3+2)&lt;0),OFFSET(DelPoint,0,E3+2),0))</f>
        <v>0</v>
      </c>
      <c r="F10" s="220">
        <f t="array" aca="1" ref="F10" ca="1">SUM(IF((DelPoint= "4C")*IF((DType = "firm")+(DType = "econ")&gt;0,1,0)*(OFFSET(DelPoint,0,F3+2)&lt;0),OFFSET(DelPoint,0,F3+2),0))</f>
        <v>0</v>
      </c>
      <c r="G10" s="220">
        <f t="array" aca="1" ref="G10" ca="1">SUM(IF((DelPoint= "4C")*IF((DType = "firm")+(DType = "econ")&gt;0,1,0)*(OFFSET(DelPoint,0,G3+2)&lt;0),OFFSET(DelPoint,0,G3+2),0))</f>
        <v>0</v>
      </c>
      <c r="H10" s="220">
        <f t="array" aca="1" ref="H10" ca="1">SUM(IF((DelPoint= "4C")*IF((DType = "firm")+(DType = "econ")&gt;0,1,0)*(OFFSET(DelPoint,0,H3+2)&lt;0),OFFSET(DelPoint,0,H3+2),0))</f>
        <v>0</v>
      </c>
      <c r="I10" s="220">
        <f t="array" aca="1" ref="I10" ca="1">SUM(IF((DelPoint= "4C")*IF((DType = "firm")+(DType = "econ")&gt;0,1,0)*(OFFSET(DelPoint,0,I3+2)&lt;0),OFFSET(DelPoint,0,I3+2),0))</f>
        <v>0</v>
      </c>
      <c r="J10" s="220">
        <f t="array" aca="1" ref="J10" ca="1">SUM(IF((DelPoint= "4C")*IF((DType = "firm")+(DType = "econ")&gt;0,1,0)*(OFFSET(DelPoint,0,J3+2)&lt;0),OFFSET(DelPoint,0,J3+2),0))</f>
        <v>0</v>
      </c>
      <c r="K10" s="220">
        <f t="array" aca="1" ref="K10" ca="1">SUM(IF((DelPoint= "4C")*IF((DType = "firm")+(DType = "econ")&gt;0,1,0)*(OFFSET(DelPoint,0,K3+2)&lt;0),OFFSET(DelPoint,0,K3+2),0))</f>
        <v>0</v>
      </c>
      <c r="L10" s="220">
        <f t="array" aca="1" ref="L10" ca="1">SUM(IF((DelPoint= "4C")*IF((DType = "firm")+(DType = "econ")&gt;0,1,0)*(OFFSET(DelPoint,0,L3+2)&lt;0),OFFSET(DelPoint,0,L3+2),0))</f>
        <v>0</v>
      </c>
      <c r="M10" s="220">
        <f t="array" aca="1" ref="M10" ca="1">SUM(IF((DelPoint= "4C")*IF((DType = "firm")+(DType = "econ")&gt;0,1,0)*(OFFSET(DelPoint,0,M3+2)&lt;0),OFFSET(DelPoint,0,M3+2),0))</f>
        <v>0</v>
      </c>
      <c r="N10" s="220">
        <f t="array" aca="1" ref="N10" ca="1">SUM(IF((DelPoint= "4C")*IF((DType = "firm")+(DType = "econ")&gt;0,1,0)*(OFFSET(DelPoint,0,N3+2)&lt;0),OFFSET(DelPoint,0,N3+2),0))</f>
        <v>0</v>
      </c>
      <c r="O10" s="220">
        <f t="array" aca="1" ref="O10" ca="1">SUM(IF((DelPoint= "4C")*IF((DType = "firm")+(DType = "econ")&gt;0,1,0)*(OFFSET(DelPoint,0,O3+2)&lt;0),OFFSET(DelPoint,0,O3+2),0))</f>
        <v>0</v>
      </c>
      <c r="P10" s="220">
        <f t="array" aca="1" ref="P10" ca="1">SUM(IF((DelPoint= "4C")*IF((DType = "firm")+(DType = "econ")&gt;0,1,0)*(OFFSET(DelPoint,0,P3+2)&lt;0),OFFSET(DelPoint,0,P3+2),0))</f>
        <v>0</v>
      </c>
      <c r="Q10" s="220">
        <f t="array" aca="1" ref="Q10" ca="1">SUM(IF((DelPoint= "4C")*IF((DType = "firm")+(DType = "econ")&gt;0,1,0)*(OFFSET(DelPoint,0,Q3+2)&lt;0),OFFSET(DelPoint,0,Q3+2),0))</f>
        <v>0</v>
      </c>
      <c r="R10" s="220">
        <f t="array" aca="1" ref="R10" ca="1">SUM(IF((DelPoint= "4C")*IF((DType = "firm")+(DType = "econ")&gt;0,1,0)*(OFFSET(DelPoint,0,R3+2)&lt;0),OFFSET(DelPoint,0,R3+2),0))</f>
        <v>0</v>
      </c>
      <c r="S10" s="220">
        <f t="array" aca="1" ref="S10" ca="1">SUM(IF((DelPoint= "4C")*IF((DType = "firm")+(DType = "econ")&gt;0,1,0)*(OFFSET(DelPoint,0,S3+2)&lt;0),OFFSET(DelPoint,0,S3+2),0))</f>
        <v>0</v>
      </c>
      <c r="T10" s="220">
        <f t="array" aca="1" ref="T10" ca="1">SUM(IF((DelPoint= "4C")*IF((DType = "firm")+(DType = "econ")&gt;0,1,0)*(OFFSET(DelPoint,0,T3+2)&lt;0),OFFSET(DelPoint,0,T3+2),0))</f>
        <v>0</v>
      </c>
      <c r="U10" s="220">
        <f t="array" aca="1" ref="U10" ca="1">SUM(IF((DelPoint= "4C")*IF((DType = "firm")+(DType = "econ")&gt;0,1,0)*(OFFSET(DelPoint,0,U3+2)&lt;0),OFFSET(DelPoint,0,U3+2),0))</f>
        <v>0</v>
      </c>
      <c r="V10" s="220">
        <f t="array" aca="1" ref="V10" ca="1">SUM(IF((DelPoint= "4C")*IF((DType = "firm")+(DType = "econ")&gt;0,1,0)*(OFFSET(DelPoint,0,V3+2)&lt;0),OFFSET(DelPoint,0,V3+2),0))</f>
        <v>0</v>
      </c>
      <c r="W10" s="220">
        <f t="array" aca="1" ref="W10" ca="1">SUM(IF((DelPoint= "4C")*IF((DType = "firm")+(DType = "econ")&gt;0,1,0)*(OFFSET(DelPoint,0,W3+2)&lt;0),OFFSET(DelPoint,0,W3+2),0))</f>
        <v>0</v>
      </c>
      <c r="X10" s="220">
        <f t="array" aca="1" ref="X10" ca="1">SUM(IF((DelPoint= "4C")*IF((DType = "firm")+(DType = "econ")&gt;0,1,0)*(OFFSET(DelPoint,0,X3+2)&lt;0),OFFSET(DelPoint,0,X3+2),0))</f>
        <v>0</v>
      </c>
      <c r="Y10" s="584">
        <f t="array" aca="1" ref="Y10" ca="1">SUM(IF((DelPoint= "4C")*IF((DType = "firm")+(DType = "econ")&gt;0,1,0)*(OFFSET(DelPoint,0,Y3+2)&lt;0),OFFSET(DelPoint,0,Y3+2),0))</f>
        <v>0</v>
      </c>
      <c r="Z10" s="180"/>
      <c r="AA10" s="182"/>
    </row>
    <row r="11" spans="1:213" s="181" customFormat="1" ht="11.4" x14ac:dyDescent="0.2">
      <c r="A11" s="649" t="s">
        <v>268</v>
      </c>
      <c r="B11" s="222">
        <f t="array" aca="1" ref="B11" ca="1">SUM(IF((DelPoint= "PV")*(DType = "pre")*(OFFSET(DelPoint,0,B3+2)&lt;0),OFFSET(DelPoint,0,B3+2),0))</f>
        <v>-1</v>
      </c>
      <c r="C11" s="222">
        <f t="array" aca="1" ref="C11" ca="1">SUM(IF((DelPoint= "PV")*(DType = "pre")*(OFFSET(DelPoint,0,C3+2)&lt;0),OFFSET(DelPoint,0,C3+2),0))</f>
        <v>0</v>
      </c>
      <c r="D11" s="222">
        <f t="array" aca="1" ref="D11" ca="1">SUM(IF((DelPoint= "PV")*(DType = "pre")*(OFFSET(DelPoint,0,D3+2)&lt;0),OFFSET(DelPoint,0,D3+2),0))</f>
        <v>0</v>
      </c>
      <c r="E11" s="222">
        <f t="array" aca="1" ref="E11" ca="1">SUM(IF((DelPoint= "PV")*(DType = "pre")*(OFFSET(DelPoint,0,E3+2)&lt;0),OFFSET(DelPoint,0,E3+2),0))</f>
        <v>0</v>
      </c>
      <c r="F11" s="222">
        <f t="array" aca="1" ref="F11" ca="1">SUM(IF((DelPoint= "PV")*(DType = "pre")*(OFFSET(DelPoint,0,F3+2)&lt;0),OFFSET(DelPoint,0,F3+2),0))</f>
        <v>0</v>
      </c>
      <c r="G11" s="222">
        <f ca="1">SUM(IF((DelPoint= "PV")*(DType = "pre")*(OFFSET(DelPoint,0,G3+2)&lt;0),OFFSET(DelPoint,0,G3+2),0))</f>
        <v>0</v>
      </c>
      <c r="H11" s="222">
        <f t="array" aca="1" ref="H11" ca="1">SUM(IF((DelPoint= "PV")*(DType = "pre")*(OFFSET(DelPoint,0,H3+2)&lt;0),OFFSET(DelPoint,0,H3+2),0))</f>
        <v>0</v>
      </c>
      <c r="I11" s="222">
        <f t="array" aca="1" ref="I11" ca="1">SUM(IF((DelPoint= "PV")*(DType = "pre")*(OFFSET(DelPoint,0,I3+2)&lt;0),OFFSET(DelPoint,0,I3+2),0))</f>
        <v>0</v>
      </c>
      <c r="J11" s="222">
        <f t="array" aca="1" ref="J11" ca="1">SUM(IF((DelPoint= "PV")*(DType = "pre")*(OFFSET(DelPoint,0,J3+2)&lt;0),OFFSET(DelPoint,0,J3+2),0))</f>
        <v>0</v>
      </c>
      <c r="K11" s="222">
        <f t="array" aca="1" ref="K11" ca="1">SUM(IF((DelPoint= "PV")*(DType = "pre")*(OFFSET(DelPoint,0,K3+2)&lt;0),OFFSET(DelPoint,0,K3+2),0))</f>
        <v>0</v>
      </c>
      <c r="L11" s="222">
        <f t="array" aca="1" ref="L11" ca="1">SUM(IF((DelPoint= "PV")*(DType = "pre")*(OFFSET(DelPoint,0,L3+2)&lt;0),OFFSET(DelPoint,0,L3+2),0))</f>
        <v>0</v>
      </c>
      <c r="M11" s="222">
        <f t="array" aca="1" ref="M11" ca="1">SUM(IF((DelPoint= "PV")*(DType = "pre")*(OFFSET(DelPoint,0,M3+2)&lt;0),OFFSET(DelPoint,0,M3+2),0))</f>
        <v>0</v>
      </c>
      <c r="N11" s="222">
        <f t="array" aca="1" ref="N11" ca="1">SUM(IF((DelPoint= "PV")*(DType = "pre")*(OFFSET(DelPoint,0,N3+2)&lt;0),OFFSET(DelPoint,0,N3+2),0))</f>
        <v>0</v>
      </c>
      <c r="O11" s="222">
        <f t="array" aca="1" ref="O11" ca="1">SUM(IF((DelPoint= "PV")*(DType = "pre")*(OFFSET(DelPoint,0,O3+2)&lt;0),OFFSET(DelPoint,0,O3+2),0))</f>
        <v>0</v>
      </c>
      <c r="P11" s="222">
        <f t="array" aca="1" ref="P11" ca="1">SUM(IF((DelPoint= "PV")*(DType = "pre")*(OFFSET(DelPoint,0,P3+2)&lt;0),OFFSET(DelPoint,0,P3+2),0))</f>
        <v>0</v>
      </c>
      <c r="Q11" s="222">
        <f t="array" aca="1" ref="Q11" ca="1">SUM(IF((DelPoint= "PV")*(DType = "pre")*(OFFSET(DelPoint,0,Q3+2)&lt;0),OFFSET(DelPoint,0,Q3+2),0))</f>
        <v>0</v>
      </c>
      <c r="R11" s="222">
        <f t="array" aca="1" ref="R11" ca="1">SUM(IF((DelPoint= "PV")*(DType = "pre")*(OFFSET(DelPoint,0,R3+2)&lt;0),OFFSET(DelPoint,0,R3+2),0))</f>
        <v>0</v>
      </c>
      <c r="S11" s="222">
        <f t="array" aca="1" ref="S11" ca="1">SUM(IF((DelPoint= "PV")*(DType = "pre")*(OFFSET(DelPoint,0,S3+2)&lt;0),OFFSET(DelPoint,0,S3+2),0))</f>
        <v>0</v>
      </c>
      <c r="T11" s="222">
        <f t="array" aca="1" ref="T11" ca="1">SUM(IF((DelPoint= "PV")*(DType = "pre")*(OFFSET(DelPoint,0,T3+2)&lt;0),OFFSET(DelPoint,0,T3+2),0))</f>
        <v>0</v>
      </c>
      <c r="U11" s="222">
        <f t="array" aca="1" ref="U11" ca="1">SUM(IF((DelPoint= "PV")*(DType = "pre")*(OFFSET(DelPoint,0,U3+2)&lt;0),OFFSET(DelPoint,0,U3+2),0))</f>
        <v>0</v>
      </c>
      <c r="V11" s="222">
        <f t="array" aca="1" ref="V11" ca="1">SUM(IF((DelPoint= "PV")*(DType = "pre")*(OFFSET(DelPoint,0,V3+2)&lt;0),OFFSET(DelPoint,0,V3+2),0))</f>
        <v>0</v>
      </c>
      <c r="W11" s="222">
        <f t="array" aca="1" ref="W11" ca="1">SUM(IF((DelPoint= "PV")*(DType = "pre")*(OFFSET(DelPoint,0,W3+2)&lt;0),OFFSET(DelPoint,0,W3+2),0))</f>
        <v>0</v>
      </c>
      <c r="X11" s="222">
        <f t="array" aca="1" ref="X11" ca="1">SUM(IF((DelPoint= "PV")*(DType = "pre")*(OFFSET(DelPoint,0,X3+2)&lt;0),OFFSET(DelPoint,0,X3+2),0))</f>
        <v>0</v>
      </c>
      <c r="Y11" s="586">
        <f ca="1">SUM(IF((DelPoint= "PV")*(DType = "pre")*(OFFSET(DelPoint,0,Y3+2)&lt;0),OFFSET(DelPoint,0,Y3+2),0))</f>
        <v>0</v>
      </c>
      <c r="Z11" s="180"/>
      <c r="AA11" s="182"/>
    </row>
    <row r="12" spans="1:213" s="181" customFormat="1" ht="11.4" x14ac:dyDescent="0.2">
      <c r="A12" s="650" t="s">
        <v>31</v>
      </c>
      <c r="B12" s="222"/>
      <c r="C12" s="222"/>
      <c r="D12" s="222"/>
      <c r="E12" s="222"/>
      <c r="F12" s="222"/>
      <c r="G12" s="222"/>
      <c r="H12" s="222"/>
      <c r="I12" s="222"/>
      <c r="J12" s="222"/>
      <c r="K12" s="222"/>
      <c r="L12" s="222"/>
      <c r="M12" s="222"/>
      <c r="N12" s="222"/>
      <c r="O12" s="222"/>
      <c r="P12" s="222"/>
      <c r="Q12" s="222"/>
      <c r="R12" s="222"/>
      <c r="S12" s="222"/>
      <c r="T12" s="222"/>
      <c r="U12" s="222"/>
      <c r="V12" s="222"/>
      <c r="W12" s="222"/>
      <c r="X12" s="222"/>
      <c r="Y12" s="586"/>
      <c r="Z12" s="180"/>
      <c r="AA12" s="182"/>
    </row>
    <row r="13" spans="1:213" s="181" customFormat="1" ht="11.4" x14ac:dyDescent="0.2">
      <c r="A13" s="650" t="s">
        <v>343</v>
      </c>
      <c r="B13" s="647">
        <f ca="1">[2]Deals!F6+[2]Deals!F7+[2]Deals!F8</f>
        <v>0</v>
      </c>
      <c r="C13" s="647">
        <f>[2]Deals!G6+[2]Deals!G7+[2]Deals!G8</f>
        <v>0</v>
      </c>
      <c r="D13" s="647">
        <f>[2]Deals!H6+[2]Deals!H7+[2]Deals!H8</f>
        <v>0</v>
      </c>
      <c r="E13" s="647">
        <f>[2]Deals!I6+[2]Deals!I7+[2]Deals!I8</f>
        <v>0</v>
      </c>
      <c r="F13" s="647">
        <f>[2]Deals!J6+[2]Deals!J7+[2]Deals!J8</f>
        <v>0</v>
      </c>
      <c r="G13" s="647">
        <f>[2]Deals!K6+[2]Deals!K7+[2]Deals!K8</f>
        <v>0</v>
      </c>
      <c r="H13" s="647">
        <f>Deals!L6+Deals!L7</f>
        <v>0</v>
      </c>
      <c r="I13" s="647">
        <f>Deals!M6+Deals!M7</f>
        <v>0</v>
      </c>
      <c r="J13" s="647">
        <f>Deals!N6+Deals!N7</f>
        <v>20</v>
      </c>
      <c r="K13" s="647">
        <f>Deals!O6+Deals!O7</f>
        <v>20</v>
      </c>
      <c r="L13" s="647">
        <f>Deals!P6+Deals!P7</f>
        <v>0</v>
      </c>
      <c r="M13" s="647">
        <f>Deals!Q6+Deals!Q7</f>
        <v>0</v>
      </c>
      <c r="N13" s="647">
        <f>Deals!R6+Deals!R7</f>
        <v>0</v>
      </c>
      <c r="O13" s="647">
        <f>Deals!S6+Deals!S7</f>
        <v>0</v>
      </c>
      <c r="P13" s="647">
        <f>Deals!T6+Deals!T7</f>
        <v>0</v>
      </c>
      <c r="Q13" s="647">
        <f>Deals!U6+Deals!U7</f>
        <v>0</v>
      </c>
      <c r="R13" s="647">
        <f>Deals!V6+Deals!V7</f>
        <v>0</v>
      </c>
      <c r="S13" s="647">
        <f>Deals!W6+Deals!W7</f>
        <v>0</v>
      </c>
      <c r="T13" s="647">
        <f>Deals!X6+Deals!X7</f>
        <v>20</v>
      </c>
      <c r="U13" s="647">
        <f>Deals!Y6+Deals!Y7</f>
        <v>20</v>
      </c>
      <c r="V13" s="647">
        <f>Deals!Z6+Deals!Z7</f>
        <v>20</v>
      </c>
      <c r="W13" s="647">
        <f>Deals!AA6+Deals!AA7</f>
        <v>20</v>
      </c>
      <c r="X13" s="647">
        <f>[2]Deals!AB6+[2]Deals!AB7+[2]Deals!AB8</f>
        <v>0</v>
      </c>
      <c r="Y13" s="647">
        <f>[2]Deals!AC6+[2]Deals!AC7+[2]Deals!AC8</f>
        <v>0</v>
      </c>
      <c r="Z13" s="180"/>
      <c r="AA13" s="182"/>
    </row>
    <row r="14" spans="1:213" s="181" customFormat="1" ht="11.4" x14ac:dyDescent="0.2">
      <c r="A14" s="651" t="s">
        <v>269</v>
      </c>
      <c r="B14" s="223">
        <f t="array" aca="1" ref="B14" ca="1">SUM(IF((DelPoint= "PV")*IF((DType = "firm")+(DType = "econ")&gt;0,1,0)*(OFFSET(DelPoint,0,B3+2)&lt;0),OFFSET(DelPoint,0,B3+2),0))</f>
        <v>-80</v>
      </c>
      <c r="C14" s="223">
        <f t="array" aca="1" ref="C14" ca="1">SUM(IF((DelPoint= "PV")*IF((DType = "firm")+(DType = "econ")&gt;0,1,0)*(OFFSET(DelPoint,0,C3+2)&lt;0),OFFSET(DelPoint,0,C3+2),0))</f>
        <v>0</v>
      </c>
      <c r="D14" s="223">
        <f t="array" aca="1" ref="D14" ca="1">SUM(IF((DelPoint= "PV")*IF((DType = "firm")+(DType = "econ")&gt;0,1,0)*(OFFSET(DelPoint,0,D3+2)&lt;0),OFFSET(DelPoint,0,D3+2),0))</f>
        <v>0</v>
      </c>
      <c r="E14" s="223">
        <f t="array" aca="1" ref="E14" ca="1">SUM(IF((DelPoint= "PV")*IF((DType = "firm")+(DType = "econ")&gt;0,1,0)*(OFFSET(DelPoint,0,E3+2)&lt;0),OFFSET(DelPoint,0,E3+2),0))</f>
        <v>0</v>
      </c>
      <c r="F14" s="223">
        <f t="array" aca="1" ref="F14" ca="1">SUM(IF((DelPoint= "PV")*IF((DType = "firm")+(DType = "econ")&gt;0,1,0)*(OFFSET(DelPoint,0,F3+2)&lt;0),OFFSET(DelPoint,0,F3+2),0))</f>
        <v>0</v>
      </c>
      <c r="G14" s="223">
        <f t="array" aca="1" ref="G14" ca="1">SUM(IF((DelPoint= "PV")*IF((DType = "firm")+(DType = "econ")&gt;0,1,0)*(OFFSET(DelPoint,0,G3+2)&lt;0),OFFSET(DelPoint,0,G3+2),0))</f>
        <v>0</v>
      </c>
      <c r="H14" s="223">
        <f t="array" aca="1" ref="H14" ca="1">SUM(IF((DelPoint= "PV")*IF((DType = "firm")+(DType = "econ")&gt;0,1,0)*(OFFSET(DelPoint,0,H3+2)&lt;0),OFFSET(DelPoint,0,H3+2),0))</f>
        <v>0</v>
      </c>
      <c r="I14" s="223">
        <f t="array" aca="1" ref="I14" ca="1">SUM(IF((DelPoint= "PV")*IF((DType = "firm")+(DType = "econ")&gt;0,1,0)*(OFFSET(DelPoint,0,I3+2)&lt;0),OFFSET(DelPoint,0,I3+2),0))</f>
        <v>0</v>
      </c>
      <c r="J14" s="223">
        <f t="array" aca="1" ref="J14" ca="1">SUM(IF((DelPoint= "PV")*IF((DType = "firm")+(DType = "econ")&gt;0,1,0)*(OFFSET(DelPoint,0,J3+2)&lt;0),OFFSET(DelPoint,0,J3+2),0))</f>
        <v>0</v>
      </c>
      <c r="K14" s="223">
        <f t="array" aca="1" ref="K14" ca="1">SUM(IF((DelPoint= "PV")*IF((DType = "firm")+(DType = "econ")&gt;0,1,0)*(OFFSET(DelPoint,0,K3+2)&lt;0),OFFSET(DelPoint,0,K3+2),0))</f>
        <v>0</v>
      </c>
      <c r="L14" s="223">
        <f t="array" aca="1" ref="L14" ca="1">SUM(IF((DelPoint= "PV")*IF((DType = "firm")+(DType = "econ")&gt;0,1,0)*(OFFSET(DelPoint,0,L3+2)&lt;0),OFFSET(DelPoint,0,L3+2),0))</f>
        <v>0</v>
      </c>
      <c r="M14" s="223">
        <f t="array" aca="1" ref="M14" ca="1">SUM(IF((DelPoint= "PV")*IF((DType = "firm")+(DType = "econ")&gt;0,1,0)*(OFFSET(DelPoint,0,M3+2)&lt;0),OFFSET(DelPoint,0,M3+2),0))</f>
        <v>0</v>
      </c>
      <c r="N14" s="223">
        <f t="array" aca="1" ref="N14" ca="1">SUM(IF((DelPoint= "PV")*IF((DType = "firm")+(DType = "econ")&gt;0,1,0)*(OFFSET(DelPoint,0,N3+2)&lt;0),OFFSET(DelPoint,0,N3+2),0))</f>
        <v>0</v>
      </c>
      <c r="O14" s="223">
        <f t="array" aca="1" ref="O14" ca="1">SUM(IF((DelPoint= "PV")*IF((DType = "firm")+(DType = "econ")&gt;0,1,0)*(OFFSET(DelPoint,0,O3+2)&lt;0),OFFSET(DelPoint,0,O3+2),0))</f>
        <v>0</v>
      </c>
      <c r="P14" s="223">
        <f t="array" aca="1" ref="P14" ca="1">SUM(IF((DelPoint= "PV")*IF((DType = "firm")+(DType = "econ")&gt;0,1,0)*(OFFSET(DelPoint,0,P3+2)&lt;0),OFFSET(DelPoint,0,P3+2),0))</f>
        <v>0</v>
      </c>
      <c r="Q14" s="223">
        <f t="array" aca="1" ref="Q14" ca="1">SUM(IF((DelPoint= "PV")*IF((DType = "firm")+(DType = "econ")&gt;0,1,0)*(OFFSET(DelPoint,0,Q3+2)&lt;0),OFFSET(DelPoint,0,Q3+2),0))</f>
        <v>0</v>
      </c>
      <c r="R14" s="223">
        <f t="array" aca="1" ref="R14" ca="1">SUM(IF((DelPoint= "PV")*IF((DType = "firm")+(DType = "econ")&gt;0,1,0)*(OFFSET(DelPoint,0,R3+2)&lt;0),OFFSET(DelPoint,0,R3+2),0))</f>
        <v>0</v>
      </c>
      <c r="S14" s="223">
        <f t="array" aca="1" ref="S14" ca="1">SUM(IF((DelPoint= "PV")*IF((DType = "firm")+(DType = "econ")&gt;0,1,0)*(OFFSET(DelPoint,0,S3+2)&lt;0),OFFSET(DelPoint,0,S3+2),0))</f>
        <v>0</v>
      </c>
      <c r="T14" s="223">
        <f t="array" aca="1" ref="T14" ca="1">SUM(IF((DelPoint= "PV")*IF((DType = "firm")+(DType = "econ")&gt;0,1,0)*(OFFSET(DelPoint,0,T3+2)&lt;0),OFFSET(DelPoint,0,T3+2),0))</f>
        <v>0</v>
      </c>
      <c r="U14" s="223">
        <f t="array" aca="1" ref="U14" ca="1">SUM(IF((DelPoint= "PV")*IF((DType = "firm")+(DType = "econ")&gt;0,1,0)*(OFFSET(DelPoint,0,U3+2)&lt;0),OFFSET(DelPoint,0,U3+2),0))</f>
        <v>0</v>
      </c>
      <c r="V14" s="223">
        <f t="array" aca="1" ref="V14" ca="1">SUM(IF((DelPoint= "PV")*IF((DType = "firm")+(DType = "econ")&gt;0,1,0)*(OFFSET(DelPoint,0,V3+2)&lt;0),OFFSET(DelPoint,0,V3+2),0))</f>
        <v>0</v>
      </c>
      <c r="W14" s="223">
        <f t="array" aca="1" ref="W14" ca="1">SUM(IF((DelPoint= "PV")*IF((DType = "firm")+(DType = "econ")&gt;0,1,0)*(OFFSET(DelPoint,0,W3+2)&lt;0),OFFSET(DelPoint,0,W3+2),0))</f>
        <v>0</v>
      </c>
      <c r="X14" s="223">
        <f t="array" aca="1" ref="X14" ca="1">SUM(IF((DelPoint= "PV")*IF((DType = "firm")+(DType = "econ")&gt;0,1,0)*(OFFSET(DelPoint,0,X3+2)&lt;0),OFFSET(DelPoint,0,X3+2),0))</f>
        <v>0</v>
      </c>
      <c r="Y14" s="588">
        <f t="array" aca="1" ref="Y14" ca="1">SUM(IF((DelPoint= "PV")*IF((DType = "firm")+(DType = "econ")&gt;0,1,0)*(OFFSET(DelPoint,0,Y3+2)&lt;0),OFFSET(DelPoint,0,Y3+2),0))</f>
        <v>0</v>
      </c>
      <c r="Z14" s="180"/>
      <c r="AA14" s="182"/>
    </row>
    <row r="15" spans="1:213" s="181" customFormat="1" ht="11.4" x14ac:dyDescent="0.2">
      <c r="A15" s="652" t="s">
        <v>272</v>
      </c>
      <c r="B15" s="458">
        <f t="array" aca="1" ref="B15" ca="1">SUM(IF((DelPoint= "hidalgo")*(DType = "pre")*(OFFSET(DelPoint,0,B3+2)&lt;0),OFFSET(DelPoint,0,B3+2),0))</f>
        <v>0</v>
      </c>
      <c r="C15" s="458">
        <f t="array" aca="1" ref="C15" ca="1">SUM(IF((DelPoint= "hidalgo")*(DType = "pre")*(OFFSET(DelPoint,0,C3+2)&lt;0),OFFSET(DelPoint,0,C3+2),0))</f>
        <v>0</v>
      </c>
      <c r="D15" s="458">
        <f t="array" aca="1" ref="D15" ca="1">SUM(IF((DelPoint= "hidalgo")*(DType = "pre")*(OFFSET(DelPoint,0,D3+2)&lt;0),OFFSET(DelPoint,0,D3+2),0))</f>
        <v>0</v>
      </c>
      <c r="E15" s="458">
        <f t="array" aca="1" ref="E15" ca="1">SUM(IF((DelPoint= "hidalgo")*(DType = "pre")*(OFFSET(DelPoint,0,E3+2)&lt;0),OFFSET(DelPoint,0,E3+2),0))</f>
        <v>0</v>
      </c>
      <c r="F15" s="458">
        <f t="array" aca="1" ref="F15" ca="1">SUM(IF((DelPoint= "hidalgo")*(DType = "pre")*(OFFSET(DelPoint,0,F3+2)&lt;0),OFFSET(DelPoint,0,F3+2),0))</f>
        <v>0</v>
      </c>
      <c r="G15" s="458">
        <f t="array" aca="1" ref="G15" ca="1">SUM(IF((DelPoint= "hidalgo")*(DType = "pre")*(OFFSET(DelPoint,0,G3+2)&lt;0),OFFSET(DelPoint,0,G3+2),0))</f>
        <v>0</v>
      </c>
      <c r="H15" s="458">
        <f t="array" aca="1" ref="H15" ca="1">SUM(IF((DelPoint= "hidalgo")*(DType = "pre")*(OFFSET(DelPoint,0,H3+2)&lt;0),OFFSET(DelPoint,0,H3+2),0))</f>
        <v>0</v>
      </c>
      <c r="I15" s="458">
        <f t="array" aca="1" ref="I15" ca="1">SUM(IF((DelPoint= "hidalgo")*(DType = "pre")*(OFFSET(DelPoint,0,I3+2)&lt;0),OFFSET(DelPoint,0,I3+2),0))</f>
        <v>0</v>
      </c>
      <c r="J15" s="458">
        <f t="array" aca="1" ref="J15" ca="1">SUM(IF((DelPoint= "hidalgo")*(DType = "pre")*(OFFSET(DelPoint,0,J3+2)&lt;0),OFFSET(DelPoint,0,J3+2),0))</f>
        <v>0</v>
      </c>
      <c r="K15" s="458">
        <f t="array" aca="1" ref="K15" ca="1">SUM(IF((DelPoint= "hidalgo")*(DType = "pre")*(OFFSET(DelPoint,0,K3+2)&lt;0),OFFSET(DelPoint,0,K3+2),0))</f>
        <v>0</v>
      </c>
      <c r="L15" s="458">
        <f t="array" aca="1" ref="L15" ca="1">SUM(IF((DelPoint= "hidalgo")*(DType = "pre")*(OFFSET(DelPoint,0,L3+2)&lt;0),OFFSET(DelPoint,0,L3+2),0))</f>
        <v>0</v>
      </c>
      <c r="M15" s="458">
        <f t="array" aca="1" ref="M15" ca="1">SUM(IF((DelPoint= "hidalgo")*(DType = "pre")*(OFFSET(DelPoint,0,M3+2)&lt;0),OFFSET(DelPoint,0,M3+2),0))</f>
        <v>0</v>
      </c>
      <c r="N15" s="458">
        <f t="array" aca="1" ref="N15" ca="1">SUM(IF((DelPoint= "hidalgo")*(DType = "pre")*(OFFSET(DelPoint,0,N3+2)&lt;0),OFFSET(DelPoint,0,N3+2),0))</f>
        <v>0</v>
      </c>
      <c r="O15" s="458">
        <f t="array" aca="1" ref="O15" ca="1">SUM(IF((DelPoint= "hidalgo")*(DType = "pre")*(OFFSET(DelPoint,0,O3+2)&lt;0),OFFSET(DelPoint,0,O3+2),0))</f>
        <v>0</v>
      </c>
      <c r="P15" s="458">
        <f t="array" aca="1" ref="P15" ca="1">SUM(IF((DelPoint= "hidalgo")*(DType = "pre")*(OFFSET(DelPoint,0,P3+2)&lt;0),OFFSET(DelPoint,0,P3+2),0))</f>
        <v>0</v>
      </c>
      <c r="Q15" s="458">
        <f t="array" aca="1" ref="Q15" ca="1">SUM(IF((DelPoint= "hidalgo")*(DType = "pre")*(OFFSET(DelPoint,0,Q3+2)&lt;0),OFFSET(DelPoint,0,Q3+2),0))</f>
        <v>0</v>
      </c>
      <c r="R15" s="458">
        <f t="array" aca="1" ref="R15" ca="1">SUM(IF((DelPoint= "hidalgo")*(DType = "pre")*(OFFSET(DelPoint,0,R3+2)&lt;0),OFFSET(DelPoint,0,R3+2),0))</f>
        <v>0</v>
      </c>
      <c r="S15" s="458">
        <f t="array" aca="1" ref="S15" ca="1">SUM(IF((DelPoint= "hidalgo")*(DType = "pre")*(OFFSET(DelPoint,0,S3+2)&lt;0),OFFSET(DelPoint,0,S3+2),0))</f>
        <v>0</v>
      </c>
      <c r="T15" s="458">
        <f t="array" aca="1" ref="T15" ca="1">SUM(IF((DelPoint= "hidalgo")*(DType = "pre")*(OFFSET(DelPoint,0,T3+2)&lt;0),OFFSET(DelPoint,0,T3+2),0))</f>
        <v>0</v>
      </c>
      <c r="U15" s="458">
        <f t="array" aca="1" ref="U15" ca="1">SUM(IF((DelPoint= "hidalgo")*(DType = "pre")*(OFFSET(DelPoint,0,U3+2)&lt;0),OFFSET(DelPoint,0,U3+2),0))</f>
        <v>0</v>
      </c>
      <c r="V15" s="458">
        <f t="array" aca="1" ref="V15" ca="1">SUM(IF((DelPoint= "hidalgo")*(DType = "pre")*(OFFSET(DelPoint,0,V3+2)&lt;0),OFFSET(DelPoint,0,V3+2),0))</f>
        <v>0</v>
      </c>
      <c r="W15" s="458">
        <f t="array" aca="1" ref="W15" ca="1">SUM(IF((DelPoint= "hidalgo")*(DType = "pre")*(OFFSET(DelPoint,0,W3+2)&lt;0),OFFSET(DelPoint,0,W3+2),0))</f>
        <v>0</v>
      </c>
      <c r="X15" s="458">
        <f t="array" aca="1" ref="X15" ca="1">SUM(IF((DelPoint= "hidalgo")*(DType = "pre")*(OFFSET(DelPoint,0,X3+2)&lt;0),OFFSET(DelPoint,0,X3+2),0))</f>
        <v>0</v>
      </c>
      <c r="Y15" s="590">
        <f t="array" aca="1" ref="Y15" ca="1">SUM(IF((DelPoint= "hidalgo")*(DType = "pre")*(OFFSET(DelPoint,0,Y3+2)&lt;0),OFFSET(DelPoint,0,Y3+2),0))</f>
        <v>0</v>
      </c>
      <c r="Z15" s="180"/>
      <c r="AA15" s="182"/>
    </row>
    <row r="16" spans="1:213" s="181" customFormat="1" ht="11.4" x14ac:dyDescent="0.2">
      <c r="A16" s="653"/>
      <c r="B16" s="459"/>
      <c r="C16" s="459"/>
      <c r="D16" s="459"/>
      <c r="E16" s="459"/>
      <c r="F16" s="459"/>
      <c r="G16" s="459"/>
      <c r="H16" s="459"/>
      <c r="I16" s="459"/>
      <c r="J16" s="459"/>
      <c r="K16" s="459"/>
      <c r="L16" s="459"/>
      <c r="M16" s="459"/>
      <c r="N16" s="459"/>
      <c r="O16" s="459"/>
      <c r="P16" s="459"/>
      <c r="Q16" s="459"/>
      <c r="R16" s="459"/>
      <c r="S16" s="459"/>
      <c r="T16" s="459"/>
      <c r="U16" s="459"/>
      <c r="V16" s="459"/>
      <c r="W16" s="459"/>
      <c r="X16" s="459"/>
      <c r="Y16" s="591"/>
      <c r="Z16" s="180"/>
      <c r="AA16" s="182"/>
    </row>
    <row r="17" spans="1:27" s="181" customFormat="1" ht="11.4" x14ac:dyDescent="0.2">
      <c r="A17" s="654" t="s">
        <v>273</v>
      </c>
      <c r="B17" s="460">
        <f t="array" aca="1" ref="B17" ca="1">SUM(IF((DelPoint= "hidalgo")*IF((DType = "firm")+(DType = "econ")&gt;0,1,0)*(OFFSET(DelPoint,0,B3+2)&lt;0),OFFSET(DelPoint,0,B3+2),0))</f>
        <v>0</v>
      </c>
      <c r="C17" s="460">
        <f t="array" aca="1" ref="C17" ca="1">SUM(IF((DelPoint= "hidalgo")*IF((DType = "firm")+(DType = "econ")&gt;0,1,0)*(OFFSET(DelPoint,0,C3+2)&lt;0),OFFSET(DelPoint,0,C3+2),0))</f>
        <v>0</v>
      </c>
      <c r="D17" s="460">
        <f t="array" aca="1" ref="D17" ca="1">SUM(IF((DelPoint= "hidalgo")*IF((DType = "firm")+(DType = "econ")&gt;0,1,0)*(OFFSET(DelPoint,0,D3+2)&lt;0),OFFSET(DelPoint,0,D3+2),0))</f>
        <v>0</v>
      </c>
      <c r="E17" s="460">
        <f t="array" aca="1" ref="E17" ca="1">SUM(IF((DelPoint= "hidalgo")*IF((DType = "firm")+(DType = "econ")&gt;0,1,0)*(OFFSET(DelPoint,0,E3+2)&lt;0),OFFSET(DelPoint,0,E3+2),0))</f>
        <v>0</v>
      </c>
      <c r="F17" s="460">
        <f t="array" aca="1" ref="F17" ca="1">SUM(IF((DelPoint= "hidalgo")*IF((DType = "firm")+(DType = "econ")&gt;0,1,0)*(OFFSET(DelPoint,0,F3+2)&lt;0),OFFSET(DelPoint,0,F3+2),0))</f>
        <v>0</v>
      </c>
      <c r="G17" s="460">
        <f t="array" aca="1" ref="G17" ca="1">SUM(IF((DelPoint= "hidalgo")*IF((DType = "firm")+(DType = "econ")&gt;0,1,0)*(OFFSET(DelPoint,0,G3+2)&lt;0),OFFSET(DelPoint,0,G3+2),0))</f>
        <v>0</v>
      </c>
      <c r="H17" s="460">
        <f t="array" aca="1" ref="H17" ca="1">SUM(IF((DelPoint= "hidalgo")*IF((DType = "firm")+(DType = "econ")&gt;0,1,0)*(OFFSET(DelPoint,0,H3+2)&lt;0),OFFSET(DelPoint,0,H3+2),0))</f>
        <v>0</v>
      </c>
      <c r="I17" s="460">
        <f t="array" aca="1" ref="I17" ca="1">SUM(IF((DelPoint= "hidalgo")*IF((DType = "firm")+(DType = "econ")&gt;0,1,0)*(OFFSET(DelPoint,0,I3+2)&lt;0),OFFSET(DelPoint,0,I3+2),0))</f>
        <v>0</v>
      </c>
      <c r="J17" s="460">
        <f t="array" aca="1" ref="J17" ca="1">SUM(IF((DelPoint= "hidalgo")*IF((DType = "firm")+(DType = "econ")&gt;0,1,0)*(OFFSET(DelPoint,0,J3+2)&lt;0),OFFSET(DelPoint,0,J3+2),0))</f>
        <v>0</v>
      </c>
      <c r="K17" s="460">
        <f t="array" aca="1" ref="K17" ca="1">SUM(IF((DelPoint= "hidalgo")*IF((DType = "firm")+(DType = "econ")&gt;0,1,0)*(OFFSET(DelPoint,0,K3+2)&lt;0),OFFSET(DelPoint,0,K3+2),0))</f>
        <v>0</v>
      </c>
      <c r="L17" s="460">
        <f t="array" aca="1" ref="L17" ca="1">SUM(IF((DelPoint= "hidalgo")*IF((DType = "firm")+(DType = "econ")&gt;0,1,0)*(OFFSET(DelPoint,0,L3+2)&lt;0),OFFSET(DelPoint,0,L3+2),0))</f>
        <v>0</v>
      </c>
      <c r="M17" s="460">
        <f t="array" aca="1" ref="M17" ca="1">SUM(IF((DelPoint= "hidalgo")*IF((DType = "firm")+(DType = "econ")&gt;0,1,0)*(OFFSET(DelPoint,0,M3+2)&lt;0),OFFSET(DelPoint,0,M3+2),0))</f>
        <v>0</v>
      </c>
      <c r="N17" s="460">
        <f t="array" aca="1" ref="N17" ca="1">SUM(IF((DelPoint= "hidalgo")*IF((DType = "firm")+(DType = "econ")&gt;0,1,0)*(OFFSET(DelPoint,0,N3+2)&lt;0),OFFSET(DelPoint,0,N3+2),0))</f>
        <v>0</v>
      </c>
      <c r="O17" s="460">
        <f t="array" aca="1" ref="O17" ca="1">SUM(IF((DelPoint= "hidalgo")*IF((DType = "firm")+(DType = "econ")&gt;0,1,0)*(OFFSET(DelPoint,0,O3+2)&lt;0),OFFSET(DelPoint,0,O3+2),0))</f>
        <v>0</v>
      </c>
      <c r="P17" s="460">
        <f t="array" aca="1" ref="P17" ca="1">SUM(IF((DelPoint= "hidalgo")*IF((DType = "firm")+(DType = "econ")&gt;0,1,0)*(OFFSET(DelPoint,0,P3+2)&lt;0),OFFSET(DelPoint,0,P3+2),0))</f>
        <v>0</v>
      </c>
      <c r="Q17" s="460">
        <f t="array" aca="1" ref="Q17" ca="1">SUM(IF((DelPoint= "hidalgo")*IF((DType = "firm")+(DType = "econ")&gt;0,1,0)*(OFFSET(DelPoint,0,Q3+2)&lt;0),OFFSET(DelPoint,0,Q3+2),0))</f>
        <v>0</v>
      </c>
      <c r="R17" s="460">
        <f t="array" aca="1" ref="R17" ca="1">SUM(IF((DelPoint= "hidalgo")*IF((DType = "firm")+(DType = "econ")&gt;0,1,0)*(OFFSET(DelPoint,0,R3+2)&lt;0),OFFSET(DelPoint,0,R3+2),0))</f>
        <v>0</v>
      </c>
      <c r="S17" s="460">
        <f t="array" aca="1" ref="S17" ca="1">SUM(IF((DelPoint= "hidalgo")*IF((DType = "firm")+(DType = "econ")&gt;0,1,0)*(OFFSET(DelPoint,0,S3+2)&lt;0),OFFSET(DelPoint,0,S3+2),0))</f>
        <v>0</v>
      </c>
      <c r="T17" s="460">
        <f t="array" aca="1" ref="T17" ca="1">SUM(IF((DelPoint= "hidalgo")*IF((DType = "firm")+(DType = "econ")&gt;0,1,0)*(OFFSET(DelPoint,0,T3+2)&lt;0),OFFSET(DelPoint,0,T3+2),0))</f>
        <v>0</v>
      </c>
      <c r="U17" s="460">
        <f t="array" aca="1" ref="U17" ca="1">SUM(IF((DelPoint= "hidalgo")*IF((DType = "firm")+(DType = "econ")&gt;0,1,0)*(OFFSET(DelPoint,0,U3+2)&lt;0),OFFSET(DelPoint,0,U3+2),0))</f>
        <v>0</v>
      </c>
      <c r="V17" s="460"/>
      <c r="W17" s="460">
        <f t="array" aca="1" ref="W17" ca="1">SUM(IF((DelPoint= "hidalgo")*IF((DType = "firm")+(DType = "econ")&gt;0,1,0)*(OFFSET(DelPoint,0,W3+2)&lt;0),OFFSET(DelPoint,0,W3+2),0))</f>
        <v>0</v>
      </c>
      <c r="X17" s="460">
        <f t="array" aca="1" ref="X17" ca="1">SUM(IF((DelPoint= "hidalgo")*IF((DType = "firm")+(DType = "econ")&gt;0,1,0)*(OFFSET(DelPoint,0,X3+2)&lt;0),OFFSET(DelPoint,0,X3+2),0))</f>
        <v>0</v>
      </c>
      <c r="Y17" s="592">
        <f t="array" aca="1" ref="Y17" ca="1">SUM(IF((DelPoint= "hidalgo")*IF((DType = "firm")+(DType = "econ")&gt;0,1,0)*(OFFSET(DelPoint,0,Y3+2)&lt;0),OFFSET(DelPoint,0,Y3+2),0))</f>
        <v>0</v>
      </c>
      <c r="Z17" s="180"/>
      <c r="AA17" s="182"/>
    </row>
    <row r="18" spans="1:27" s="181" customFormat="1" ht="11.4" x14ac:dyDescent="0.2">
      <c r="A18" s="656" t="s">
        <v>300</v>
      </c>
      <c r="B18" s="562">
        <f ca="1">Deals!F5</f>
        <v>-50</v>
      </c>
      <c r="C18" s="562">
        <f>Deals!G5</f>
        <v>-50</v>
      </c>
      <c r="D18" s="562">
        <f>Deals!H5</f>
        <v>-50</v>
      </c>
      <c r="E18" s="562">
        <f>Deals!I5</f>
        <v>-50</v>
      </c>
      <c r="F18" s="562">
        <f>Deals!J5</f>
        <v>-50</v>
      </c>
      <c r="G18" s="562">
        <f>Deals!K5</f>
        <v>-50</v>
      </c>
      <c r="H18" s="562">
        <f>Deals!L5</f>
        <v>-50</v>
      </c>
      <c r="I18" s="562">
        <f>Deals!M5</f>
        <v>-50</v>
      </c>
      <c r="J18" s="562">
        <f>Deals!N5</f>
        <v>-50</v>
      </c>
      <c r="K18" s="562">
        <f>Deals!O5</f>
        <v>-50</v>
      </c>
      <c r="L18" s="562">
        <f>Deals!P5</f>
        <v>-50</v>
      </c>
      <c r="M18" s="562">
        <f>Deals!Q5</f>
        <v>-50</v>
      </c>
      <c r="N18" s="562">
        <f>Deals!R5</f>
        <v>-50</v>
      </c>
      <c r="O18" s="562">
        <f>Deals!S5</f>
        <v>-50</v>
      </c>
      <c r="P18" s="562">
        <f>Deals!T5</f>
        <v>-50</v>
      </c>
      <c r="Q18" s="562">
        <f>Deals!U5</f>
        <v>-50</v>
      </c>
      <c r="R18" s="562">
        <f>Deals!V5</f>
        <v>-50</v>
      </c>
      <c r="S18" s="562">
        <f>Deals!W5</f>
        <v>-50</v>
      </c>
      <c r="T18" s="562">
        <f>Deals!X5</f>
        <v>-50</v>
      </c>
      <c r="U18" s="562">
        <f>Deals!Y5</f>
        <v>-50</v>
      </c>
      <c r="V18" s="562">
        <f>Deals!Z5</f>
        <v>-50</v>
      </c>
      <c r="W18" s="562">
        <f>Deals!AA5</f>
        <v>-50</v>
      </c>
      <c r="X18" s="562">
        <f>Deals!AB5</f>
        <v>-50</v>
      </c>
      <c r="Y18" s="566">
        <f>Deals!AC5</f>
        <v>-50</v>
      </c>
      <c r="Z18" s="180"/>
      <c r="AA18" s="182"/>
    </row>
    <row r="19" spans="1:27" s="181" customFormat="1" ht="11.4" x14ac:dyDescent="0.2">
      <c r="A19" s="657" t="s">
        <v>265</v>
      </c>
      <c r="B19" s="225"/>
      <c r="C19" s="224"/>
      <c r="D19" s="224"/>
      <c r="E19" s="224"/>
      <c r="F19" s="224"/>
      <c r="G19" s="224"/>
      <c r="H19" s="224"/>
      <c r="I19" s="224"/>
      <c r="J19" s="225"/>
      <c r="K19" s="225"/>
      <c r="L19" s="225"/>
      <c r="M19" s="225"/>
      <c r="N19" s="225"/>
      <c r="O19" s="225"/>
      <c r="P19" s="225"/>
      <c r="Q19" s="225"/>
      <c r="R19" s="225"/>
      <c r="S19" s="225"/>
      <c r="T19" s="225"/>
      <c r="U19" s="225"/>
      <c r="V19" s="225"/>
      <c r="W19" s="225"/>
      <c r="X19" s="225"/>
      <c r="Y19" s="566"/>
      <c r="Z19" s="180"/>
      <c r="AA19" s="182"/>
    </row>
    <row r="20" spans="1:27" s="181" customFormat="1" ht="11.4" x14ac:dyDescent="0.2">
      <c r="A20" s="657" t="s">
        <v>270</v>
      </c>
      <c r="B20" s="225"/>
      <c r="C20" s="225"/>
      <c r="D20" s="225"/>
      <c r="E20" s="225"/>
      <c r="F20" s="225"/>
      <c r="G20" s="225"/>
      <c r="H20" s="225"/>
      <c r="I20" s="225"/>
      <c r="J20" s="225"/>
      <c r="K20" s="225"/>
      <c r="L20" s="225"/>
      <c r="M20" s="225"/>
      <c r="N20" s="225"/>
      <c r="O20" s="225"/>
      <c r="P20" s="225"/>
      <c r="Q20" s="225"/>
      <c r="R20" s="225"/>
      <c r="S20" s="225"/>
      <c r="T20" s="225"/>
      <c r="U20" s="225"/>
      <c r="V20" s="225"/>
      <c r="W20" s="225"/>
      <c r="X20" s="225"/>
      <c r="Y20" s="577"/>
      <c r="Z20" s="180"/>
      <c r="AA20" s="182"/>
    </row>
    <row r="21" spans="1:27" s="181" customFormat="1" ht="12" thickBot="1" x14ac:dyDescent="0.25">
      <c r="A21" s="658" t="s">
        <v>271</v>
      </c>
      <c r="B21" s="225">
        <f t="array" aca="1" ref="B21" ca="1">SUM(IF((DelPoint= "artesia")*IF((DType = "firm")+(DType = "econ")&gt;0,1,0)*(OFFSET(DelPoint,0,B3+2)&lt;0),OFFSET(DelPoint,0,B3+2),0))</f>
        <v>0</v>
      </c>
      <c r="C21" s="225">
        <f t="array" aca="1" ref="C21" ca="1">SUM(IF((DelPoint= "artesia")*IF((DType = "firm")+(DType = "econ")&gt;0,1,0)*(OFFSET(DelPoint,0,C3+2)&lt;0),OFFSET(DelPoint,0,C3+2),0))</f>
        <v>0</v>
      </c>
      <c r="D21" s="225">
        <f t="array" aca="1" ref="D21" ca="1">SUM(IF((DelPoint= "artesia")*IF((DType = "firm")+(DType = "econ")&gt;0,1,0)*(OFFSET(DelPoint,0,D3+2)&lt;0),OFFSET(DelPoint,0,D3+2),0))</f>
        <v>0</v>
      </c>
      <c r="E21" s="225">
        <f t="array" aca="1" ref="E21" ca="1">SUM(IF((DelPoint= "artesia")*IF((DType = "firm")+(DType = "econ")&gt;0,1,0)*(OFFSET(DelPoint,0,E3+2)&lt;0),OFFSET(DelPoint,0,E3+2),0))</f>
        <v>0</v>
      </c>
      <c r="F21" s="225">
        <f t="array" aca="1" ref="F21" ca="1">SUM(IF((DelPoint= "artesia")*IF((DType = "firm")+(DType = "econ")&gt;0,1,0)*(OFFSET(DelPoint,0,F3+2)&lt;0),OFFSET(DelPoint,0,F3+2),0))</f>
        <v>0</v>
      </c>
      <c r="G21" s="225">
        <f t="array" aca="1" ref="G21" ca="1">SUM(IF((DelPoint= "artesia")*IF((DType = "firm")+(DType = "econ")&gt;0,1,0)*(OFFSET(DelPoint,0,G3+2)&lt;0),OFFSET(DelPoint,0,G3+2),0))</f>
        <v>0</v>
      </c>
      <c r="H21" s="225">
        <f t="array" aca="1" ref="H21" ca="1">SUM(IF((DelPoint= "artesia")*IF((DType = "firm")+(DType = "econ")&gt;0,1,0)*(OFFSET(DelPoint,0,H3+2)&lt;0),OFFSET(DelPoint,0,H3+2),0))</f>
        <v>0</v>
      </c>
      <c r="I21" s="225">
        <f t="array" aca="1" ref="I21" ca="1">SUM(IF((DelPoint= "artesia")*IF((DType = "firm")+(DType = "econ")&gt;0,1,0)*(OFFSET(DelPoint,0,I3+2)&lt;0),OFFSET(DelPoint,0,I3+2),0))</f>
        <v>0</v>
      </c>
      <c r="J21" s="225">
        <f t="array" aca="1" ref="J21" ca="1">SUM(IF((DelPoint= "artesia")*IF((DType = "firm")+(DType = "econ")&gt;0,1,0)*(OFFSET(DelPoint,0,J3+2)&lt;0),OFFSET(DelPoint,0,J3+2),0))</f>
        <v>0</v>
      </c>
      <c r="K21" s="225">
        <f t="array" aca="1" ref="K21" ca="1">SUM(IF((DelPoint= "artesia")*IF((DType = "firm")+(DType = "econ")&gt;0,1,0)*(OFFSET(DelPoint,0,K3+2)&lt;0),OFFSET(DelPoint,0,K3+2),0))</f>
        <v>0</v>
      </c>
      <c r="L21" s="225">
        <f t="array" aca="1" ref="L21" ca="1">SUM(IF((DelPoint= "artesia")*IF((DType = "firm")+(DType = "econ")&gt;0,1,0)*(OFFSET(DelPoint,0,L3+2)&lt;0),OFFSET(DelPoint,0,L3+2),0))</f>
        <v>0</v>
      </c>
      <c r="M21" s="225">
        <f t="array" aca="1" ref="M21" ca="1">SUM(IF((DelPoint= "artesia")*IF((DType = "firm")+(DType = "econ")&gt;0,1,0)*(OFFSET(DelPoint,0,M3+2)&lt;0),OFFSET(DelPoint,0,M3+2),0))</f>
        <v>0</v>
      </c>
      <c r="N21" s="225">
        <f t="array" aca="1" ref="N21" ca="1">SUM(IF((DelPoint= "artesia")*IF((DType = "firm")+(DType = "econ")&gt;0,1,0)*(OFFSET(DelPoint,0,N3+2)&lt;0),OFFSET(DelPoint,0,N3+2),0))</f>
        <v>0</v>
      </c>
      <c r="O21" s="225"/>
      <c r="P21" s="225"/>
      <c r="Q21" s="225"/>
      <c r="R21" s="225">
        <f t="array" aca="1" ref="R21" ca="1">SUM(IF((DelPoint= "artesia")*IF((DType = "firm")+(DType = "econ")&gt;0,1,0)*(OFFSET(DelPoint,0,R3+2)&lt;0),OFFSET(DelPoint,0,R3+2),0))</f>
        <v>0</v>
      </c>
      <c r="S21" s="225">
        <f t="array" aca="1" ref="S21" ca="1">SUM(IF((DelPoint= "artesia")*IF((DType = "firm")+(DType = "econ")&gt;0,1,0)*(OFFSET(DelPoint,0,S3+2)&lt;0),OFFSET(DelPoint,0,S3+2),0))</f>
        <v>0</v>
      </c>
      <c r="T21" s="225">
        <f t="array" aca="1" ref="T21" ca="1">SUM(IF((DelPoint= "artesia")*IF((DType = "firm")+(DType = "econ")&gt;0,1,0)*(OFFSET(DelPoint,0,T3+2)&lt;0),OFFSET(DelPoint,0,T3+2),0))</f>
        <v>0</v>
      </c>
      <c r="U21" s="225">
        <f t="array" aca="1" ref="U21" ca="1">SUM(IF((DelPoint= "artesia")*IF((DType = "firm")+(DType = "econ")&gt;0,1,0)*(OFFSET(DelPoint,0,U3+2)&lt;0),OFFSET(DelPoint,0,U3+2),0))</f>
        <v>0</v>
      </c>
      <c r="V21" s="225">
        <f t="array" aca="1" ref="V21" ca="1">SUM(IF((DelPoint= "artesia")*IF((DType = "firm")+(DType = "econ")&gt;0,1,0)*(OFFSET(DelPoint,0,V3+2)&lt;0),OFFSET(DelPoint,0,V3+2),0))</f>
        <v>0</v>
      </c>
      <c r="W21" s="225">
        <f t="array" aca="1" ref="W21" ca="1">SUM(IF((DelPoint= "artesia")*IF((DType = "firm")+(DType = "econ")&gt;0,1,0)*(OFFSET(DelPoint,0,W3+2)&lt;0),OFFSET(DelPoint,0,W3+2),0))</f>
        <v>0</v>
      </c>
      <c r="X21" s="225">
        <f t="array" aca="1" ref="X21" ca="1">SUM(IF((DelPoint= "artesia")*IF((DType = "firm")+(DType = "econ")&gt;0,1,0)*(OFFSET(DelPoint,0,X3+2)&lt;0),OFFSET(DelPoint,0,X3+2),0))</f>
        <v>0</v>
      </c>
      <c r="Y21" s="577">
        <f t="array" aca="1" ref="Y21" ca="1">SUM(IF((DelPoint= "artesia")*IF((DType = "firm")+(DType = "econ")&gt;0,1,0)*(OFFSET(DelPoint,0,Y3+2)&lt;0),OFFSET(DelPoint,0,Y3+2),0))</f>
        <v>0</v>
      </c>
      <c r="Z21" s="180"/>
      <c r="AA21" s="182"/>
    </row>
    <row r="22" spans="1:27" s="181" customFormat="1" ht="12" x14ac:dyDescent="0.2">
      <c r="A22" s="655" t="s">
        <v>34</v>
      </c>
      <c r="B22" s="462"/>
      <c r="C22" s="233"/>
      <c r="D22" s="233"/>
      <c r="E22" s="233"/>
      <c r="F22" s="233"/>
      <c r="G22" s="233"/>
      <c r="H22" s="233"/>
      <c r="I22" s="233"/>
      <c r="J22" s="233"/>
      <c r="K22" s="233"/>
      <c r="L22" s="233"/>
      <c r="M22" s="233"/>
      <c r="N22" s="233"/>
      <c r="O22" s="233"/>
      <c r="P22" s="233"/>
      <c r="Q22" s="233"/>
      <c r="R22" s="233"/>
      <c r="S22" s="233"/>
      <c r="T22" s="233"/>
      <c r="U22" s="233"/>
      <c r="V22" s="233"/>
      <c r="W22" s="233"/>
      <c r="X22" s="233"/>
      <c r="Y22" s="594"/>
      <c r="Z22" s="180"/>
      <c r="AA22" s="182"/>
    </row>
    <row r="23" spans="1:27" s="181" customFormat="1" ht="12" x14ac:dyDescent="0.2">
      <c r="A23" s="595" t="s">
        <v>128</v>
      </c>
      <c r="B23" s="463">
        <f ca="1">Deals!F3</f>
        <v>150</v>
      </c>
      <c r="C23" s="463">
        <f>Deals!G3</f>
        <v>100</v>
      </c>
      <c r="D23" s="463">
        <f>Deals!H3</f>
        <v>75</v>
      </c>
      <c r="E23" s="463">
        <f>Deals!I3</f>
        <v>75</v>
      </c>
      <c r="F23" s="463">
        <f>Deals!J3</f>
        <v>75</v>
      </c>
      <c r="G23" s="463">
        <f>Deals!K3</f>
        <v>75</v>
      </c>
      <c r="H23" s="463">
        <f>Deals!L3</f>
        <v>75</v>
      </c>
      <c r="I23" s="463">
        <f>Deals!M3</f>
        <v>85</v>
      </c>
      <c r="J23" s="463">
        <f>Deals!N3</f>
        <v>85</v>
      </c>
      <c r="K23" s="463">
        <f>Deals!O3</f>
        <v>135</v>
      </c>
      <c r="L23" s="463">
        <f>Deals!P3</f>
        <v>150</v>
      </c>
      <c r="M23" s="463">
        <f>Deals!Q3</f>
        <v>115</v>
      </c>
      <c r="N23" s="463">
        <f>Deals!R3</f>
        <v>105</v>
      </c>
      <c r="O23" s="463">
        <f>Deals!S3</f>
        <v>95</v>
      </c>
      <c r="P23" s="463">
        <f>Deals!T3</f>
        <v>95</v>
      </c>
      <c r="Q23" s="463">
        <f>Deals!U3</f>
        <v>95</v>
      </c>
      <c r="R23" s="463">
        <f>Deals!V3</f>
        <v>95</v>
      </c>
      <c r="S23" s="463">
        <f>Deals!W3</f>
        <v>55</v>
      </c>
      <c r="T23" s="463">
        <f>Deals!X3</f>
        <v>100</v>
      </c>
      <c r="U23" s="463">
        <f>Deals!Y3</f>
        <v>110</v>
      </c>
      <c r="V23" s="463">
        <f>Deals!Z3</f>
        <v>100</v>
      </c>
      <c r="W23" s="463">
        <f>Deals!AA3</f>
        <v>90</v>
      </c>
      <c r="X23" s="463">
        <f>Deals!AB3</f>
        <v>40</v>
      </c>
      <c r="Y23" s="463">
        <f>Deals!AC3</f>
        <v>50</v>
      </c>
      <c r="Z23" s="180"/>
      <c r="AA23" s="182"/>
    </row>
    <row r="24" spans="1:27" s="181" customFormat="1" ht="12" x14ac:dyDescent="0.2">
      <c r="A24" s="597" t="s">
        <v>363</v>
      </c>
      <c r="B24" s="226">
        <f>Deals!F8</f>
        <v>11</v>
      </c>
      <c r="C24" s="226">
        <f>Deals!G8</f>
        <v>1</v>
      </c>
      <c r="D24" s="226">
        <f>Deals!H8</f>
        <v>1</v>
      </c>
      <c r="E24" s="226">
        <f>Deals!I8</f>
        <v>1</v>
      </c>
      <c r="F24" s="226">
        <f>Deals!J8</f>
        <v>1</v>
      </c>
      <c r="G24" s="226">
        <f>Deals!K8</f>
        <v>11</v>
      </c>
      <c r="H24" s="226">
        <f>Deals!L8</f>
        <v>11</v>
      </c>
      <c r="I24" s="226">
        <f>Deals!M8</f>
        <v>11</v>
      </c>
      <c r="J24" s="226">
        <f>Deals!N8</f>
        <v>11</v>
      </c>
      <c r="K24" s="226">
        <f>Deals!O8</f>
        <v>11</v>
      </c>
      <c r="L24" s="226">
        <f>Deals!P8</f>
        <v>11</v>
      </c>
      <c r="M24" s="226">
        <f>Deals!Q8</f>
        <v>11</v>
      </c>
      <c r="N24" s="226">
        <f>Deals!R8</f>
        <v>11</v>
      </c>
      <c r="O24" s="226">
        <f>Deals!S8</f>
        <v>11</v>
      </c>
      <c r="P24" s="226">
        <f>Deals!T8</f>
        <v>1</v>
      </c>
      <c r="Q24" s="226">
        <f>Deals!U8</f>
        <v>1</v>
      </c>
      <c r="R24" s="226">
        <f>Deals!V8</f>
        <v>1</v>
      </c>
      <c r="S24" s="226">
        <f>Deals!W8</f>
        <v>1</v>
      </c>
      <c r="T24" s="226">
        <f>Deals!X8</f>
        <v>1</v>
      </c>
      <c r="U24" s="226">
        <f>Deals!Y8</f>
        <v>11</v>
      </c>
      <c r="V24" s="226">
        <f>Deals!Z8</f>
        <v>11</v>
      </c>
      <c r="W24" s="226">
        <f>Deals!AA8</f>
        <v>11</v>
      </c>
      <c r="X24" s="226">
        <f>Deals!AB8</f>
        <v>11</v>
      </c>
      <c r="Y24" s="631">
        <f>Deals!AC8</f>
        <v>11</v>
      </c>
      <c r="Z24" s="180"/>
      <c r="AA24" s="182"/>
    </row>
    <row r="25" spans="1:27" s="183" customFormat="1" ht="12" x14ac:dyDescent="0.2">
      <c r="A25" s="598" t="s">
        <v>35</v>
      </c>
      <c r="B25" s="464"/>
      <c r="C25" s="227"/>
      <c r="D25" s="227"/>
      <c r="E25" s="227"/>
      <c r="F25" s="227"/>
      <c r="G25" s="227"/>
      <c r="H25" s="227"/>
      <c r="I25" s="227"/>
      <c r="J25" s="227"/>
      <c r="K25" s="227"/>
      <c r="L25" s="227"/>
      <c r="M25" s="227"/>
      <c r="N25" s="227"/>
      <c r="O25" s="227"/>
      <c r="P25" s="227"/>
      <c r="Q25" s="227"/>
      <c r="R25" s="227"/>
      <c r="S25" s="227"/>
      <c r="T25" s="227"/>
      <c r="U25" s="227"/>
      <c r="V25" s="227"/>
      <c r="W25" s="227"/>
      <c r="X25" s="227"/>
      <c r="Y25" s="599"/>
      <c r="Z25" s="373"/>
      <c r="AA25" s="184"/>
    </row>
    <row r="26" spans="1:27" s="181" customFormat="1" ht="11.4" x14ac:dyDescent="0.2">
      <c r="A26" s="581" t="s">
        <v>122</v>
      </c>
      <c r="B26" s="672">
        <f t="array" aca="1" ref="B26" ca="1">SUM(IF((DelPoint= "4C")*(DType = "pre")*(OFFSET(DelPoint,0,B3+2)&gt;0),OFFSET(DelPoint,0,B3+2),0))</f>
        <v>120</v>
      </c>
      <c r="C26" s="229">
        <f t="array" aca="1" ref="C26" ca="1">SUM(IF((DelPoint= "4C")*(DType = "pre")*(OFFSET(DelPoint,0,C3+2)&gt;0),OFFSET(DelPoint,0,C3+2),0))</f>
        <v>100</v>
      </c>
      <c r="D26" s="228">
        <f t="array" aca="1" ref="D26" ca="1">SUM(IF((DelPoint= "4C")*(DType = "pre")*(OFFSET(DelPoint,0,D3+2)&gt;0),OFFSET(DelPoint,0,D3+2),0))</f>
        <v>100</v>
      </c>
      <c r="E26" s="228">
        <f t="array" aca="1" ref="E26" ca="1">SUM(IF((DelPoint= "4C")*(DType = "pre")*(OFFSET(DelPoint,0,E3+2)&gt;0),OFFSET(DelPoint,0,E3+2),0))</f>
        <v>90</v>
      </c>
      <c r="F26" s="228">
        <f t="array" aca="1" ref="F26" ca="1">SUM(IF((DelPoint= "4C")*(DType = "pre")*(OFFSET(DelPoint,0,F3+2)&gt;0),OFFSET(DelPoint,0,F3+2),0))</f>
        <v>90</v>
      </c>
      <c r="G26" s="228">
        <f t="array" aca="1" ref="G26" ca="1">SUM(IF((DelPoint= "4C")*(DType = "pre")*(OFFSET(DelPoint,0,G3+2)&gt;0),OFFSET(DelPoint,0,G3+2),0))</f>
        <v>70</v>
      </c>
      <c r="H26" s="228">
        <f t="array" aca="1" ref="H26" ca="1">SUM(IF((DelPoint= "4C")*(DType = "pre")*(OFFSET(DelPoint,0,H3+2)&gt;0),OFFSET(DelPoint,0,H3+2),0))</f>
        <v>30</v>
      </c>
      <c r="I26" s="228">
        <f t="array" aca="1" ref="I26" ca="1">SUM(IF((DelPoint= "4C")*(DType = "pre")*(OFFSET(DelPoint,0,I3+2)&gt;0),OFFSET(DelPoint,0,I3+2),0))</f>
        <v>0</v>
      </c>
      <c r="J26" s="228">
        <f t="array" aca="1" ref="J26" ca="1">SUM(IF((DelPoint= "4C")*(DType = "pre")*(OFFSET(DelPoint,0,J3+2)&gt;0),OFFSET(DelPoint,0,J3+2),0))</f>
        <v>0</v>
      </c>
      <c r="K26" s="228">
        <f t="array" aca="1" ref="K26" ca="1">SUM(IF((DelPoint= "4C")*(DType = "pre")*(OFFSET(DelPoint,0,K3+2)&gt;0),OFFSET(DelPoint,0,K3+2),0))</f>
        <v>0</v>
      </c>
      <c r="L26" s="228">
        <f t="array" aca="1" ref="L26" ca="1">SUM(IF((DelPoint= "4C")*(DType = "pre")*(OFFSET(DelPoint,0,L3+2)&gt;0),OFFSET(DelPoint,0,L3+2),0))</f>
        <v>0</v>
      </c>
      <c r="M26" s="228">
        <f t="array" aca="1" ref="M26" ca="1">SUM(IF((DelPoint= "4C")*(DType = "pre")*(OFFSET(DelPoint,0,M3+2)&gt;0),OFFSET(DelPoint,0,M3+2),0))</f>
        <v>0</v>
      </c>
      <c r="N26" s="228">
        <f t="array" aca="1" ref="N26" ca="1">SUM(IF((DelPoint= "4C")*(DType = "pre")*(OFFSET(DelPoint,0,N3+2)&gt;0),OFFSET(DelPoint,0,N3+2),0))</f>
        <v>0</v>
      </c>
      <c r="O26" s="228">
        <f t="array" aca="1" ref="O26" ca="1">SUM(IF((DelPoint= "4C")*(DType = "pre")*(OFFSET(DelPoint,0,O3+2)&gt;0),OFFSET(DelPoint,0,O3+2),0))</f>
        <v>0</v>
      </c>
      <c r="P26" s="228">
        <f t="array" aca="1" ref="P26" ca="1">SUM(IF((DelPoint= "4C")*(DType = "pre")*(OFFSET(DelPoint,0,P3+2)&gt;0),OFFSET(DelPoint,0,P3+2),0))</f>
        <v>0</v>
      </c>
      <c r="Q26" s="228">
        <f t="array" aca="1" ref="Q26" ca="1">SUM(IF((DelPoint= "4C")*(DType = "pre")*(OFFSET(DelPoint,0,Q3+2)&gt;0),OFFSET(DelPoint,0,Q3+2),0))</f>
        <v>0</v>
      </c>
      <c r="R26" s="228">
        <f t="array" aca="1" ref="R26" ca="1">SUM(IF((DelPoint= "4C")*(DType = "pre")*(OFFSET(DelPoint,0,R3+2)&gt;0),OFFSET(DelPoint,0,R3+2),0))</f>
        <v>0</v>
      </c>
      <c r="S26" s="228">
        <f t="array" aca="1" ref="S26" ca="1">SUM(IF((DelPoint= "4C")*(DType = "pre")*(OFFSET(DelPoint,0,S3+2)&gt;0),OFFSET(DelPoint,0,S3+2),0))</f>
        <v>0</v>
      </c>
      <c r="T26" s="228">
        <f t="array" aca="1" ref="T26" ca="1">SUM(IF((DelPoint= "4C")*(DType = "pre")*(OFFSET(DelPoint,0,T3+2)&gt;0),OFFSET(DelPoint,0,T3+2),0))</f>
        <v>0</v>
      </c>
      <c r="U26" s="228">
        <f t="array" aca="1" ref="U26" ca="1">SUM(IF((DelPoint= "4C")*(DType = "pre")*(OFFSET(DelPoint,0,U3+2)&gt;0),OFFSET(DelPoint,0,U3+2),0))</f>
        <v>0</v>
      </c>
      <c r="V26" s="228">
        <f t="array" aca="1" ref="V26" ca="1">SUM(IF((DelPoint= "4C")*(DType = "pre")*(OFFSET(DelPoint,0,V3+2)&gt;0),OFFSET(DelPoint,0,V3+2),0))</f>
        <v>0</v>
      </c>
      <c r="W26" s="228">
        <f t="array" aca="1" ref="W26" ca="1">SUM(IF((DelPoint= "4C")*(DType = "pre")*(OFFSET(DelPoint,0,W3+2)&gt;0),OFFSET(DelPoint,0,W3+2),0))</f>
        <v>0</v>
      </c>
      <c r="X26" s="228">
        <f t="array" aca="1" ref="X26" ca="1">SUM(IF((DelPoint= "4C")*(DType = "pre")*(OFFSET(DelPoint,0,X3+2)&gt;0),OFFSET(DelPoint,0,X3+2),0))</f>
        <v>40</v>
      </c>
      <c r="Y26" s="582">
        <f t="array" aca="1" ref="Y26" ca="1">SUM(IF((DelPoint= "4C")*(DType = "pre")*(OFFSET(DelPoint,0,Y3+2)&gt;0),OFFSET(DelPoint,0,Y3+2),0))</f>
        <v>80</v>
      </c>
      <c r="Z26" s="180"/>
      <c r="AA26" s="182"/>
    </row>
    <row r="27" spans="1:27" s="181" customFormat="1" ht="11.4" x14ac:dyDescent="0.2">
      <c r="A27" s="581" t="s">
        <v>123</v>
      </c>
      <c r="B27" s="228">
        <f ca="1">SUMIF(OFFSET(CBalancingVol,B$3,0),"&gt;0")</f>
        <v>0</v>
      </c>
      <c r="C27" s="229">
        <f t="shared" ref="C27:Y27" ca="1" si="1">SUMIF(OFFSET(CBalancingVol,C$3,0),"&gt;0")</f>
        <v>0</v>
      </c>
      <c r="D27" s="229">
        <f t="shared" ca="1" si="1"/>
        <v>0</v>
      </c>
      <c r="E27" s="229">
        <f t="shared" ca="1" si="1"/>
        <v>0</v>
      </c>
      <c r="F27" s="229">
        <f t="shared" ca="1" si="1"/>
        <v>0</v>
      </c>
      <c r="G27" s="229">
        <f t="shared" ca="1" si="1"/>
        <v>0</v>
      </c>
      <c r="H27" s="229">
        <f t="shared" ca="1" si="1"/>
        <v>0</v>
      </c>
      <c r="I27" s="229">
        <f t="shared" ca="1" si="1"/>
        <v>0</v>
      </c>
      <c r="J27" s="229">
        <f t="shared" ca="1" si="1"/>
        <v>0</v>
      </c>
      <c r="K27" s="229">
        <f t="shared" ca="1" si="1"/>
        <v>0</v>
      </c>
      <c r="L27" s="229">
        <f t="shared" ca="1" si="1"/>
        <v>0</v>
      </c>
      <c r="M27" s="229">
        <f t="shared" ca="1" si="1"/>
        <v>0</v>
      </c>
      <c r="N27" s="229">
        <f t="shared" ca="1" si="1"/>
        <v>0</v>
      </c>
      <c r="O27" s="229">
        <f t="shared" ca="1" si="1"/>
        <v>0</v>
      </c>
      <c r="P27" s="229">
        <f t="shared" ca="1" si="1"/>
        <v>0</v>
      </c>
      <c r="Q27" s="229">
        <f t="shared" ca="1" si="1"/>
        <v>0</v>
      </c>
      <c r="R27" s="229">
        <f t="shared" ca="1" si="1"/>
        <v>0</v>
      </c>
      <c r="S27" s="229">
        <f t="shared" ca="1" si="1"/>
        <v>0</v>
      </c>
      <c r="T27" s="229">
        <f t="shared" ca="1" si="1"/>
        <v>0</v>
      </c>
      <c r="U27" s="229">
        <f t="shared" ca="1" si="1"/>
        <v>0</v>
      </c>
      <c r="V27" s="229">
        <f t="shared" ca="1" si="1"/>
        <v>0</v>
      </c>
      <c r="W27" s="229">
        <f t="shared" ca="1" si="1"/>
        <v>0</v>
      </c>
      <c r="X27" s="229">
        <f t="shared" ca="1" si="1"/>
        <v>0</v>
      </c>
      <c r="Y27" s="600">
        <f t="shared" ca="1" si="1"/>
        <v>0</v>
      </c>
      <c r="Z27" s="180"/>
      <c r="AA27" s="182"/>
    </row>
    <row r="28" spans="1:27" s="181" customFormat="1" ht="11.4" x14ac:dyDescent="0.2">
      <c r="A28" s="583" t="s">
        <v>124</v>
      </c>
      <c r="B28" s="230">
        <f t="array" aca="1" ref="B28" ca="1">SUM(IF((DelPoint= "4C")*IF((DType = "firm")+(DType = "econ")&gt;0,1,0)*(OFFSET(DelPoint,0,B3+2)&gt;0),OFFSET(DelPoint,0,B3+2),0))</f>
        <v>0</v>
      </c>
      <c r="C28" s="461">
        <f t="array" aca="1" ref="C28" ca="1">SUM(IF((DelPoint= "4C")*IF((DType = "firm")+(DType = "econ")&gt;0,1,0)*(OFFSET(DelPoint,0,C3+2)&gt;0),OFFSET(DelPoint,0,C3+2),0))</f>
        <v>0</v>
      </c>
      <c r="D28" s="230">
        <f t="array" aca="1" ref="D28" ca="1">SUM(IF((DelPoint= "4C")*IF((DType = "firm")+(DType = "econ")&gt;0,1,0)*(OFFSET(DelPoint,0,D3+2)&gt;0),OFFSET(DelPoint,0,D3+2),0))</f>
        <v>33</v>
      </c>
      <c r="E28" s="230">
        <f t="array" aca="1" ref="E28" ca="1">SUM(IF((DelPoint= "4C")*IF((DType = "firm")+(DType = "econ")&gt;0,1,0)*(OFFSET(DelPoint,0,E3+2)&gt;0),OFFSET(DelPoint,0,E3+2),0))</f>
        <v>30</v>
      </c>
      <c r="F28" s="230">
        <f t="array" aca="1" ref="F28" ca="1">SUM(IF((DelPoint= "4C")*IF((DType = "firm")+(DType = "econ")&gt;0,1,0)*(OFFSET(DelPoint,0,F3+2)&gt;0),OFFSET(DelPoint,0,F3+2),0))</f>
        <v>30</v>
      </c>
      <c r="G28" s="230">
        <f t="array" aca="1" ref="G28" ca="1">SUM(IF((DelPoint= "4C")*IF((DType = "firm")+(DType = "econ")&gt;0,1,0)*(OFFSET(DelPoint,0,G3+2)&gt;0),OFFSET(DelPoint,0,G3+2),0))</f>
        <v>50</v>
      </c>
      <c r="H28" s="230">
        <f t="array" aca="1" ref="H28" ca="1">SUM(IF((DelPoint= "4C")*IF((DType = "firm")+(DType = "econ")&gt;0,1,0)*(OFFSET(DelPoint,0,H3+2)&gt;0),OFFSET(DelPoint,0,H3+2),0))</f>
        <v>50</v>
      </c>
      <c r="I28" s="230">
        <f t="array" aca="1" ref="I28" ca="1">SUM(IF((DelPoint= "4C")*IF((DType = "firm")+(DType = "econ")&gt;0,1,0)*(OFFSET(DelPoint,0,I3+2)&gt;0),OFFSET(DelPoint,0,I3+2),0))</f>
        <v>0</v>
      </c>
      <c r="J28" s="230">
        <f t="array" aca="1" ref="J28" ca="1">SUM(IF((DelPoint= "4C")*IF((DType = "firm")+(DType = "econ")&gt;0,1,0)*(OFFSET(DelPoint,0,J3+2)&gt;0),OFFSET(DelPoint,0,J3+2),0))</f>
        <v>0</v>
      </c>
      <c r="K28" s="230">
        <f t="array" aca="1" ref="K28" ca="1">SUM(IF((DelPoint= "4C")*IF((DType = "firm")+(DType = "econ")&gt;0,1,0)*(OFFSET(DelPoint,0,K3+2)&gt;0),OFFSET(DelPoint,0,K3+2),0))</f>
        <v>0</v>
      </c>
      <c r="L28" s="230">
        <f t="array" aca="1" ref="L28" ca="1">SUM(IF((DelPoint= "4C")*IF((DType = "firm")+(DType = "econ")&gt;0,1,0)*(OFFSET(DelPoint,0,L3+2)&gt;0),OFFSET(DelPoint,0,L3+2),0))</f>
        <v>0</v>
      </c>
      <c r="M28" s="230">
        <f t="array" aca="1" ref="M28" ca="1">SUM(IF((DelPoint= "4C")*IF((DType = "firm")+(DType = "econ")&gt;0,1,0)*(OFFSET(DelPoint,0,M3+2)&gt;0),OFFSET(DelPoint,0,M3+2),0))</f>
        <v>0</v>
      </c>
      <c r="N28" s="230">
        <f t="array" aca="1" ref="N28" ca="1">SUM(IF((DelPoint= "4C")*IF((DType = "firm")+(DType = "econ")&gt;0,1,0)*(OFFSET(DelPoint,0,N3+2)&gt;0),OFFSET(DelPoint,0,N3+2),0))</f>
        <v>25</v>
      </c>
      <c r="O28" s="230">
        <f t="array" aca="1" ref="O28" ca="1">SUM(IF((DelPoint= "4C")*IF((DType = "firm")+(DType = "econ")&gt;0,1,0)*(OFFSET(DelPoint,0,O3+2)&gt;0),OFFSET(DelPoint,0,O3+2),0))</f>
        <v>25</v>
      </c>
      <c r="P28" s="230">
        <f t="array" aca="1" ref="P28" ca="1">SUM(IF((DelPoint= "4C")*IF((DType = "firm")+(DType = "econ")&gt;0,1,0)*(OFFSET(DelPoint,0,P3+2)&gt;0),OFFSET(DelPoint,0,P3+2),0))</f>
        <v>25</v>
      </c>
      <c r="Q28" s="230">
        <f t="array" aca="1" ref="Q28" ca="1">SUM(IF((DelPoint= "4C")*IF((DType = "firm")+(DType = "econ")&gt;0,1,0)*(OFFSET(DelPoint,0,Q3+2)&gt;0),OFFSET(DelPoint,0,Q3+2),0))</f>
        <v>25</v>
      </c>
      <c r="R28" s="230">
        <f t="array" aca="1" ref="R28" ca="1">SUM(IF((DelPoint= "4C")*IF((DType = "firm")+(DType = "econ")&gt;0,1,0)*(OFFSET(DelPoint,0,R3+2)&gt;0),OFFSET(DelPoint,0,R3+2),0))</f>
        <v>0</v>
      </c>
      <c r="S28" s="230">
        <f t="array" aca="1" ref="S28" ca="1">SUM(IF((DelPoint= "4C")*IF((DType = "firm")+(DType = "econ")&gt;0,1,0)*(OFFSET(DelPoint,0,S3+2)&gt;0),OFFSET(DelPoint,0,S3+2),0))</f>
        <v>0</v>
      </c>
      <c r="T28" s="230">
        <f t="array" aca="1" ref="T28" ca="1">SUM(IF((DelPoint= "4C")*IF((DType = "firm")+(DType = "econ")&gt;0,1,0)*(OFFSET(DelPoint,0,T3+2)&gt;0),OFFSET(DelPoint,0,T3+2),0))</f>
        <v>0</v>
      </c>
      <c r="U28" s="230">
        <f t="array" aca="1" ref="U28" ca="1">SUM(IF((DelPoint= "4C")*IF((DType = "firm")+(DType = "econ")&gt;0,1,0)*(OFFSET(DelPoint,0,U3+2)&gt;0),OFFSET(DelPoint,0,U3+2),0))</f>
        <v>25</v>
      </c>
      <c r="V28" s="230">
        <f t="array" aca="1" ref="V28" ca="1">SUM(IF((DelPoint= "4C")*IF((DType = "firm")+(DType = "econ")&gt;0,1,0)*(OFFSET(DelPoint,0,V3+2)&gt;0),OFFSET(DelPoint,0,V3+2),0))</f>
        <v>0</v>
      </c>
      <c r="W28" s="230">
        <f t="array" aca="1" ref="W28" ca="1">SUM(IF((DelPoint= "4C")*IF((DType = "firm")+(DType = "econ")&gt;0,1,0)*(OFFSET(DelPoint,0,W3+2)&gt;0),OFFSET(DelPoint,0,W3+2),0))</f>
        <v>0</v>
      </c>
      <c r="X28" s="230">
        <f t="array" aca="1" ref="X28" ca="1">SUM(IF((DelPoint= "4C")*IF((DType = "firm")+(DType = "econ")&gt;0,1,0)*(OFFSET(DelPoint,0,X3+2)&gt;0),OFFSET(DelPoint,0,X3+2),0))</f>
        <v>0</v>
      </c>
      <c r="Y28" s="230">
        <f t="array" aca="1" ref="Y28" ca="1">SUM(IF((DelPoint= "4C")*IF((DType = "firm")+(DType = "econ")&gt;0,1,0)*(OFFSET(DelPoint,0,Y3+2)&gt;0),OFFSET(DelPoint,0,Y3+2),0))</f>
        <v>0</v>
      </c>
      <c r="Z28" s="180"/>
      <c r="AA28" s="182"/>
    </row>
    <row r="29" spans="1:27" s="181" customFormat="1" ht="11.4" x14ac:dyDescent="0.2">
      <c r="A29" s="585" t="s">
        <v>125</v>
      </c>
      <c r="B29" s="221">
        <f t="array" aca="1" ref="B29" ca="1">SUM(IF((DelPoint= "PV")*(DType = "pre")*(OFFSET(DelPoint,0,B3+2)&gt;0),OFFSET(DelPoint,0,B3+2),0))</f>
        <v>130</v>
      </c>
      <c r="C29" s="222">
        <f t="array" aca="1" ref="C29" ca="1">SUM(IF((DelPoint= "PV")*(DType = "pre")*(OFFSET(DelPoint,0,C3+2)&gt;0),OFFSET(DelPoint,0,C3+2),0))</f>
        <v>165</v>
      </c>
      <c r="D29" s="222">
        <f t="array" aca="1" ref="D29" ca="1">SUM(IF((DelPoint= "PV")*(DType = "pre")*(OFFSET(DelPoint,0,D3+2)&gt;0),OFFSET(DelPoint,0,D3+2),0))</f>
        <v>165</v>
      </c>
      <c r="E29" s="221">
        <f t="array" aca="1" ref="E29" ca="1">SUM(IF((DelPoint= "PV")*(DType = "pre")*(OFFSET(DelPoint,0,E3+2)&gt;0),OFFSET(DelPoint,0,E3+2),0))</f>
        <v>175</v>
      </c>
      <c r="F29" s="221">
        <f t="array" aca="1" ref="F29" ca="1">SUM(IF((DelPoint= "PV")*(DType = "pre")*(OFFSET(DelPoint,0,F3+2)&gt;0),OFFSET(DelPoint,0,F3+2),0))</f>
        <v>170</v>
      </c>
      <c r="G29" s="221">
        <f t="array" aca="1" ref="G29" ca="1">SUM(IF((DelPoint= "PV")*(DType = "pre")*(OFFSET(DelPoint,0,G3+2)&gt;0),OFFSET(DelPoint,0,G3+2),0))</f>
        <v>155</v>
      </c>
      <c r="H29" s="221">
        <f t="array" aca="1" ref="H29" ca="1">SUM(IF((DelPoint= "PV")*(DType = "pre")*(OFFSET(DelPoint,0,H3+2)&gt;0),OFFSET(DelPoint,0,H3+2),0))</f>
        <v>100</v>
      </c>
      <c r="I29" s="221">
        <f t="array" aca="1" ref="I29" ca="1">SUM(IF((DelPoint= "PV")*(DType = "pre")*(OFFSET(DelPoint,0,I3+2)&gt;0),OFFSET(DelPoint,0,I3+2),0))</f>
        <v>50</v>
      </c>
      <c r="J29" s="221">
        <f t="array" aca="1" ref="J29" ca="1">SUM(IF((DelPoint= "PV")*(DType = "pre")*(OFFSET(DelPoint,0,J3+2)&gt;0),OFFSET(DelPoint,0,J3+2),0))</f>
        <v>35</v>
      </c>
      <c r="K29" s="221">
        <f t="array" aca="1" ref="K29" ca="1">SUM(IF((DelPoint= "PV")*(DType = "pre")*(OFFSET(DelPoint,0,K3+2)&gt;0),OFFSET(DelPoint,0,K3+2),0))</f>
        <v>20</v>
      </c>
      <c r="L29" s="221">
        <f t="array" aca="1" ref="L29" ca="1">SUM(IF((DelPoint= "PV")*(DType = "pre")*(OFFSET(DelPoint,0,L3+2)&gt;0),OFFSET(DelPoint,0,L3+2),0))</f>
        <v>0</v>
      </c>
      <c r="M29" s="221">
        <f t="array" aca="1" ref="M29" ca="1">SUM(IF((DelPoint= "PV")*(DType = "pre")*(OFFSET(DelPoint,0,M3+2)&gt;0),OFFSET(DelPoint,0,M3+2),0))</f>
        <v>0</v>
      </c>
      <c r="N29" s="221">
        <f t="array" aca="1" ref="N29" ca="1">SUM(IF((DelPoint= "PV")*(DType = "pre")*(OFFSET(DelPoint,0,N3+2)&gt;0),OFFSET(DelPoint,0,N3+2),0))</f>
        <v>0</v>
      </c>
      <c r="O29" s="221">
        <f t="array" aca="1" ref="O29" ca="1">SUM(IF((DelPoint= "PV")*(DType = "pre")*(OFFSET(DelPoint,0,O3+2)&gt;0),OFFSET(DelPoint,0,O3+2),0))</f>
        <v>0</v>
      </c>
      <c r="P29" s="221">
        <f t="array" aca="1" ref="P29" ca="1">SUM(IF((DelPoint= "PV")*(DType = "pre")*(OFFSET(DelPoint,0,P3+2)&gt;0),OFFSET(DelPoint,0,P3+2),0))</f>
        <v>0</v>
      </c>
      <c r="Q29" s="221">
        <f t="array" aca="1" ref="Q29" ca="1">SUM(IF((DelPoint= "PV")*(DType = "pre")*(OFFSET(DelPoint,0,Q3+2)&gt;0),OFFSET(DelPoint,0,Q3+2),0))</f>
        <v>20</v>
      </c>
      <c r="R29" s="221">
        <f t="array" aca="1" ref="R29" ca="1">SUM(IF((DelPoint= "PV")*(DType = "pre")*(OFFSET(DelPoint,0,R3+2)&gt;0),OFFSET(DelPoint,0,R3+2),0))</f>
        <v>20</v>
      </c>
      <c r="S29" s="221">
        <f t="array" aca="1" ref="S29" ca="1">SUM(IF((DelPoint= "PV")*(DType = "pre")*(OFFSET(DelPoint,0,S3+2)&gt;0),OFFSET(DelPoint,0,S3+2),0))</f>
        <v>0</v>
      </c>
      <c r="T29" s="221">
        <f t="array" aca="1" ref="T29" ca="1">SUM(IF((DelPoint= "PV")*(DType = "pre")*(OFFSET(DelPoint,0,T3+2)&gt;0),OFFSET(DelPoint,0,T3+2),0))</f>
        <v>0</v>
      </c>
      <c r="U29" s="221">
        <f t="array" aca="1" ref="U29" ca="1">SUM(IF((DelPoint= "PV")*(DType = "pre")*(OFFSET(DelPoint,0,U3+2)&gt;0),OFFSET(DelPoint,0,U3+2),0))</f>
        <v>0</v>
      </c>
      <c r="V29" s="221">
        <f t="array" aca="1" ref="V29" ca="1">SUM(IF((DelPoint= "PV")*(DType = "pre")*(OFFSET(DelPoint,0,V3+2)&gt;0),OFFSET(DelPoint,0,V3+2),0))</f>
        <v>0</v>
      </c>
      <c r="W29" s="221">
        <f t="array" aca="1" ref="W29" ca="1">SUM(IF((DelPoint= "PV")*(DType = "pre")*(OFFSET(DelPoint,0,W3+2)&gt;0),OFFSET(DelPoint,0,W3+2),0))</f>
        <v>60</v>
      </c>
      <c r="X29" s="221">
        <f t="array" aca="1" ref="X29" ca="1">SUM(IF((DelPoint= "PV")*(DType = "pre")*(OFFSET(DelPoint,0,X3+2)&gt;0),OFFSET(DelPoint,0,X3+2),0))</f>
        <v>75</v>
      </c>
      <c r="Y29" s="601">
        <f t="array" aca="1" ref="Y29" ca="1">SUM(IF((DelPoint= "PV")*(DType = "pre")*(OFFSET(DelPoint,0,Y3+2)&gt;0),OFFSET(DelPoint,0,Y3+2),0))</f>
        <v>150</v>
      </c>
      <c r="Z29" s="180"/>
      <c r="AA29" s="182"/>
    </row>
    <row r="30" spans="1:27" s="181" customFormat="1" ht="11.4" x14ac:dyDescent="0.2">
      <c r="A30" s="585" t="s">
        <v>126</v>
      </c>
      <c r="B30" s="221">
        <f t="shared" ref="B30:H30" ca="1" si="2">SUMIF(OFFSET(PVBalancingVol,B$3,0),"&gt;0")</f>
        <v>0</v>
      </c>
      <c r="C30" s="222">
        <f t="shared" ca="1" si="2"/>
        <v>0</v>
      </c>
      <c r="D30" s="222">
        <f t="shared" ca="1" si="2"/>
        <v>0</v>
      </c>
      <c r="E30" s="222">
        <f t="shared" ca="1" si="2"/>
        <v>0</v>
      </c>
      <c r="F30" s="222">
        <f t="shared" ca="1" si="2"/>
        <v>0</v>
      </c>
      <c r="G30" s="231">
        <f t="shared" ca="1" si="2"/>
        <v>0</v>
      </c>
      <c r="H30" s="222">
        <f t="shared" ca="1" si="2"/>
        <v>0</v>
      </c>
      <c r="I30" s="647">
        <f t="array" aca="1" ref="I30" ca="1">SUM(IF((DelPoint= "4C")*(DType = "pre")*(OFFSET(DelPoint,0,I7+2)&gt;0),OFFSET(DelPoint,0,I7+2),0))</f>
        <v>0</v>
      </c>
      <c r="J30" s="222">
        <f t="shared" ref="J30:Y30" ca="1" si="3">SUMIF(OFFSET(PVBalancingVol,J$3,0),"&gt;0")</f>
        <v>0</v>
      </c>
      <c r="K30" s="222">
        <f t="shared" ca="1" si="3"/>
        <v>0</v>
      </c>
      <c r="L30" s="222">
        <f t="shared" ca="1" si="3"/>
        <v>0</v>
      </c>
      <c r="M30" s="222">
        <f t="shared" ca="1" si="3"/>
        <v>0</v>
      </c>
      <c r="N30" s="222">
        <f t="shared" ca="1" si="3"/>
        <v>0</v>
      </c>
      <c r="O30" s="222">
        <f t="shared" ca="1" si="3"/>
        <v>0</v>
      </c>
      <c r="P30" s="222">
        <f t="shared" ca="1" si="3"/>
        <v>0</v>
      </c>
      <c r="Q30" s="222">
        <f t="shared" ca="1" si="3"/>
        <v>0</v>
      </c>
      <c r="R30" s="222">
        <f t="shared" ca="1" si="3"/>
        <v>0</v>
      </c>
      <c r="S30" s="222">
        <f t="shared" ca="1" si="3"/>
        <v>0</v>
      </c>
      <c r="T30" s="222">
        <f t="shared" ca="1" si="3"/>
        <v>0</v>
      </c>
      <c r="U30" s="222">
        <f t="shared" ca="1" si="3"/>
        <v>0</v>
      </c>
      <c r="V30" s="222">
        <f t="shared" ca="1" si="3"/>
        <v>0</v>
      </c>
      <c r="W30" s="222">
        <f t="shared" ca="1" si="3"/>
        <v>0</v>
      </c>
      <c r="X30" s="222">
        <f t="shared" ca="1" si="3"/>
        <v>0</v>
      </c>
      <c r="Y30" s="586">
        <f t="shared" ca="1" si="3"/>
        <v>0</v>
      </c>
      <c r="Z30" s="180"/>
      <c r="AA30" s="182"/>
    </row>
    <row r="31" spans="1:27" s="181" customFormat="1" ht="11.4" x14ac:dyDescent="0.2">
      <c r="A31" s="587" t="s">
        <v>127</v>
      </c>
      <c r="B31" s="673">
        <f t="array" aca="1" ref="B31" ca="1">SUM(IF((DelPoint= "PV")*IF((DType = "firm")+(DType = "econ")&gt;0,1,0)*(OFFSET(DelPoint,0,B3+2)&gt;0),OFFSET(DelPoint,0,B3+2),0))</f>
        <v>50</v>
      </c>
      <c r="C31" s="673">
        <f t="array" aca="1" ref="C31" ca="1">SUM(IF((DelPoint= "PV")*IF((DType = "firm")+(DType = "econ")&gt;0,1,0)*(OFFSET(DelPoint,0,C3+2)&gt;0),OFFSET(DelPoint,0,C3+2),0))</f>
        <v>0</v>
      </c>
      <c r="D31" s="223">
        <f t="array" aca="1" ref="D31" ca="1">SUM(IF((DelPoint= "PV")*IF((DType = "firm")+(DType = "econ")&gt;0,1,0)*(OFFSET(DelPoint,0,D3+2)&gt;0),OFFSET(DelPoint,0,D3+2),0))</f>
        <v>0</v>
      </c>
      <c r="E31" s="223">
        <f t="array" aca="1" ref="E31" ca="1">SUM(IF((DelPoint= "PV")*IF((DType = "firm")+(DType = "econ")&gt;0,1,0)*(OFFSET(DelPoint,0,E3+2)&gt;0),OFFSET(DelPoint,0,E3+2),0))</f>
        <v>0</v>
      </c>
      <c r="F31" s="223">
        <f t="array" aca="1" ref="F31" ca="1">SUM(IF((DelPoint= "PV")*IF((DType = "firm")+(DType = "econ")&gt;0,1,0)*(OFFSET(DelPoint,0,F3+2)&gt;0),OFFSET(DelPoint,0,F3+2),0))</f>
        <v>0</v>
      </c>
      <c r="G31" s="223">
        <f t="array" aca="1" ref="G31" ca="1">SUM(IF((DelPoint= "PV")*IF((DType = "firm")+(DType = "econ")&gt;0,1,0)*(OFFSET(DelPoint,0,G3+2)&gt;0),OFFSET(DelPoint,0,G3+2),0))</f>
        <v>0</v>
      </c>
      <c r="H31" s="223">
        <f t="array" aca="1" ref="H31" ca="1">SUM(IF((DelPoint= "PV")*IF((DType = "firm")+(DType = "econ")&gt;0,1,0)*(OFFSET(DelPoint,0,H3+2)&gt;0),OFFSET(DelPoint,0,H3+2),0))</f>
        <v>0</v>
      </c>
      <c r="I31" s="223">
        <f t="array" aca="1" ref="I31" ca="1">SUM(IF((DelPoint= "PV")*IF((DType = "firm")+(DType = "econ")&gt;0,1,0)*(OFFSET(DelPoint,0,I3+2)&gt;0),OFFSET(DelPoint,0,I3+2),0))</f>
        <v>75</v>
      </c>
      <c r="J31" s="223">
        <f t="array" aca="1" ref="J31" ca="1">SUM(IF((DelPoint= "PV")*IF((DType = "firm")+(DType = "econ")&gt;0,1,0)*(OFFSET(DelPoint,0,J3+2)&gt;0),OFFSET(DelPoint,0,J3+2),0))</f>
        <v>100</v>
      </c>
      <c r="K31" s="223">
        <f t="array" aca="1" ref="K31" ca="1">SUM(IF((DelPoint= "PV")*IF((DType = "firm")+(DType = "econ")&gt;0,1,0)*(OFFSET(DelPoint,0,K3+2)&gt;0),OFFSET(DelPoint,0,K3+2),0))</f>
        <v>100</v>
      </c>
      <c r="L31" s="223">
        <f t="array" aca="1" ref="L31" ca="1">SUM(IF((DelPoint= "PV")*IF((DType = "firm")+(DType = "econ")&gt;0,1,0)*(OFFSET(DelPoint,0,L3+2)&gt;0),OFFSET(DelPoint,0,L3+2),0))</f>
        <v>100</v>
      </c>
      <c r="M31" s="223">
        <f t="array" aca="1" ref="M31" ca="1">SUM(IF((DelPoint= "PV")*IF((DType = "firm")+(DType = "econ")&gt;0,1,0)*(OFFSET(DelPoint,0,M3+2)&gt;0),OFFSET(DelPoint,0,M3+2),0))</f>
        <v>100</v>
      </c>
      <c r="N31" s="223">
        <f t="array" aca="1" ref="N31" ca="1">SUM(IF((DelPoint= "PV")*IF((DType = "firm")+(DType = "econ")&gt;0,1,0)*(OFFSET(DelPoint,0,N3+2)&gt;0),OFFSET(DelPoint,0,N3+2),0))</f>
        <v>100</v>
      </c>
      <c r="O31" s="223">
        <f t="array" aca="1" ref="O31" ca="1">SUM(IF((DelPoint= "PV")*IF((DType = "firm")+(DType = "econ")&gt;0,1,0)*(OFFSET(DelPoint,0,O3+2)&gt;0),OFFSET(DelPoint,0,O3+2),0))</f>
        <v>100</v>
      </c>
      <c r="P31" s="223">
        <f t="array" aca="1" ref="P31" ca="1">SUM(IF((DelPoint= "PV")*IF((DType = "firm")+(DType = "econ")&gt;0,1,0)*(OFFSET(DelPoint,0,P3+2)&gt;0),OFFSET(DelPoint,0,P3+2),0))</f>
        <v>100</v>
      </c>
      <c r="Q31" s="223">
        <f t="array" aca="1" ref="Q31" ca="1">SUM(IF((DelPoint= "PV")*IF((DType = "firm")+(DType = "econ")&gt;0,1,0)*(OFFSET(DelPoint,0,Q3+2)&gt;0),OFFSET(DelPoint,0,Q3+2),0))</f>
        <v>100</v>
      </c>
      <c r="R31" s="223">
        <f t="array" aca="1" ref="R31" ca="1">SUM(IF((DelPoint= "PV")*IF((DType = "firm")+(DType = "econ")&gt;0,1,0)*(OFFSET(DelPoint,0,R3+2)&gt;0),OFFSET(DelPoint,0,R3+2),0))</f>
        <v>150</v>
      </c>
      <c r="S31" s="223">
        <f t="array" aca="1" ref="S31" ca="1">SUM(IF((DelPoint= "PV")*IF((DType = "firm")+(DType = "econ")&gt;0,1,0)*(OFFSET(DelPoint,0,S3+2)&gt;0),OFFSET(DelPoint,0,S3+2),0))</f>
        <v>150</v>
      </c>
      <c r="T31" s="223">
        <f t="array" aca="1" ref="T31" ca="1">SUM(IF((DelPoint= "PV")*IF((DType = "firm")+(DType = "econ")&gt;0,1,0)*(OFFSET(DelPoint,0,T3+2)&gt;0),OFFSET(DelPoint,0,T3+2),0))</f>
        <v>100</v>
      </c>
      <c r="U31" s="223">
        <f t="array" aca="1" ref="U31" ca="1">SUM(IF((DelPoint= "PV")*IF((DType = "firm")+(DType = "econ")&gt;0,1,0)*(OFFSET(DelPoint,0,U3+2)&gt;0),OFFSET(DelPoint,0,U3+2),0))</f>
        <v>100</v>
      </c>
      <c r="V31" s="223">
        <f t="array" aca="1" ref="V31" ca="1">SUM(IF((DelPoint= "PV")*IF((DType = "firm")+(DType = "econ")&gt;0,1,0)*(OFFSET(DelPoint,0,V3+2)&gt;0),OFFSET(DelPoint,0,V3+2),0))</f>
        <v>100</v>
      </c>
      <c r="W31" s="223">
        <f t="array" aca="1" ref="W31" ca="1">SUM(IF((DelPoint= "PV")*IF((DType = "firm")+(DType = "econ")&gt;0,1,0)*(OFFSET(DelPoint,0,W3+2)&gt;0),OFFSET(DelPoint,0,W3+2),0))</f>
        <v>100</v>
      </c>
      <c r="X31" s="223">
        <f t="array" aca="1" ref="X31" ca="1">SUM(IF((DelPoint= "PV")*IF((DType = "firm")+(DType = "econ")&gt;0,1,0)*(OFFSET(DelPoint,0,X3+2)&gt;0),OFFSET(DelPoint,0,X3+2),0))</f>
        <v>50</v>
      </c>
      <c r="Y31" s="588">
        <f t="array" aca="1" ref="Y31" ca="1">SUM(IF((DelPoint= "PV")*IF((DType = "firm")+(DType = "econ")&gt;0,1,0)*(OFFSET(DelPoint,0,Y3+2)&gt;0),OFFSET(DelPoint,0,Y3+2),0))</f>
        <v>0</v>
      </c>
      <c r="Z31" s="180"/>
      <c r="AA31" s="182"/>
    </row>
    <row r="32" spans="1:27" s="181" customFormat="1" ht="11.4" x14ac:dyDescent="0.2">
      <c r="A32" s="589" t="s">
        <v>272</v>
      </c>
      <c r="B32" s="458">
        <f t="array" aca="1" ref="B32" ca="1">SUM(IF((DelPoint= "hidalgo")*(DType = "pre")*(OFFSET(DelPoint,0,B3+2)&gt;0),OFFSET(DelPoint,0,B3+2),0))</f>
        <v>0</v>
      </c>
      <c r="C32" s="459">
        <f t="array" aca="1" ref="C32" ca="1">SUM(IF((DelPoint= "hidalgo")*(DType = "pre")*(OFFSET(DelPoint,0,C3+2)&gt;0),OFFSET(DelPoint,0,C3+2),0))</f>
        <v>0</v>
      </c>
      <c r="D32" s="459"/>
      <c r="E32" s="459">
        <f t="array" aca="1" ref="E32" ca="1">SUM(IF((DelPoint= "hidalgo")*(DType = "pre")*(OFFSET(DelPoint,0,E3+2)&gt;0),OFFSET(DelPoint,0,E3+2),0))</f>
        <v>0</v>
      </c>
      <c r="F32" s="459">
        <f t="array" aca="1" ref="F32" ca="1">SUM(IF((DelPoint= "hidalgo")*(DType = "pre")*(OFFSET(DelPoint,0,F3+2)&gt;0),OFFSET(DelPoint,0,F3+2),0))</f>
        <v>0</v>
      </c>
      <c r="G32" s="459">
        <f t="array" aca="1" ref="G32" ca="1">SUM(IF((DelPoint= "hidalgo")*(DType = "pre")*(OFFSET(DelPoint,0,G3+2)&gt;0),OFFSET(DelPoint,0,G3+2),0))</f>
        <v>0</v>
      </c>
      <c r="H32" s="459">
        <f t="array" aca="1" ref="H32" ca="1">SUM(IF((DelPoint= "hidalgo")*(DType = "pre")*(OFFSET(DelPoint,0,H3+2)&gt;0),OFFSET(DelPoint,0,H3+2),0))</f>
        <v>0</v>
      </c>
      <c r="I32" s="458">
        <f t="array" aca="1" ref="I32" ca="1">SUM(IF((DelPoint= "4C")*(DType = "pre")*(OFFSET(DelPoint,0,I9+2)&gt;0),OFFSET(DelPoint,0,I9+2),0))</f>
        <v>0</v>
      </c>
      <c r="J32" s="459">
        <f t="array" aca="1" ref="J32" ca="1">SUM(IF((DelPoint= "hidalgo")*(DType = "pre")*(OFFSET(DelPoint,0,J3+2)&gt;0),OFFSET(DelPoint,0,J3+2),0))</f>
        <v>0</v>
      </c>
      <c r="K32" s="459">
        <f t="array" aca="1" ref="K32" ca="1">SUM(IF((DelPoint= "hidalgo")*(DType = "pre")*(OFFSET(DelPoint,0,K3+2)&gt;0),OFFSET(DelPoint,0,K3+2),0))</f>
        <v>0</v>
      </c>
      <c r="L32" s="459">
        <f t="array" aca="1" ref="L32" ca="1">SUM(IF((DelPoint= "hidalgo")*(DType = "pre")*(OFFSET(DelPoint,0,L3+2)&gt;0),OFFSET(DelPoint,0,L3+2),0))</f>
        <v>0</v>
      </c>
      <c r="M32" s="459">
        <f t="array" aca="1" ref="M32" ca="1">SUM(IF((DelPoint= "hidalgo")*(DType = "pre")*(OFFSET(DelPoint,0,M3+2)&gt;0),OFFSET(DelPoint,0,M3+2),0))</f>
        <v>0</v>
      </c>
      <c r="N32" s="459">
        <f t="array" aca="1" ref="N32" ca="1">SUM(IF((DelPoint= "hidalgo")*(DType = "pre")*(OFFSET(DelPoint,0,N3+2)&gt;0),OFFSET(DelPoint,0,N3+2),0))</f>
        <v>0</v>
      </c>
      <c r="O32" s="459">
        <f t="array" aca="1" ref="O32" ca="1">SUM(IF((DelPoint= "hidalgo")*(DType = "pre")*(OFFSET(DelPoint,0,O3+2)&gt;0),OFFSET(DelPoint,0,O3+2),0))</f>
        <v>0</v>
      </c>
      <c r="P32" s="459">
        <f t="array" aca="1" ref="P32" ca="1">SUM(IF((DelPoint= "hidalgo")*(DType = "pre")*(OFFSET(DelPoint,0,P3+2)&gt;0),OFFSET(DelPoint,0,P3+2),0))</f>
        <v>0</v>
      </c>
      <c r="Q32" s="459">
        <f t="array" aca="1" ref="Q32" ca="1">SUM(IF((DelPoint= "hidalgo")*(DType = "pre")*(OFFSET(DelPoint,0,Q3+2)&gt;0),OFFSET(DelPoint,0,Q3+2),0))</f>
        <v>0</v>
      </c>
      <c r="R32" s="459">
        <f t="array" aca="1" ref="R32" ca="1">SUM(IF((DelPoint= "hidalgo")*(DType = "pre")*(OFFSET(DelPoint,0,R3+2)&gt;0),OFFSET(DelPoint,0,R3+2),0))</f>
        <v>0</v>
      </c>
      <c r="S32" s="459">
        <f t="array" aca="1" ref="S32" ca="1">SUM(IF((DelPoint= "hidalgo")*(DType = "pre")*(OFFSET(DelPoint,0,S3+2)&gt;0),OFFSET(DelPoint,0,S3+2),0))</f>
        <v>0</v>
      </c>
      <c r="T32" s="459">
        <f t="array" aca="1" ref="T32" ca="1">SUM(IF((DelPoint= "hidalgo")*(DType = "pre")*(OFFSET(DelPoint,0,T3+2)&gt;0),OFFSET(DelPoint,0,T3+2),0))</f>
        <v>0</v>
      </c>
      <c r="U32" s="459">
        <f t="array" aca="1" ref="U32" ca="1">SUM(IF((DelPoint= "hidalgo")*(DType = "pre")*(OFFSET(DelPoint,0,U3+2)&gt;0),OFFSET(DelPoint,0,U3+2),0))</f>
        <v>0</v>
      </c>
      <c r="V32" s="459">
        <f t="array" aca="1" ref="V32" ca="1">SUM(IF((DelPoint= "hidalgo")*(DType = "pre")*(OFFSET(DelPoint,0,V3+2)&gt;0),OFFSET(DelPoint,0,V3+2),0))</f>
        <v>0</v>
      </c>
      <c r="W32" s="459">
        <f t="array" aca="1" ref="W32" ca="1">SUM(IF((DelPoint= "hidalgo")*(DType = "pre")*(OFFSET(DelPoint,0,W3+2)&gt;0),OFFSET(DelPoint,0,W3+2),0))</f>
        <v>0</v>
      </c>
      <c r="X32" s="459">
        <f t="array" aca="1" ref="X32" ca="1">SUM(IF((DelPoint= "hidalgo")*(DType = "pre")*(OFFSET(DelPoint,0,X3+2)&gt;0),OFFSET(DelPoint,0,X3+2),0))</f>
        <v>0</v>
      </c>
      <c r="Y32" s="591">
        <f t="array" aca="1" ref="Y32" ca="1">SUM(IF((DelPoint= "hidalgo")*(DType = "pre")*(OFFSET(DelPoint,0,Y3+2)&gt;0),OFFSET(DelPoint,0,Y3+2),0))</f>
        <v>0</v>
      </c>
      <c r="Z32" s="180"/>
      <c r="AA32" s="182"/>
    </row>
    <row r="33" spans="1:33" s="181" customFormat="1" ht="11.4" x14ac:dyDescent="0.2">
      <c r="A33" s="589"/>
      <c r="B33" s="458"/>
      <c r="C33" s="459"/>
      <c r="D33" s="458"/>
      <c r="E33" s="458"/>
      <c r="F33" s="458"/>
      <c r="G33" s="458"/>
      <c r="H33" s="458"/>
      <c r="I33" s="458"/>
      <c r="J33" s="458"/>
      <c r="K33" s="458"/>
      <c r="L33" s="458"/>
      <c r="M33" s="458"/>
      <c r="N33" s="458"/>
      <c r="O33" s="458"/>
      <c r="P33" s="458"/>
      <c r="Q33" s="458"/>
      <c r="R33" s="458"/>
      <c r="S33" s="458"/>
      <c r="T33" s="458"/>
      <c r="U33" s="458"/>
      <c r="V33" s="458"/>
      <c r="W33" s="458"/>
      <c r="X33" s="458"/>
      <c r="Y33" s="590"/>
      <c r="Z33" s="180"/>
      <c r="AA33" s="182"/>
    </row>
    <row r="34" spans="1:33" s="181" customFormat="1" ht="12" thickBot="1" x14ac:dyDescent="0.25">
      <c r="A34" s="602" t="s">
        <v>273</v>
      </c>
      <c r="B34" s="603">
        <f t="array" aca="1" ref="B34" ca="1">SUM(IF((DelPoint= "hidalgo")*IF((DType = "firm")+(DType = "econ")&gt;0,1,0)*(OFFSET(DelPoint,0,B3+2)&gt;0),OFFSET(DelPoint,0,B3+2),0))</f>
        <v>0</v>
      </c>
      <c r="C34" s="604">
        <f t="array" aca="1" ref="C34" ca="1">SUM(IF((DelPoint= "hidalgo")*IF((DType = "firm")+(DType = "econ")&gt;0,1,0)*(OFFSET(DelPoint,0,C3+2)&gt;0),OFFSET(DelPoint,0,C3+2),0))</f>
        <v>0</v>
      </c>
      <c r="D34" s="603">
        <f t="array" aca="1" ref="D34" ca="1">SUM(IF((DelPoint= "hidalgo")*IF((DType = "firm")+(DType = "econ")&gt;0,1,0)*(OFFSET(DelPoint,0,D3+2)&gt;0),OFFSET(DelPoint,0,D3+2),0))</f>
        <v>0</v>
      </c>
      <c r="E34" s="603">
        <f t="array" aca="1" ref="E34" ca="1">SUM(IF((DelPoint= "hidalgo")*IF((DType = "firm")+(DType = "econ")&gt;0,1,0)*(OFFSET(DelPoint,0,E3+2)&gt;0),OFFSET(DelPoint,0,E3+2),0))</f>
        <v>0</v>
      </c>
      <c r="F34" s="603">
        <f t="array" aca="1" ref="F34" ca="1">SUM(IF((DelPoint= "hidalgo")*IF((DType = "firm")+(DType = "econ")&gt;0,1,0)*(OFFSET(DelPoint,0,F3+2)&gt;0),OFFSET(DelPoint,0,F3+2),0))</f>
        <v>0</v>
      </c>
      <c r="G34" s="603">
        <f t="array" aca="1" ref="G34" ca="1">SUM(IF((DelPoint= "hidalgo")*IF((DType = "firm")+(DType = "econ")&gt;0,1,0)*(OFFSET(DelPoint,0,G3+2)&gt;0),OFFSET(DelPoint,0,G3+2),0))</f>
        <v>0</v>
      </c>
      <c r="H34" s="603">
        <f t="array" aca="1" ref="H34" ca="1">SUM(IF((DelPoint= "hidalgo")*IF((DType = "firm")+(DType = "econ")&gt;0,1,0)*(OFFSET(DelPoint,0,H3+2)&gt;0),OFFSET(DelPoint,0,H3+2),0))</f>
        <v>0</v>
      </c>
      <c r="I34" s="603">
        <f t="array" aca="1" ref="I34" ca="1">SUM(IF((DelPoint= "hidalgo")*IF((DType = "firm")+(DType = "econ")&gt;0,1,0)*(OFFSET(DelPoint,0,I3+2)&gt;0),OFFSET(DelPoint,0,I3+2),0))</f>
        <v>0</v>
      </c>
      <c r="J34" s="603">
        <f t="array" aca="1" ref="J34" ca="1">SUM(IF((DelPoint= "hidalgo")*IF((DType = "firm")+(DType = "econ")&gt;0,1,0)*(OFFSET(DelPoint,0,J3+2)&gt;0),OFFSET(DelPoint,0,J3+2),0))</f>
        <v>0</v>
      </c>
      <c r="K34" s="603">
        <f t="array" aca="1" ref="K34" ca="1">SUM(IF((DelPoint= "hidalgo")*IF((DType = "firm")+(DType = "econ")&gt;0,1,0)*(OFFSET(DelPoint,0,K3+2)&gt;0),OFFSET(DelPoint,0,K3+2),0))</f>
        <v>0</v>
      </c>
      <c r="L34" s="603">
        <f t="array" aca="1" ref="L34" ca="1">SUM(IF((DelPoint= "hidalgo")*IF((DType = "firm")+(DType = "econ")&gt;0,1,0)*(OFFSET(DelPoint,0,L3+2)&gt;0),OFFSET(DelPoint,0,L3+2),0))</f>
        <v>0</v>
      </c>
      <c r="M34" s="603">
        <f t="array" aca="1" ref="M34" ca="1">SUM(IF((DelPoint= "hidalgo")*IF((DType = "firm")+(DType = "econ")&gt;0,1,0)*(OFFSET(DelPoint,0,M3+2)&gt;0),OFFSET(DelPoint,0,M3+2),0))</f>
        <v>0</v>
      </c>
      <c r="N34" s="603">
        <f t="array" aca="1" ref="N34" ca="1">SUM(IF((DelPoint= "hidalgo")*IF((DType = "firm")+(DType = "econ")&gt;0,1,0)*(OFFSET(DelPoint,0,N3+2)&gt;0),OFFSET(DelPoint,0,N3+2),0))</f>
        <v>0</v>
      </c>
      <c r="O34" s="603">
        <f t="array" aca="1" ref="O34" ca="1">SUM(IF((DelPoint= "hidalgo")*IF((DType = "firm")+(DType = "econ")&gt;0,1,0)*(OFFSET(DelPoint,0,O3+2)&gt;0),OFFSET(DelPoint,0,O3+2),0))</f>
        <v>0</v>
      </c>
      <c r="P34" s="603">
        <f t="array" aca="1" ref="P34" ca="1">SUM(IF((DelPoint= "hidalgo")*IF((DType = "firm")+(DType = "econ")&gt;0,1,0)*(OFFSET(DelPoint,0,P3+2)&gt;0),OFFSET(DelPoint,0,P3+2),0))</f>
        <v>0</v>
      </c>
      <c r="Q34" s="603">
        <f t="array" aca="1" ref="Q34" ca="1">SUM(IF((DelPoint= "hidalgo")*IF((DType = "firm")+(DType = "econ")&gt;0,1,0)*(OFFSET(DelPoint,0,Q3+2)&gt;0),OFFSET(DelPoint,0,Q3+2),0))</f>
        <v>0</v>
      </c>
      <c r="R34" s="603">
        <f t="array" aca="1" ref="R34" ca="1">SUM(IF((DelPoint= "hidalgo")*IF((DType = "firm")+(DType = "econ")&gt;0,1,0)*(OFFSET(DelPoint,0,R3+2)&gt;0),OFFSET(DelPoint,0,R3+2),0))</f>
        <v>0</v>
      </c>
      <c r="S34" s="603">
        <f t="array" aca="1" ref="S34" ca="1">SUM(IF((DelPoint= "hidalgo")*IF((DType = "firm")+(DType = "econ")&gt;0,1,0)*(OFFSET(DelPoint,0,S3+2)&gt;0),OFFSET(DelPoint,0,S3+2),0))</f>
        <v>0</v>
      </c>
      <c r="T34" s="603">
        <f t="array" aca="1" ref="T34" ca="1">SUM(IF((DelPoint= "hidalgo")*IF((DType = "firm")+(DType = "econ")&gt;0,1,0)*(OFFSET(DelPoint,0,T3+2)&gt;0),OFFSET(DelPoint,0,T3+2),0))</f>
        <v>0</v>
      </c>
      <c r="U34" s="603">
        <f t="array" aca="1" ref="U34" ca="1">SUM(IF((DelPoint= "hidalgo")*IF((DType = "firm")+(DType = "econ")&gt;0,1,0)*(OFFSET(DelPoint,0,U3+2)&gt;0),OFFSET(DelPoint,0,U3+2),0))</f>
        <v>0</v>
      </c>
      <c r="V34" s="603">
        <f t="array" aca="1" ref="V34" ca="1">SUM(IF((DelPoint= "hidalgo")*IF((DType = "firm")+(DType = "econ")&gt;0,1,0)*(OFFSET(DelPoint,0,V3+2)&gt;0),OFFSET(DelPoint,0,V3+2),0))</f>
        <v>0</v>
      </c>
      <c r="W34" s="603">
        <f t="array" aca="1" ref="W34" ca="1">SUM(IF((DelPoint= "hidalgo")*IF((DType = "firm")+(DType = "econ")&gt;0,1,0)*(OFFSET(DelPoint,0,W3+2)&gt;0),OFFSET(DelPoint,0,W3+2),0))</f>
        <v>0</v>
      </c>
      <c r="X34" s="603">
        <f t="array" aca="1" ref="X34" ca="1">SUM(IF((DelPoint= "hidalgo")*IF((DType = "firm")+(DType = "econ")&gt;0,1,0)*(OFFSET(DelPoint,0,X3+2)&gt;0),OFFSET(DelPoint,0,X3+2),0))</f>
        <v>0</v>
      </c>
      <c r="Y34" s="605">
        <f t="array" aca="1" ref="Y34" ca="1">SUM(IF((DelPoint= "hidalgo")*IF((DType = "firm")+(DType = "econ")&gt;0,1,0)*(OFFSET(DelPoint,0,Y3+2)&gt;0),OFFSET(DelPoint,0,Y3+2),0))</f>
        <v>0</v>
      </c>
      <c r="Z34" s="180"/>
      <c r="AA34" s="182"/>
    </row>
    <row r="35" spans="1:33" s="181" customFormat="1" ht="11.4" x14ac:dyDescent="0.2">
      <c r="A35" s="593" t="s">
        <v>265</v>
      </c>
      <c r="B35" s="224">
        <f t="array" aca="1" ref="B35" ca="1">SUM(IF((DelPoint= "SPS")*(DType = "pre")*(OFFSET(DelPoint,0,B3+2)&gt;0),OFFSET(DelPoint,0,B3+2),0))</f>
        <v>0</v>
      </c>
      <c r="C35" s="225">
        <f t="array" aca="1" ref="C35" ca="1">SUM(IF((DelPoint= "SPS")*(DType = "pre")*(OFFSET(DelPoint,0,C3+2)&gt;0),OFFSET(DelPoint,0,C3+2),0))</f>
        <v>0</v>
      </c>
      <c r="D35" s="225">
        <f t="array" aca="1" ref="D35" ca="1">SUM(IF((DelPoint= "SPS")*(DType = "pre")*(OFFSET(DelPoint,0,D3+2)&gt;0),OFFSET(DelPoint,0,D3+2),0))</f>
        <v>0</v>
      </c>
      <c r="E35" s="225">
        <f t="array" aca="1" ref="E35" ca="1">SUM(IF((DelPoint= "SPS")*(DType = "pre")*(OFFSET(DelPoint,0,E3+2)&gt;0),OFFSET(DelPoint,0,E3+2),0))</f>
        <v>0</v>
      </c>
      <c r="F35" s="225">
        <f t="array" aca="1" ref="F35" ca="1">SUM(IF((DelPoint= "SPS")*(DType = "pre")*(OFFSET(DelPoint,0,F3+2)&gt;0),OFFSET(DelPoint,0,F3+2),0))</f>
        <v>0</v>
      </c>
      <c r="G35" s="225">
        <f t="array" aca="1" ref="G35" ca="1">SUM(IF((DelPoint= "SPS")*(DType = "pre")*(OFFSET(DelPoint,0,G3+2)&gt;0),OFFSET(DelPoint,0,G3+2),0))</f>
        <v>0</v>
      </c>
      <c r="H35" s="225">
        <f t="array" aca="1" ref="H35" ca="1">SUM(IF((DelPoint= "SPS")*(DType = "pre")*(OFFSET(DelPoint,0,H3+2)&gt;0),OFFSET(DelPoint,0,H3+2),0))</f>
        <v>0</v>
      </c>
      <c r="I35" s="225">
        <f t="array" aca="1" ref="I35" ca="1">SUM(IF((DelPoint= "SPS")*(DType = "pre")*(OFFSET(DelPoint,0,I3+2)&gt;0),OFFSET(DelPoint,0,I3+2),0))</f>
        <v>0</v>
      </c>
      <c r="J35" s="225"/>
      <c r="K35" s="225">
        <f t="array" aca="1" ref="K35" ca="1">SUM(IF((DelPoint= "SPS")*(DType = "pre")*(OFFSET(DelPoint,0,K3+2)&gt;0),OFFSET(DelPoint,0,K3+2),0))</f>
        <v>0</v>
      </c>
      <c r="L35" s="225">
        <f t="array" aca="1" ref="L35" ca="1">SUM(IF((DelPoint= "SPS")*(DType = "pre")*(OFFSET(DelPoint,0,L3+2)&gt;0),OFFSET(DelPoint,0,L3+2),0))</f>
        <v>0</v>
      </c>
      <c r="M35" s="225">
        <f t="array" aca="1" ref="M35" ca="1">SUM(IF((DelPoint= "SPS")*(DType = "pre")*(OFFSET(DelPoint,0,M3+2)&gt;0),OFFSET(DelPoint,0,M3+2),0))</f>
        <v>0</v>
      </c>
      <c r="N35" s="225">
        <f t="array" aca="1" ref="N35" ca="1">SUM(IF((DelPoint= "SPS")*(DType = "pre")*(OFFSET(DelPoint,0,N3+2)&gt;0),OFFSET(DelPoint,0,N3+2),0))</f>
        <v>0</v>
      </c>
      <c r="O35" s="225">
        <f t="array" aca="1" ref="O35" ca="1">SUM(IF((DelPoint= "SPS")*(DType = "pre")*(OFFSET(DelPoint,0,O3+2)&gt;0),OFFSET(DelPoint,0,O3+2),0))</f>
        <v>0</v>
      </c>
      <c r="P35" s="225">
        <f t="array" aca="1" ref="P35" ca="1">SUM(IF((DelPoint= "SPS")*(DType = "pre")*(OFFSET(DelPoint,0,P3+2)&gt;0),OFFSET(DelPoint,0,P3+2),0))</f>
        <v>0</v>
      </c>
      <c r="Q35" s="225">
        <f t="array" aca="1" ref="Q35" ca="1">SUM(IF((DelPoint= "SPS")*(DType = "pre")*(OFFSET(DelPoint,0,Q3+2)&gt;0),OFFSET(DelPoint,0,Q3+2),0))</f>
        <v>0</v>
      </c>
      <c r="R35" s="225">
        <f t="array" aca="1" ref="R35" ca="1">SUM(IF((DelPoint= "SPS")*(DType = "pre")*(OFFSET(DelPoint,0,R3+2)&gt;0),OFFSET(DelPoint,0,R3+2),0))</f>
        <v>0</v>
      </c>
      <c r="S35" s="225">
        <f t="array" aca="1" ref="S35" ca="1">SUM(IF((DelPoint= "SPS")*(DType = "pre")*(OFFSET(DelPoint,0,S3+2)&gt;0),OFFSET(DelPoint,0,S3+2),0))</f>
        <v>0</v>
      </c>
      <c r="T35" s="225">
        <f t="array" aca="1" ref="T35" ca="1">SUM(IF((DelPoint= "SPS")*(DType = "pre")*(OFFSET(DelPoint,0,T3+2)&gt;0),OFFSET(DelPoint,0,T3+2),0))</f>
        <v>0</v>
      </c>
      <c r="U35" s="225">
        <f t="array" aca="1" ref="U35" ca="1">SUM(IF((DelPoint= "SPS")*(DType = "pre")*(OFFSET(DelPoint,0,U3+2)&gt;0),OFFSET(DelPoint,0,U3+2),0))</f>
        <v>0</v>
      </c>
      <c r="V35" s="225">
        <f t="array" aca="1" ref="V35" ca="1">SUM(IF((DelPoint= "SPS")*(DType = "pre")*(OFFSET(DelPoint,0,V3+2)&gt;0),OFFSET(DelPoint,0,V3+2),0))</f>
        <v>0</v>
      </c>
      <c r="W35" s="225">
        <f t="array" aca="1" ref="W35" ca="1">SUM(IF((DelPoint= "SPS")*(DType = "pre")*(OFFSET(DelPoint,0,W3+2)&gt;0),OFFSET(DelPoint,0,W3+2),0))</f>
        <v>0</v>
      </c>
      <c r="X35" s="225">
        <f t="array" aca="1" ref="X35" ca="1">SUM(IF((DelPoint= "SPS")*(DType = "pre")*(OFFSET(DelPoint,0,X3+2)&gt;0),OFFSET(DelPoint,0,X3+2),0))</f>
        <v>0</v>
      </c>
      <c r="Y35" s="577">
        <f t="array" aca="1" ref="Y35" ca="1">SUM(IF((DelPoint= "SPS")*(DType = "pre")*(OFFSET(DelPoint,0,Y3+2)&gt;0),OFFSET(DelPoint,0,Y3+2),0))</f>
        <v>0</v>
      </c>
      <c r="Z35" s="180"/>
      <c r="AA35" s="182"/>
    </row>
    <row r="36" spans="1:33" s="181" customFormat="1" ht="11.4" x14ac:dyDescent="0.2">
      <c r="A36" s="593" t="s">
        <v>270</v>
      </c>
      <c r="B36" s="224">
        <f ca="1">SUMIF(OFFSET(SPSBalancingVol,B$3,0),"&gt;0")</f>
        <v>0</v>
      </c>
      <c r="C36" s="224">
        <f t="shared" ref="C36:I36" ca="1" si="4">SUMIF(OFFSET(SPSBalancingVol,C$3,0),"&gt;0")</f>
        <v>0</v>
      </c>
      <c r="D36" s="224">
        <f t="shared" ca="1" si="4"/>
        <v>0</v>
      </c>
      <c r="E36" s="224">
        <f t="shared" ca="1" si="4"/>
        <v>0</v>
      </c>
      <c r="F36" s="224">
        <f t="shared" ca="1" si="4"/>
        <v>0</v>
      </c>
      <c r="G36" s="224">
        <f t="shared" ca="1" si="4"/>
        <v>0</v>
      </c>
      <c r="H36" s="224">
        <f t="shared" ca="1" si="4"/>
        <v>0</v>
      </c>
      <c r="I36" s="224">
        <f t="shared" ca="1" si="4"/>
        <v>0</v>
      </c>
      <c r="J36" s="224">
        <f ca="1">SUMIF(OFFSET(SPSBalancingVol,J$3,0),"&gt;0")</f>
        <v>0</v>
      </c>
      <c r="K36" s="224">
        <f t="shared" ref="K36:Y36" ca="1" si="5">SUMIF(OFFSET(SPSBalancingVol,K$3,0),"&gt;0")</f>
        <v>0</v>
      </c>
      <c r="L36" s="224">
        <f t="shared" ca="1" si="5"/>
        <v>0</v>
      </c>
      <c r="M36" s="224">
        <f t="shared" ca="1" si="5"/>
        <v>0</v>
      </c>
      <c r="N36" s="224">
        <f t="shared" ca="1" si="5"/>
        <v>0</v>
      </c>
      <c r="O36" s="224">
        <f t="shared" ca="1" si="5"/>
        <v>0</v>
      </c>
      <c r="P36" s="224">
        <f t="shared" ca="1" si="5"/>
        <v>0</v>
      </c>
      <c r="Q36" s="224">
        <f t="shared" ca="1" si="5"/>
        <v>0</v>
      </c>
      <c r="R36" s="224">
        <f t="shared" ca="1" si="5"/>
        <v>0</v>
      </c>
      <c r="S36" s="224">
        <f t="shared" ca="1" si="5"/>
        <v>0</v>
      </c>
      <c r="T36" s="224">
        <f t="shared" ca="1" si="5"/>
        <v>0</v>
      </c>
      <c r="U36" s="224">
        <f t="shared" ca="1" si="5"/>
        <v>0</v>
      </c>
      <c r="V36" s="224">
        <f t="shared" ca="1" si="5"/>
        <v>0</v>
      </c>
      <c r="W36" s="224">
        <f t="shared" ca="1" si="5"/>
        <v>0</v>
      </c>
      <c r="X36" s="224">
        <f t="shared" ca="1" si="5"/>
        <v>0</v>
      </c>
      <c r="Y36" s="566">
        <f t="shared" ca="1" si="5"/>
        <v>0</v>
      </c>
      <c r="Z36" s="180"/>
      <c r="AA36" s="182"/>
    </row>
    <row r="37" spans="1:33" s="181" customFormat="1" ht="12" thickBot="1" x14ac:dyDescent="0.25">
      <c r="A37" s="593" t="s">
        <v>271</v>
      </c>
      <c r="B37" s="567"/>
      <c r="C37" s="567"/>
      <c r="D37" s="567"/>
      <c r="E37" s="567"/>
      <c r="F37" s="567"/>
      <c r="G37" s="567"/>
      <c r="H37" s="567"/>
      <c r="I37" s="567"/>
      <c r="J37" s="567"/>
      <c r="K37" s="567"/>
      <c r="L37" s="567">
        <f ca="1">SUM(IF((DelPoint= "SPS")*IF((DType = "firm")+(DType = "econ")&gt;0,1,0)*(OFFSET(DelPoint,0,L3+2)&gt;0),OFFSET(DelPoint,0,L3+2),0))</f>
        <v>0</v>
      </c>
      <c r="M37" s="567">
        <f t="array" aca="1" ref="M37" ca="1">SUM(IF((DelPoint= "SPS")*IF((DType = "firm")+(DType = "econ")&gt;0,1,0)*(OFFSET(DelPoint,0,M3+2)&gt;0),OFFSET(DelPoint,0,M3+2),0))</f>
        <v>0</v>
      </c>
      <c r="N37" s="567">
        <f t="array" aca="1" ref="N37" ca="1">SUM(IF((DelPoint= "SPS")*IF((DType = "firm")+(DType = "econ")&gt;0,1,0)*(OFFSET(DelPoint,0,N3+2)&gt;0),OFFSET(DelPoint,0,N3+2),0))</f>
        <v>0</v>
      </c>
      <c r="O37" s="567">
        <f t="array" aca="1" ref="O37" ca="1">SUM(IF((DelPoint= "SPS")*IF((DType = "firm")+(DType = "econ")&gt;0,1,0)*(OFFSET(DelPoint,0,O3+2)&gt;0),OFFSET(DelPoint,0,O3+2),0))</f>
        <v>0</v>
      </c>
      <c r="P37" s="567">
        <f t="array" aca="1" ref="P37" ca="1">SUM(IF((DelPoint= "SPS")*IF((DType = "firm")+(DType = "econ")&gt;0,1,0)*(OFFSET(DelPoint,0,P3+2)&gt;0),OFFSET(DelPoint,0,P3+2),0))</f>
        <v>0</v>
      </c>
      <c r="Q37" s="567">
        <f t="array" aca="1" ref="Q37" ca="1">SUM(IF((DelPoint= "SPS")*IF((DType = "firm")+(DType = "econ")&gt;0,1,0)*(OFFSET(DelPoint,0,Q3+2)&gt;0),OFFSET(DelPoint,0,Q3+2),0))</f>
        <v>0</v>
      </c>
      <c r="R37" s="567">
        <f t="array" aca="1" ref="R37" ca="1">SUM(IF((DelPoint= "SPS")*IF((DType = "firm")+(DType = "econ")&gt;0,1,0)*(OFFSET(DelPoint,0,R3+2)&gt;0),OFFSET(DelPoint,0,R3+2),0))</f>
        <v>0</v>
      </c>
      <c r="S37" s="567">
        <f t="array" aca="1" ref="S37" ca="1">SUM(IF((DelPoint= "SPS")*IF((DType = "firm")+(DType = "econ")&gt;0,1,0)*(OFFSET(DelPoint,0,S3+2)&gt;0),OFFSET(DelPoint,0,S3+2),0))</f>
        <v>0</v>
      </c>
      <c r="T37" s="567">
        <f t="array" aca="1" ref="T37" ca="1">SUM(IF((DelPoint= "SPS")*IF((DType = "firm")+(DType = "econ")&gt;0,1,0)*(OFFSET(DelPoint,0,T3+2)&gt;0),OFFSET(DelPoint,0,T3+2),0))</f>
        <v>0</v>
      </c>
      <c r="U37" s="567">
        <f t="array" aca="1" ref="U37" ca="1">SUM(IF((DelPoint= "SPS")*IF((DType = "firm")+(DType = "econ")&gt;0,1,0)*(OFFSET(DelPoint,0,U3+2)&gt;0),OFFSET(DelPoint,0,U3+2),0))</f>
        <v>0</v>
      </c>
      <c r="V37" s="567">
        <f t="array" aca="1" ref="V37" ca="1">SUM(IF((DelPoint= "SPS")*IF((DType = "firm")+(DType = "econ")&gt;0,1,0)*(OFFSET(DelPoint,0,V3+2)&gt;0),OFFSET(DelPoint,0,V3+2),0))</f>
        <v>0</v>
      </c>
      <c r="W37" s="567">
        <f t="array" aca="1" ref="W37" ca="1">SUM(IF((DelPoint= "SPS")*IF((DType = "firm")+(DType = "econ")&gt;0,1,0)*(OFFSET(DelPoint,0,W3+2)&gt;0),OFFSET(DelPoint,0,W3+2),0))</f>
        <v>0</v>
      </c>
      <c r="X37" s="567">
        <f t="array" aca="1" ref="X37" ca="1">SUM(IF((DelPoint= "SPS")*IF((DType = "firm")+(DType = "econ")&gt;0,1,0)*(OFFSET(DelPoint,0,X3+2)&gt;0),OFFSET(DelPoint,0,X3+2),0))</f>
        <v>0</v>
      </c>
      <c r="Y37" s="568">
        <f t="array" aca="1" ref="Y37" ca="1">SUM(IF((DelPoint= "SPS")*IF((DType = "firm")+(DType = "econ")&gt;0,1,0)*(OFFSET(DelPoint,0,Y3+2)&gt;0),OFFSET(DelPoint,0,Y3+2),0))</f>
        <v>0</v>
      </c>
      <c r="Z37" s="180"/>
      <c r="AA37" s="182"/>
    </row>
    <row r="38" spans="1:33" s="181" customFormat="1" ht="12.6" thickBot="1" x14ac:dyDescent="0.25">
      <c r="A38" s="620" t="s">
        <v>129</v>
      </c>
      <c r="B38" s="644">
        <f ca="1">SUM(B23:B37)+B4+B5</f>
        <v>1086</v>
      </c>
      <c r="C38" s="644">
        <f t="shared" ref="C38:H38" ca="1" si="6">SUM(C23:C37)+C4+C5</f>
        <v>987</v>
      </c>
      <c r="D38" s="644">
        <f t="shared" ca="1" si="6"/>
        <v>974</v>
      </c>
      <c r="E38" s="644">
        <f t="shared" ca="1" si="6"/>
        <v>978</v>
      </c>
      <c r="F38" s="644">
        <f t="shared" ca="1" si="6"/>
        <v>974</v>
      </c>
      <c r="G38" s="644">
        <f t="shared" ca="1" si="6"/>
        <v>1031</v>
      </c>
      <c r="H38" s="644">
        <f t="shared" ca="1" si="6"/>
        <v>1022</v>
      </c>
      <c r="I38" s="644">
        <f t="shared" ref="I38:Y38" ca="1" si="7">SUM(I23:I37)+I4+I5</f>
        <v>1004</v>
      </c>
      <c r="J38" s="644">
        <f ca="1">SUM(J23:J37)+J4+J5</f>
        <v>1026</v>
      </c>
      <c r="K38" s="644">
        <f ca="1">SUM(K23:K37)+K4+K5</f>
        <v>1061</v>
      </c>
      <c r="L38" s="644">
        <f ca="1">SUM(L23:L37)+L4+L5</f>
        <v>1065</v>
      </c>
      <c r="M38" s="644">
        <f ca="1">SUM(M23:M37)+M4+M5</f>
        <v>1024</v>
      </c>
      <c r="N38" s="644">
        <f ca="1">SUM(N23:N37)+N4+N5</f>
        <v>1024</v>
      </c>
      <c r="O38" s="644">
        <f t="shared" ca="1" si="7"/>
        <v>1009</v>
      </c>
      <c r="P38" s="644">
        <f ca="1">SUM(P23:P37)+P4+P5</f>
        <v>991</v>
      </c>
      <c r="Q38" s="644">
        <f ca="1">SUM(Q23:Q37)+Q4+Q5</f>
        <v>991</v>
      </c>
      <c r="R38" s="644">
        <f ca="1">SUM(R23:R37)+R4+R5</f>
        <v>1038</v>
      </c>
      <c r="S38" s="644">
        <f t="shared" ca="1" si="7"/>
        <v>1057</v>
      </c>
      <c r="T38" s="644">
        <f t="shared" ca="1" si="7"/>
        <v>1064</v>
      </c>
      <c r="U38" s="644">
        <f t="shared" ca="1" si="7"/>
        <v>1098</v>
      </c>
      <c r="V38" s="644">
        <f t="shared" ca="1" si="7"/>
        <v>1039</v>
      </c>
      <c r="W38" s="644">
        <f t="shared" ca="1" si="7"/>
        <v>1060</v>
      </c>
      <c r="X38" s="644">
        <f t="shared" ca="1" si="7"/>
        <v>984</v>
      </c>
      <c r="Y38" s="645">
        <f t="shared" ca="1" si="7"/>
        <v>981</v>
      </c>
      <c r="Z38" s="374"/>
      <c r="AA38" s="182"/>
    </row>
    <row r="39" spans="1:33" s="181" customFormat="1" ht="16.2" thickBot="1" x14ac:dyDescent="0.25">
      <c r="A39" s="682" t="s">
        <v>278</v>
      </c>
      <c r="B39" s="683"/>
      <c r="C39" s="684"/>
      <c r="D39" s="684"/>
      <c r="E39" s="684"/>
      <c r="F39" s="684"/>
      <c r="G39" s="684"/>
      <c r="H39" s="684"/>
      <c r="I39" s="684"/>
      <c r="J39" s="684"/>
      <c r="K39" s="684"/>
      <c r="L39" s="684"/>
      <c r="M39" s="684"/>
      <c r="N39" s="684"/>
      <c r="O39" s="684"/>
      <c r="P39" s="684"/>
      <c r="Q39" s="684"/>
      <c r="R39" s="684"/>
      <c r="S39" s="684"/>
      <c r="T39" s="684"/>
      <c r="U39" s="684"/>
      <c r="V39" s="684"/>
      <c r="W39" s="684"/>
      <c r="X39" s="684"/>
      <c r="Y39" s="685"/>
      <c r="Z39" s="180"/>
      <c r="AA39" s="182"/>
    </row>
    <row r="40" spans="1:33" s="181" customFormat="1" ht="12.6" thickTop="1" x14ac:dyDescent="0.2">
      <c r="A40" s="688"/>
      <c r="B40" s="689"/>
      <c r="C40" s="690"/>
      <c r="D40" s="690"/>
      <c r="E40" s="690"/>
      <c r="F40" s="690"/>
      <c r="G40" s="690"/>
      <c r="H40" s="690"/>
      <c r="I40" s="690"/>
      <c r="J40" s="690"/>
      <c r="K40" s="690"/>
      <c r="L40" s="690"/>
      <c r="M40" s="690"/>
      <c r="N40" s="690"/>
      <c r="O40" s="690"/>
      <c r="P40" s="690"/>
      <c r="Q40" s="690"/>
      <c r="R40" s="690"/>
      <c r="S40" s="690"/>
      <c r="T40" s="690"/>
      <c r="U40" s="690"/>
      <c r="V40" s="690"/>
      <c r="W40" s="690"/>
      <c r="X40" s="690"/>
      <c r="Y40" s="691"/>
      <c r="Z40" s="375" t="s">
        <v>130</v>
      </c>
      <c r="AA40" s="185" t="s">
        <v>131</v>
      </c>
      <c r="AF40" s="186"/>
      <c r="AG40" s="186"/>
    </row>
    <row r="41" spans="1:33" s="181" customFormat="1" ht="12.75" customHeight="1" x14ac:dyDescent="0.2">
      <c r="A41" s="692" t="s">
        <v>137</v>
      </c>
      <c r="B41" s="212">
        <v>38</v>
      </c>
      <c r="C41" s="212">
        <v>35</v>
      </c>
      <c r="D41" s="212">
        <v>35</v>
      </c>
      <c r="E41" s="212">
        <v>35</v>
      </c>
      <c r="F41" s="212">
        <v>35</v>
      </c>
      <c r="G41" s="212">
        <v>36</v>
      </c>
      <c r="H41" s="212">
        <v>35</v>
      </c>
      <c r="I41" s="212">
        <v>35</v>
      </c>
      <c r="J41" s="212">
        <v>35</v>
      </c>
      <c r="K41" s="212">
        <v>40</v>
      </c>
      <c r="L41" s="212">
        <v>36</v>
      </c>
      <c r="M41" s="212">
        <v>36</v>
      </c>
      <c r="N41" s="212">
        <v>36</v>
      </c>
      <c r="O41" s="212">
        <v>36</v>
      </c>
      <c r="P41" s="212">
        <v>36</v>
      </c>
      <c r="Q41" s="212">
        <v>36</v>
      </c>
      <c r="R41" s="212">
        <v>36</v>
      </c>
      <c r="S41" s="212">
        <v>36</v>
      </c>
      <c r="T41" s="212">
        <v>36</v>
      </c>
      <c r="U41" s="212">
        <v>60</v>
      </c>
      <c r="V41" s="212">
        <v>33</v>
      </c>
      <c r="W41" s="212">
        <v>32</v>
      </c>
      <c r="X41" s="212">
        <v>32</v>
      </c>
      <c r="Y41" s="693">
        <v>32</v>
      </c>
      <c r="Z41" s="376">
        <v>80</v>
      </c>
      <c r="AA41" s="236">
        <f ca="1">-Economics!D34/Economics!I34</f>
        <v>10310.138313137755</v>
      </c>
    </row>
    <row r="42" spans="1:33" s="181" customFormat="1" ht="15" customHeight="1" x14ac:dyDescent="0.2">
      <c r="A42" s="692" t="s">
        <v>138</v>
      </c>
      <c r="B42" s="212">
        <v>56</v>
      </c>
      <c r="C42" s="212">
        <v>38</v>
      </c>
      <c r="D42" s="212">
        <v>37</v>
      </c>
      <c r="E42" s="212">
        <v>44</v>
      </c>
      <c r="F42" s="212">
        <v>45</v>
      </c>
      <c r="G42" s="212">
        <v>39</v>
      </c>
      <c r="H42" s="212">
        <v>37</v>
      </c>
      <c r="I42" s="212">
        <v>36</v>
      </c>
      <c r="J42" s="212">
        <v>37</v>
      </c>
      <c r="K42" s="212">
        <v>61</v>
      </c>
      <c r="L42" s="212">
        <v>44</v>
      </c>
      <c r="M42" s="212">
        <v>44</v>
      </c>
      <c r="N42" s="212">
        <v>37</v>
      </c>
      <c r="O42" s="212">
        <v>37</v>
      </c>
      <c r="P42" s="212">
        <v>37</v>
      </c>
      <c r="Q42" s="212">
        <v>35</v>
      </c>
      <c r="R42" s="212">
        <v>36</v>
      </c>
      <c r="S42" s="212">
        <v>35</v>
      </c>
      <c r="T42" s="212">
        <v>58</v>
      </c>
      <c r="U42" s="212">
        <v>68</v>
      </c>
      <c r="V42" s="212">
        <v>36</v>
      </c>
      <c r="W42" s="212">
        <v>57</v>
      </c>
      <c r="X42" s="212">
        <v>35</v>
      </c>
      <c r="Y42" s="693">
        <v>36</v>
      </c>
      <c r="Z42" s="376">
        <v>78</v>
      </c>
      <c r="AA42" s="236">
        <f ca="1">-Economics!D35/Economics!I35</f>
        <v>10930.514588647959</v>
      </c>
    </row>
    <row r="43" spans="1:33" s="181" customFormat="1" ht="12.75" customHeight="1" x14ac:dyDescent="0.2">
      <c r="A43" s="694" t="s">
        <v>139</v>
      </c>
      <c r="B43" s="213">
        <v>0</v>
      </c>
      <c r="C43" s="213">
        <v>0</v>
      </c>
      <c r="D43" s="213">
        <v>0</v>
      </c>
      <c r="E43" s="213">
        <v>0</v>
      </c>
      <c r="F43" s="213">
        <v>0</v>
      </c>
      <c r="G43" s="213">
        <v>0</v>
      </c>
      <c r="H43" s="213">
        <v>0</v>
      </c>
      <c r="I43" s="213">
        <v>0</v>
      </c>
      <c r="J43" s="213">
        <v>0</v>
      </c>
      <c r="K43" s="213">
        <v>0</v>
      </c>
      <c r="L43" s="213">
        <v>0</v>
      </c>
      <c r="M43" s="213">
        <v>0</v>
      </c>
      <c r="N43" s="213">
        <v>0</v>
      </c>
      <c r="O43" s="213">
        <v>0</v>
      </c>
      <c r="P43" s="213">
        <v>0</v>
      </c>
      <c r="Q43" s="213">
        <v>0</v>
      </c>
      <c r="R43" s="213">
        <v>0</v>
      </c>
      <c r="S43" s="213">
        <v>0</v>
      </c>
      <c r="T43" s="213">
        <v>0</v>
      </c>
      <c r="U43" s="213">
        <v>0</v>
      </c>
      <c r="V43" s="213">
        <v>0</v>
      </c>
      <c r="W43" s="213">
        <v>0</v>
      </c>
      <c r="X43" s="213">
        <v>0</v>
      </c>
      <c r="Y43" s="695">
        <v>0</v>
      </c>
      <c r="Z43" s="378">
        <v>103</v>
      </c>
      <c r="AA43" s="237">
        <f ca="1">-Economics!D36/Economics!I36</f>
        <v>0</v>
      </c>
    </row>
    <row r="44" spans="1:33" s="181" customFormat="1" ht="12.75" customHeight="1" x14ac:dyDescent="0.2">
      <c r="A44" s="692" t="s">
        <v>49</v>
      </c>
      <c r="B44" s="212">
        <v>0</v>
      </c>
      <c r="C44" s="212">
        <v>0</v>
      </c>
      <c r="D44" s="212">
        <v>0</v>
      </c>
      <c r="E44" s="212">
        <v>0</v>
      </c>
      <c r="F44" s="212">
        <v>0</v>
      </c>
      <c r="G44" s="212">
        <v>0</v>
      </c>
      <c r="H44" s="212">
        <v>0</v>
      </c>
      <c r="I44" s="212">
        <v>0</v>
      </c>
      <c r="J44" s="212">
        <v>0</v>
      </c>
      <c r="K44" s="212">
        <v>0</v>
      </c>
      <c r="L44" s="212">
        <v>0</v>
      </c>
      <c r="M44" s="212">
        <v>0</v>
      </c>
      <c r="N44" s="212">
        <v>0</v>
      </c>
      <c r="O44" s="212">
        <v>0</v>
      </c>
      <c r="P44" s="212">
        <v>0</v>
      </c>
      <c r="Q44" s="212">
        <v>0</v>
      </c>
      <c r="R44" s="212">
        <v>0</v>
      </c>
      <c r="S44" s="212">
        <v>0</v>
      </c>
      <c r="T44" s="212">
        <v>0</v>
      </c>
      <c r="U44" s="212">
        <v>0</v>
      </c>
      <c r="V44" s="212">
        <v>0</v>
      </c>
      <c r="W44" s="212">
        <v>0</v>
      </c>
      <c r="X44" s="212">
        <v>0</v>
      </c>
      <c r="Y44" s="693">
        <v>0</v>
      </c>
      <c r="Z44" s="376">
        <v>40</v>
      </c>
      <c r="AA44" s="236">
        <f ca="1">-Economics!D37/Economics!I37</f>
        <v>0</v>
      </c>
    </row>
    <row r="45" spans="1:33" s="181" customFormat="1" ht="12.75" customHeight="1" x14ac:dyDescent="0.2">
      <c r="A45" s="692" t="s">
        <v>50</v>
      </c>
      <c r="B45" s="212">
        <v>0</v>
      </c>
      <c r="C45" s="212">
        <v>0</v>
      </c>
      <c r="D45" s="212">
        <v>0</v>
      </c>
      <c r="E45" s="212">
        <v>0</v>
      </c>
      <c r="F45" s="212">
        <v>0</v>
      </c>
      <c r="G45" s="212">
        <v>0</v>
      </c>
      <c r="H45" s="212">
        <v>0</v>
      </c>
      <c r="I45" s="212">
        <v>0</v>
      </c>
      <c r="J45" s="212">
        <v>0</v>
      </c>
      <c r="K45" s="212">
        <v>0</v>
      </c>
      <c r="L45" s="212">
        <v>0</v>
      </c>
      <c r="M45" s="212">
        <v>0</v>
      </c>
      <c r="N45" s="212">
        <v>0</v>
      </c>
      <c r="O45" s="212">
        <v>0</v>
      </c>
      <c r="P45" s="212">
        <v>0</v>
      </c>
      <c r="Q45" s="212">
        <v>0</v>
      </c>
      <c r="R45" s="212">
        <v>0</v>
      </c>
      <c r="S45" s="212">
        <v>0</v>
      </c>
      <c r="T45" s="212">
        <v>0</v>
      </c>
      <c r="U45" s="212">
        <v>0</v>
      </c>
      <c r="V45" s="212">
        <v>0</v>
      </c>
      <c r="W45" s="212">
        <v>0</v>
      </c>
      <c r="X45" s="212">
        <v>0</v>
      </c>
      <c r="Y45" s="693">
        <v>0</v>
      </c>
      <c r="Z45" s="376">
        <v>40</v>
      </c>
      <c r="AA45" s="236">
        <f ca="1">-Economics!D38/Economics!I38</f>
        <v>0</v>
      </c>
    </row>
    <row r="46" spans="1:33" s="181" customFormat="1" ht="12.75" customHeight="1" x14ac:dyDescent="0.2">
      <c r="A46" s="692" t="s">
        <v>51</v>
      </c>
      <c r="B46" s="212">
        <v>0</v>
      </c>
      <c r="C46" s="212">
        <v>0</v>
      </c>
      <c r="D46" s="212">
        <v>0</v>
      </c>
      <c r="E46" s="212">
        <v>0</v>
      </c>
      <c r="F46" s="212">
        <v>0</v>
      </c>
      <c r="G46" s="212">
        <v>0</v>
      </c>
      <c r="H46" s="212">
        <v>0</v>
      </c>
      <c r="I46" s="212">
        <v>0</v>
      </c>
      <c r="J46" s="212">
        <v>0</v>
      </c>
      <c r="K46" s="212">
        <v>0</v>
      </c>
      <c r="L46" s="212">
        <v>0</v>
      </c>
      <c r="M46" s="212">
        <v>0</v>
      </c>
      <c r="N46" s="212">
        <v>0</v>
      </c>
      <c r="O46" s="212">
        <v>0</v>
      </c>
      <c r="P46" s="212">
        <v>0</v>
      </c>
      <c r="Q46" s="212">
        <v>0</v>
      </c>
      <c r="R46" s="212">
        <v>0</v>
      </c>
      <c r="S46" s="212">
        <v>0</v>
      </c>
      <c r="T46" s="212">
        <v>0</v>
      </c>
      <c r="U46" s="212">
        <v>0</v>
      </c>
      <c r="V46" s="212">
        <v>0</v>
      </c>
      <c r="W46" s="212">
        <v>0</v>
      </c>
      <c r="X46" s="212">
        <v>0</v>
      </c>
      <c r="Y46" s="693">
        <v>0</v>
      </c>
      <c r="Z46" s="376">
        <v>108</v>
      </c>
      <c r="AA46" s="236">
        <f ca="1">-Economics!D39/Economics!I39</f>
        <v>0</v>
      </c>
    </row>
    <row r="47" spans="1:33" s="181" customFormat="1" ht="12.75" customHeight="1" x14ac:dyDescent="0.2">
      <c r="A47" s="692" t="s">
        <v>52</v>
      </c>
      <c r="B47" s="212">
        <v>0</v>
      </c>
      <c r="C47" s="212">
        <v>0</v>
      </c>
      <c r="D47" s="212">
        <v>0</v>
      </c>
      <c r="E47" s="212">
        <v>0</v>
      </c>
      <c r="F47" s="212">
        <v>0</v>
      </c>
      <c r="G47" s="212">
        <v>0</v>
      </c>
      <c r="H47" s="212">
        <v>0</v>
      </c>
      <c r="I47" s="212">
        <v>0</v>
      </c>
      <c r="J47" s="212">
        <v>0</v>
      </c>
      <c r="K47" s="212">
        <v>0</v>
      </c>
      <c r="L47" s="212">
        <v>0</v>
      </c>
      <c r="M47" s="212">
        <v>0</v>
      </c>
      <c r="N47" s="212">
        <v>0</v>
      </c>
      <c r="O47" s="212">
        <v>0</v>
      </c>
      <c r="P47" s="212">
        <v>0</v>
      </c>
      <c r="Q47" s="212">
        <v>0</v>
      </c>
      <c r="R47" s="212">
        <v>0</v>
      </c>
      <c r="S47" s="212">
        <v>0</v>
      </c>
      <c r="T47" s="212">
        <v>0</v>
      </c>
      <c r="U47" s="212">
        <v>0</v>
      </c>
      <c r="V47" s="212">
        <v>0</v>
      </c>
      <c r="W47" s="212">
        <v>0</v>
      </c>
      <c r="X47" s="212">
        <v>0</v>
      </c>
      <c r="Y47" s="693">
        <v>0</v>
      </c>
      <c r="Z47" s="376">
        <v>108</v>
      </c>
      <c r="AA47" s="236">
        <f ca="1">-Economics!D40/Economics!I40</f>
        <v>0</v>
      </c>
    </row>
    <row r="48" spans="1:33" s="181" customFormat="1" ht="12.75" customHeight="1" x14ac:dyDescent="0.2">
      <c r="A48" s="694" t="s">
        <v>140</v>
      </c>
      <c r="B48" s="213">
        <v>131</v>
      </c>
      <c r="C48" s="213">
        <v>153</v>
      </c>
      <c r="D48" s="213">
        <v>134</v>
      </c>
      <c r="E48" s="213">
        <v>112</v>
      </c>
      <c r="F48" s="213">
        <v>113</v>
      </c>
      <c r="G48" s="213">
        <v>164</v>
      </c>
      <c r="H48" s="213">
        <v>158</v>
      </c>
      <c r="I48" s="213">
        <v>140</v>
      </c>
      <c r="J48" s="213">
        <v>184</v>
      </c>
      <c r="K48" s="213">
        <v>195</v>
      </c>
      <c r="L48" s="213">
        <v>193</v>
      </c>
      <c r="M48" s="213">
        <v>163</v>
      </c>
      <c r="N48" s="213">
        <v>161</v>
      </c>
      <c r="O48" s="213">
        <v>146</v>
      </c>
      <c r="P48" s="213">
        <v>141</v>
      </c>
      <c r="Q48" s="213">
        <v>134</v>
      </c>
      <c r="R48" s="213">
        <v>202</v>
      </c>
      <c r="S48" s="213">
        <v>198</v>
      </c>
      <c r="T48" s="213">
        <v>205</v>
      </c>
      <c r="U48" s="213">
        <v>200</v>
      </c>
      <c r="V48" s="213">
        <v>205</v>
      </c>
      <c r="W48" s="213">
        <v>207</v>
      </c>
      <c r="X48" s="213">
        <v>126</v>
      </c>
      <c r="Y48" s="695">
        <v>142</v>
      </c>
      <c r="Z48" s="378">
        <v>212</v>
      </c>
      <c r="AA48" s="237">
        <f ca="1">-Economics!D41/Economics!I41</f>
        <v>37223.074776785717</v>
      </c>
    </row>
    <row r="49" spans="1:27" s="181" customFormat="1" ht="12.75" customHeight="1" x14ac:dyDescent="0.2">
      <c r="A49" s="694" t="s">
        <v>141</v>
      </c>
      <c r="B49" s="213">
        <v>0</v>
      </c>
      <c r="C49" s="213">
        <v>0</v>
      </c>
      <c r="D49" s="213">
        <v>0</v>
      </c>
      <c r="E49" s="213">
        <v>0</v>
      </c>
      <c r="F49" s="213">
        <v>0</v>
      </c>
      <c r="G49" s="213">
        <v>0</v>
      </c>
      <c r="H49" s="213">
        <v>0</v>
      </c>
      <c r="I49" s="213">
        <v>0</v>
      </c>
      <c r="J49" s="213">
        <v>0</v>
      </c>
      <c r="K49" s="213">
        <v>0</v>
      </c>
      <c r="L49" s="213">
        <v>0</v>
      </c>
      <c r="M49" s="213">
        <v>0</v>
      </c>
      <c r="N49" s="213">
        <v>0</v>
      </c>
      <c r="O49" s="213">
        <v>0</v>
      </c>
      <c r="P49" s="213">
        <v>0</v>
      </c>
      <c r="Q49" s="213">
        <v>0</v>
      </c>
      <c r="R49" s="213">
        <v>0</v>
      </c>
      <c r="S49" s="213">
        <v>0</v>
      </c>
      <c r="T49" s="213">
        <v>0</v>
      </c>
      <c r="U49" s="213">
        <v>0</v>
      </c>
      <c r="V49" s="213">
        <v>0</v>
      </c>
      <c r="W49" s="213">
        <v>0</v>
      </c>
      <c r="X49" s="213">
        <v>0</v>
      </c>
      <c r="Y49" s="695">
        <v>0</v>
      </c>
      <c r="Z49" s="378">
        <v>68</v>
      </c>
      <c r="AA49" s="237">
        <f ca="1">-Economics!D42/Economics!I42</f>
        <v>0</v>
      </c>
    </row>
    <row r="50" spans="1:27" s="181" customFormat="1" ht="12.75" customHeight="1" x14ac:dyDescent="0.2">
      <c r="A50" s="692" t="s">
        <v>142</v>
      </c>
      <c r="B50" s="212">
        <v>0</v>
      </c>
      <c r="C50" s="212">
        <v>0</v>
      </c>
      <c r="D50" s="212">
        <v>0</v>
      </c>
      <c r="E50" s="212">
        <v>0</v>
      </c>
      <c r="F50" s="212">
        <v>0</v>
      </c>
      <c r="G50" s="212">
        <v>0</v>
      </c>
      <c r="H50" s="212">
        <v>0</v>
      </c>
      <c r="I50" s="212">
        <v>0</v>
      </c>
      <c r="J50" s="212">
        <v>0</v>
      </c>
      <c r="K50" s="212">
        <v>0</v>
      </c>
      <c r="L50" s="212">
        <v>0</v>
      </c>
      <c r="M50" s="212">
        <v>0</v>
      </c>
      <c r="N50" s="212">
        <v>0</v>
      </c>
      <c r="O50" s="212">
        <v>0</v>
      </c>
      <c r="P50" s="212">
        <v>0</v>
      </c>
      <c r="Q50" s="212">
        <v>0</v>
      </c>
      <c r="R50" s="212">
        <v>0</v>
      </c>
      <c r="S50" s="212">
        <v>0</v>
      </c>
      <c r="T50" s="212">
        <v>0</v>
      </c>
      <c r="U50" s="212">
        <v>0</v>
      </c>
      <c r="V50" s="212">
        <v>0</v>
      </c>
      <c r="W50" s="212">
        <v>0</v>
      </c>
      <c r="X50" s="212">
        <v>0</v>
      </c>
      <c r="Y50" s="693">
        <v>0</v>
      </c>
      <c r="Z50" s="376">
        <v>48</v>
      </c>
      <c r="AA50" s="236">
        <f ca="1">-Economics!D43/Economics!I43</f>
        <v>0</v>
      </c>
    </row>
    <row r="51" spans="1:27" s="181" customFormat="1" ht="12.75" customHeight="1" x14ac:dyDescent="0.2">
      <c r="A51" s="692" t="s">
        <v>143</v>
      </c>
      <c r="B51" s="212">
        <v>32</v>
      </c>
      <c r="C51" s="212">
        <v>32</v>
      </c>
      <c r="D51" s="212">
        <v>32</v>
      </c>
      <c r="E51" s="212">
        <v>32</v>
      </c>
      <c r="F51" s="212">
        <v>32</v>
      </c>
      <c r="G51" s="212">
        <v>32</v>
      </c>
      <c r="H51" s="212">
        <v>32</v>
      </c>
      <c r="I51" s="212">
        <v>32</v>
      </c>
      <c r="J51" s="212">
        <v>32</v>
      </c>
      <c r="K51" s="212">
        <v>32</v>
      </c>
      <c r="L51" s="212">
        <v>32</v>
      </c>
      <c r="M51" s="212">
        <v>31</v>
      </c>
      <c r="N51" s="212">
        <v>31</v>
      </c>
      <c r="O51" s="212">
        <v>31</v>
      </c>
      <c r="P51" s="212">
        <v>31</v>
      </c>
      <c r="Q51" s="212">
        <v>31</v>
      </c>
      <c r="R51" s="212">
        <v>31</v>
      </c>
      <c r="S51" s="212">
        <v>32</v>
      </c>
      <c r="T51" s="212">
        <v>32</v>
      </c>
      <c r="U51" s="212">
        <v>31</v>
      </c>
      <c r="V51" s="212">
        <v>32</v>
      </c>
      <c r="W51" s="212">
        <v>32</v>
      </c>
      <c r="X51" s="212">
        <v>32</v>
      </c>
      <c r="Y51" s="693">
        <v>32</v>
      </c>
      <c r="Z51" s="376">
        <v>44</v>
      </c>
      <c r="AA51" s="236">
        <f ca="1">-Economics!D44/Economics!I44</f>
        <v>8096.5413800837323</v>
      </c>
    </row>
    <row r="52" spans="1:27" s="181" customFormat="1" ht="12.75" customHeight="1" thickBot="1" x14ac:dyDescent="0.25">
      <c r="A52" s="692" t="s">
        <v>144</v>
      </c>
      <c r="B52" s="212">
        <v>0</v>
      </c>
      <c r="C52" s="212">
        <v>0</v>
      </c>
      <c r="D52" s="212">
        <v>0</v>
      </c>
      <c r="E52" s="212">
        <v>0</v>
      </c>
      <c r="F52" s="212">
        <v>0</v>
      </c>
      <c r="G52" s="212">
        <v>0</v>
      </c>
      <c r="H52" s="212">
        <v>0</v>
      </c>
      <c r="I52" s="212">
        <v>0</v>
      </c>
      <c r="J52" s="212">
        <v>0</v>
      </c>
      <c r="K52" s="212">
        <v>0</v>
      </c>
      <c r="L52" s="212">
        <v>0</v>
      </c>
      <c r="M52" s="212">
        <v>0</v>
      </c>
      <c r="N52" s="212">
        <v>0</v>
      </c>
      <c r="O52" s="212">
        <v>0</v>
      </c>
      <c r="P52" s="212">
        <v>0</v>
      </c>
      <c r="Q52" s="212">
        <v>0</v>
      </c>
      <c r="R52" s="212">
        <v>0</v>
      </c>
      <c r="S52" s="212">
        <v>0</v>
      </c>
      <c r="T52" s="212">
        <v>0</v>
      </c>
      <c r="U52" s="212">
        <v>0</v>
      </c>
      <c r="V52" s="212">
        <v>0</v>
      </c>
      <c r="W52" s="212">
        <v>0</v>
      </c>
      <c r="X52" s="212">
        <v>0</v>
      </c>
      <c r="Y52" s="693">
        <v>0</v>
      </c>
      <c r="Z52" s="379">
        <v>130</v>
      </c>
      <c r="AA52" s="238">
        <f ca="1">-Economics!D45/Economics!I45</f>
        <v>0</v>
      </c>
    </row>
    <row r="53" spans="1:27" s="181" customFormat="1" ht="12.75" customHeight="1" thickTop="1" x14ac:dyDescent="0.2">
      <c r="A53" s="692" t="s">
        <v>134</v>
      </c>
      <c r="B53" s="212">
        <v>199</v>
      </c>
      <c r="C53" s="212">
        <v>199</v>
      </c>
      <c r="D53" s="212">
        <v>199</v>
      </c>
      <c r="E53" s="212">
        <v>199</v>
      </c>
      <c r="F53" s="212">
        <v>200</v>
      </c>
      <c r="G53" s="212">
        <v>199</v>
      </c>
      <c r="H53" s="212">
        <v>199</v>
      </c>
      <c r="I53" s="212">
        <v>200</v>
      </c>
      <c r="J53" s="212">
        <v>200</v>
      </c>
      <c r="K53" s="212">
        <v>200</v>
      </c>
      <c r="L53" s="212">
        <v>199</v>
      </c>
      <c r="M53" s="212">
        <v>199</v>
      </c>
      <c r="N53" s="212">
        <v>199</v>
      </c>
      <c r="O53" s="212">
        <v>199</v>
      </c>
      <c r="P53" s="212">
        <v>199</v>
      </c>
      <c r="Q53" s="212">
        <v>199</v>
      </c>
      <c r="R53" s="212">
        <v>200</v>
      </c>
      <c r="S53" s="212">
        <v>199</v>
      </c>
      <c r="T53" s="212">
        <v>199</v>
      </c>
      <c r="U53" s="212">
        <v>199</v>
      </c>
      <c r="V53" s="212">
        <v>199</v>
      </c>
      <c r="W53" s="212">
        <v>199</v>
      </c>
      <c r="X53" s="212">
        <v>199</v>
      </c>
      <c r="Y53" s="693">
        <v>199</v>
      </c>
      <c r="Z53" s="376">
        <v>198</v>
      </c>
      <c r="AA53" s="234"/>
    </row>
    <row r="54" spans="1:27" s="181" customFormat="1" ht="12.75" customHeight="1" x14ac:dyDescent="0.2">
      <c r="A54" s="692" t="s">
        <v>135</v>
      </c>
      <c r="B54" s="212">
        <v>199</v>
      </c>
      <c r="C54" s="212">
        <v>199</v>
      </c>
      <c r="D54" s="212">
        <v>199</v>
      </c>
      <c r="E54" s="212">
        <v>199</v>
      </c>
      <c r="F54" s="212">
        <v>200</v>
      </c>
      <c r="G54" s="212">
        <v>199</v>
      </c>
      <c r="H54" s="212">
        <v>200</v>
      </c>
      <c r="I54" s="212">
        <v>200</v>
      </c>
      <c r="J54" s="212">
        <v>200</v>
      </c>
      <c r="K54" s="212">
        <v>200</v>
      </c>
      <c r="L54" s="212">
        <v>199</v>
      </c>
      <c r="M54" s="212">
        <v>199</v>
      </c>
      <c r="N54" s="212">
        <v>199</v>
      </c>
      <c r="O54" s="212">
        <v>199</v>
      </c>
      <c r="P54" s="212">
        <v>199</v>
      </c>
      <c r="Q54" s="212">
        <v>199</v>
      </c>
      <c r="R54" s="212">
        <v>199</v>
      </c>
      <c r="S54" s="212">
        <v>199</v>
      </c>
      <c r="T54" s="212">
        <v>199</v>
      </c>
      <c r="U54" s="212">
        <v>199</v>
      </c>
      <c r="V54" s="212">
        <v>199</v>
      </c>
      <c r="W54" s="212">
        <v>199</v>
      </c>
      <c r="X54" s="212">
        <v>199</v>
      </c>
      <c r="Y54" s="693">
        <v>199</v>
      </c>
      <c r="Z54" s="376">
        <v>198</v>
      </c>
      <c r="AA54" s="234"/>
    </row>
    <row r="55" spans="1:27" s="181" customFormat="1" ht="12.75" customHeight="1" x14ac:dyDescent="0.2">
      <c r="A55" s="692" t="s">
        <v>136</v>
      </c>
      <c r="B55" s="212">
        <v>199</v>
      </c>
      <c r="C55" s="212">
        <v>198</v>
      </c>
      <c r="D55" s="212">
        <v>199</v>
      </c>
      <c r="E55" s="212">
        <v>199</v>
      </c>
      <c r="F55" s="212">
        <v>199</v>
      </c>
      <c r="G55" s="212">
        <v>200</v>
      </c>
      <c r="H55" s="212">
        <v>200</v>
      </c>
      <c r="I55" s="212">
        <v>199</v>
      </c>
      <c r="J55" s="212">
        <v>199</v>
      </c>
      <c r="K55" s="212">
        <v>199</v>
      </c>
      <c r="L55" s="212">
        <v>199</v>
      </c>
      <c r="M55" s="212">
        <v>199</v>
      </c>
      <c r="N55" s="212">
        <v>199</v>
      </c>
      <c r="O55" s="212">
        <v>199</v>
      </c>
      <c r="P55" s="212">
        <v>199</v>
      </c>
      <c r="Q55" s="212">
        <v>199</v>
      </c>
      <c r="R55" s="212">
        <v>199</v>
      </c>
      <c r="S55" s="212">
        <v>199</v>
      </c>
      <c r="T55" s="212">
        <v>198</v>
      </c>
      <c r="U55" s="212">
        <v>199</v>
      </c>
      <c r="V55" s="212">
        <v>199</v>
      </c>
      <c r="W55" s="212">
        <v>198</v>
      </c>
      <c r="X55" s="212">
        <v>199</v>
      </c>
      <c r="Y55" s="693">
        <v>199</v>
      </c>
      <c r="Z55" s="376">
        <v>198</v>
      </c>
      <c r="AA55" s="234"/>
    </row>
    <row r="56" spans="1:27" s="181" customFormat="1" ht="12.75" customHeight="1" x14ac:dyDescent="0.2">
      <c r="A56" s="692" t="s">
        <v>132</v>
      </c>
      <c r="B56" s="212">
        <v>55</v>
      </c>
      <c r="C56" s="212">
        <v>72</v>
      </c>
      <c r="D56" s="212">
        <v>99</v>
      </c>
      <c r="E56" s="212">
        <v>101</v>
      </c>
      <c r="F56" s="212">
        <v>101</v>
      </c>
      <c r="G56" s="212">
        <v>102</v>
      </c>
      <c r="H56" s="212">
        <v>102</v>
      </c>
      <c r="I56" s="212">
        <v>102</v>
      </c>
      <c r="J56" s="212">
        <v>102</v>
      </c>
      <c r="K56" s="212">
        <v>103</v>
      </c>
      <c r="L56" s="212">
        <v>103</v>
      </c>
      <c r="M56" s="212">
        <v>102</v>
      </c>
      <c r="N56" s="212">
        <v>103</v>
      </c>
      <c r="O56" s="212">
        <v>102</v>
      </c>
      <c r="P56" s="212">
        <v>102</v>
      </c>
      <c r="Q56" s="212">
        <v>102</v>
      </c>
      <c r="R56" s="212">
        <v>101</v>
      </c>
      <c r="S56" s="212">
        <v>101</v>
      </c>
      <c r="T56" s="212">
        <v>102</v>
      </c>
      <c r="U56" s="212">
        <v>103</v>
      </c>
      <c r="V56" s="212">
        <v>102</v>
      </c>
      <c r="W56" s="212">
        <v>103</v>
      </c>
      <c r="X56" s="212">
        <v>103</v>
      </c>
      <c r="Y56" s="693">
        <v>103</v>
      </c>
      <c r="Z56" s="376">
        <v>52</v>
      </c>
      <c r="AA56" s="234"/>
    </row>
    <row r="57" spans="1:27" s="181" customFormat="1" ht="12.75" customHeight="1" thickBot="1" x14ac:dyDescent="0.25">
      <c r="A57" s="692" t="s">
        <v>133</v>
      </c>
      <c r="B57" s="212"/>
      <c r="C57" s="212"/>
      <c r="D57" s="212"/>
      <c r="E57" s="212"/>
      <c r="F57" s="212"/>
      <c r="G57" s="212"/>
      <c r="H57" s="212"/>
      <c r="I57" s="212"/>
      <c r="J57" s="212"/>
      <c r="K57" s="212"/>
      <c r="L57" s="212"/>
      <c r="M57" s="212">
        <v>0</v>
      </c>
      <c r="N57" s="212"/>
      <c r="O57" s="212"/>
      <c r="P57" s="212"/>
      <c r="Q57" s="212"/>
      <c r="R57" s="212"/>
      <c r="S57" s="212"/>
      <c r="T57" s="212"/>
      <c r="U57" s="212"/>
      <c r="V57" s="212"/>
      <c r="W57" s="212"/>
      <c r="X57" s="212"/>
      <c r="Y57" s="693"/>
      <c r="Z57" s="376">
        <v>52</v>
      </c>
      <c r="AA57" s="234"/>
    </row>
    <row r="58" spans="1:27" s="181" customFormat="1" ht="13.5" customHeight="1" thickBot="1" x14ac:dyDescent="0.3">
      <c r="A58" s="696" t="s">
        <v>10</v>
      </c>
      <c r="B58" s="697">
        <f t="shared" ref="B58:U58" ca="1" si="8">B59-B38</f>
        <v>29</v>
      </c>
      <c r="C58" s="697">
        <f t="shared" ca="1" si="8"/>
        <v>-11</v>
      </c>
      <c r="D58" s="697">
        <f t="shared" ca="1" si="8"/>
        <v>10</v>
      </c>
      <c r="E58" s="697">
        <f t="shared" ca="1" si="8"/>
        <v>-7</v>
      </c>
      <c r="F58" s="697">
        <f t="shared" ca="1" si="8"/>
        <v>1</v>
      </c>
      <c r="G58" s="697">
        <f ca="1">G59-G38</f>
        <v>-10</v>
      </c>
      <c r="H58" s="697">
        <f t="shared" ca="1" si="8"/>
        <v>-9</v>
      </c>
      <c r="I58" s="697">
        <f t="shared" ca="1" si="8"/>
        <v>-10</v>
      </c>
      <c r="J58" s="697">
        <f t="shared" ca="1" si="8"/>
        <v>-7</v>
      </c>
      <c r="K58" s="697">
        <f t="shared" ca="1" si="8"/>
        <v>-1</v>
      </c>
      <c r="L58" s="697">
        <f t="shared" ca="1" si="8"/>
        <v>-10</v>
      </c>
      <c r="M58" s="697">
        <f ca="1">M59-M38</f>
        <v>-1</v>
      </c>
      <c r="N58" s="697">
        <f ca="1">N59-N38</f>
        <v>-9</v>
      </c>
      <c r="O58" s="697">
        <f ca="1">O59-O38</f>
        <v>-10</v>
      </c>
      <c r="P58" s="697">
        <f t="shared" ca="1" si="8"/>
        <v>3</v>
      </c>
      <c r="Q58" s="697">
        <f t="shared" ca="1" si="8"/>
        <v>-6</v>
      </c>
      <c r="R58" s="697">
        <f t="shared" ca="1" si="8"/>
        <v>16</v>
      </c>
      <c r="S58" s="697">
        <f t="shared" ca="1" si="8"/>
        <v>-8</v>
      </c>
      <c r="T58" s="697">
        <f t="shared" ca="1" si="8"/>
        <v>-5</v>
      </c>
      <c r="U58" s="697">
        <f t="shared" ca="1" si="8"/>
        <v>-9</v>
      </c>
      <c r="V58" s="698">
        <f ca="1">V59-V38</f>
        <v>-4</v>
      </c>
      <c r="W58" s="698">
        <f ca="1">W59-W38</f>
        <v>-3</v>
      </c>
      <c r="X58" s="698">
        <f ca="1">X59-X38</f>
        <v>-9</v>
      </c>
      <c r="Y58" s="699">
        <f ca="1">Y59-Y38</f>
        <v>11</v>
      </c>
      <c r="Z58" s="377">
        <f ca="1">SUM(Z41:Z55)+Z41+Z42+Z43+Z48+Z49+Z50+Z51+Z52</f>
        <v>2416</v>
      </c>
      <c r="AA58" s="235">
        <f ca="1">SUM(AA41:AA55)</f>
        <v>66560.269058655162</v>
      </c>
    </row>
    <row r="59" spans="1:27" s="181" customFormat="1" ht="12.6" thickBot="1" x14ac:dyDescent="0.25">
      <c r="A59" s="686">
        <v>0</v>
      </c>
      <c r="B59" s="687">
        <f t="shared" ref="B59:G59" ca="1" si="9">SUM(B41:B57)-SUM(B7:B21)</f>
        <v>1115</v>
      </c>
      <c r="C59" s="687">
        <f t="shared" ca="1" si="9"/>
        <v>976</v>
      </c>
      <c r="D59" s="687">
        <f t="shared" ca="1" si="9"/>
        <v>984</v>
      </c>
      <c r="E59" s="687">
        <f t="shared" ca="1" si="9"/>
        <v>971</v>
      </c>
      <c r="F59" s="687">
        <f ca="1">SUM(F41:F57)-SUM(F7:F21)</f>
        <v>975</v>
      </c>
      <c r="G59" s="687">
        <f t="shared" ca="1" si="9"/>
        <v>1021</v>
      </c>
      <c r="H59" s="687">
        <f t="shared" ref="H59:Y59" ca="1" si="10">SUM(H41:H57)-SUM(H7:H21)</f>
        <v>1013</v>
      </c>
      <c r="I59" s="687">
        <f ca="1">SUM(I41:I57)-SUM(I7:I21)</f>
        <v>994</v>
      </c>
      <c r="J59" s="687">
        <f t="shared" ca="1" si="10"/>
        <v>1019</v>
      </c>
      <c r="K59" s="687">
        <f ca="1">SUM(K41:K57)-SUM(K7:K21)</f>
        <v>1060</v>
      </c>
      <c r="L59" s="687">
        <f ca="1">SUM(L41:L57)-SUM(L7:L21)</f>
        <v>1055</v>
      </c>
      <c r="M59" s="687">
        <f ca="1">SUM(M41:M57)-SUM(M7:M21)</f>
        <v>1023</v>
      </c>
      <c r="N59" s="687">
        <f t="shared" ca="1" si="10"/>
        <v>1015</v>
      </c>
      <c r="O59" s="687">
        <f t="shared" ca="1" si="10"/>
        <v>999</v>
      </c>
      <c r="P59" s="687">
        <f t="shared" ca="1" si="10"/>
        <v>994</v>
      </c>
      <c r="Q59" s="687">
        <f ca="1">SUM(Q41:Q57)-SUM(Q7:Q21)</f>
        <v>985</v>
      </c>
      <c r="R59" s="687">
        <f t="shared" ca="1" si="10"/>
        <v>1054</v>
      </c>
      <c r="S59" s="687">
        <f t="shared" ca="1" si="10"/>
        <v>1049</v>
      </c>
      <c r="T59" s="687">
        <f t="shared" ca="1" si="10"/>
        <v>1059</v>
      </c>
      <c r="U59" s="687">
        <f t="shared" ca="1" si="10"/>
        <v>1089</v>
      </c>
      <c r="V59" s="687">
        <f t="shared" ca="1" si="10"/>
        <v>1035</v>
      </c>
      <c r="W59" s="687">
        <f t="shared" ca="1" si="10"/>
        <v>1057</v>
      </c>
      <c r="X59" s="687">
        <f t="shared" ca="1" si="10"/>
        <v>975</v>
      </c>
      <c r="Y59" s="687">
        <f t="shared" ca="1" si="10"/>
        <v>992</v>
      </c>
      <c r="Z59" s="239">
        <f ca="1">SUM(Economics!D28:D45)</f>
        <v>-249909.57021437501</v>
      </c>
      <c r="AA59" s="240" t="e">
        <f ca="1">Economics!D47</f>
        <v>#N/A</v>
      </c>
    </row>
    <row r="60" spans="1:27" s="181" customFormat="1" ht="14.25" customHeight="1" thickBot="1" x14ac:dyDescent="0.3">
      <c r="A60" s="217" t="s">
        <v>145</v>
      </c>
      <c r="B60" s="187"/>
      <c r="C60" s="187"/>
      <c r="D60" s="187"/>
      <c r="E60" s="187"/>
      <c r="F60" s="630"/>
      <c r="G60" s="187"/>
      <c r="H60" s="187"/>
      <c r="I60" s="187"/>
      <c r="J60" s="187"/>
      <c r="K60" s="187"/>
      <c r="L60" s="187"/>
      <c r="M60" s="187"/>
      <c r="N60" s="187"/>
      <c r="O60" s="187"/>
      <c r="P60" s="187"/>
      <c r="Q60" s="187"/>
      <c r="R60" s="187"/>
      <c r="S60" s="187"/>
      <c r="T60" s="187"/>
      <c r="U60" s="187"/>
      <c r="V60" s="187"/>
      <c r="W60" s="187"/>
      <c r="X60" s="187"/>
      <c r="Y60" s="188"/>
      <c r="Z60" s="241"/>
      <c r="AA60" s="242"/>
    </row>
    <row r="61" spans="1:27" s="181" customFormat="1" ht="12.6" thickBot="1" x14ac:dyDescent="0.25">
      <c r="A61" s="216" t="s">
        <v>274</v>
      </c>
      <c r="B61" s="189">
        <f ca="1">IF(-SUM(B19:B21,B35:B37)&gt;134,"err",-SUM(B19:B21,))</f>
        <v>0</v>
      </c>
      <c r="C61" s="189">
        <f t="shared" ref="C61:Y61" ca="1" si="11">IF(-SUM(C19:C21,C35:C37)&gt;134,"err",-SUM(C19:C21,))</f>
        <v>0</v>
      </c>
      <c r="D61" s="189">
        <f t="shared" ca="1" si="11"/>
        <v>0</v>
      </c>
      <c r="E61" s="189">
        <f ca="1">IF(-SUM(E19:E21,E35:E37)&gt;134,"err",-SUM(E19:E21,))</f>
        <v>0</v>
      </c>
      <c r="F61" s="189">
        <f t="shared" ca="1" si="11"/>
        <v>0</v>
      </c>
      <c r="G61" s="189">
        <f t="shared" ca="1" si="11"/>
        <v>0</v>
      </c>
      <c r="H61" s="189">
        <f t="shared" ca="1" si="11"/>
        <v>0</v>
      </c>
      <c r="I61" s="189">
        <f t="shared" ca="1" si="11"/>
        <v>0</v>
      </c>
      <c r="J61" s="189">
        <f t="shared" ca="1" si="11"/>
        <v>0</v>
      </c>
      <c r="K61" s="189">
        <f t="shared" ca="1" si="11"/>
        <v>0</v>
      </c>
      <c r="L61" s="189">
        <f t="shared" ca="1" si="11"/>
        <v>0</v>
      </c>
      <c r="M61" s="189">
        <f t="shared" ca="1" si="11"/>
        <v>0</v>
      </c>
      <c r="N61" s="189">
        <f t="shared" ca="1" si="11"/>
        <v>0</v>
      </c>
      <c r="O61" s="189">
        <f t="shared" ca="1" si="11"/>
        <v>0</v>
      </c>
      <c r="P61" s="189">
        <f t="shared" ca="1" si="11"/>
        <v>0</v>
      </c>
      <c r="Q61" s="189">
        <f t="shared" ca="1" si="11"/>
        <v>0</v>
      </c>
      <c r="R61" s="189">
        <f t="shared" ca="1" si="11"/>
        <v>0</v>
      </c>
      <c r="S61" s="189">
        <f t="shared" ca="1" si="11"/>
        <v>0</v>
      </c>
      <c r="T61" s="189">
        <f t="shared" ca="1" si="11"/>
        <v>0</v>
      </c>
      <c r="U61" s="189">
        <f t="shared" ca="1" si="11"/>
        <v>0</v>
      </c>
      <c r="V61" s="189">
        <f t="shared" ca="1" si="11"/>
        <v>0</v>
      </c>
      <c r="W61" s="189">
        <f t="shared" ca="1" si="11"/>
        <v>0</v>
      </c>
      <c r="X61" s="189">
        <f t="shared" ca="1" si="11"/>
        <v>0</v>
      </c>
      <c r="Y61" s="189">
        <f t="shared" ca="1" si="11"/>
        <v>0</v>
      </c>
      <c r="Z61" s="243" t="s">
        <v>146</v>
      </c>
      <c r="AA61" s="244" t="e">
        <f ca="1">AA59</f>
        <v>#N/A</v>
      </c>
    </row>
    <row r="62" spans="1:27" s="181" customFormat="1" ht="14.25" customHeight="1" thickTop="1" x14ac:dyDescent="0.2">
      <c r="A62" s="216" t="s">
        <v>147</v>
      </c>
      <c r="B62" s="189">
        <f ca="1">-SUM(B11:B14,B29:B31,B23) + SUM(B53:B55)</f>
        <v>348</v>
      </c>
      <c r="C62" s="189">
        <f t="shared" ref="C62:Y62" ca="1" si="12">-SUM(C11:C14,C29:C31,C23) + SUM(C53:C55)</f>
        <v>331</v>
      </c>
      <c r="D62" s="189">
        <f t="shared" ca="1" si="12"/>
        <v>357</v>
      </c>
      <c r="E62" s="189">
        <f t="shared" ca="1" si="12"/>
        <v>347</v>
      </c>
      <c r="F62" s="189">
        <f t="shared" ca="1" si="12"/>
        <v>354</v>
      </c>
      <c r="G62" s="189">
        <f t="shared" ca="1" si="12"/>
        <v>368</v>
      </c>
      <c r="H62" s="189">
        <f t="shared" ca="1" si="12"/>
        <v>424</v>
      </c>
      <c r="I62" s="189">
        <f t="shared" ca="1" si="12"/>
        <v>389</v>
      </c>
      <c r="J62" s="189">
        <f ca="1">-SUM(J11:J14,J29:J31,J23) + SUM(J53:J55)</f>
        <v>359</v>
      </c>
      <c r="K62" s="189">
        <f t="shared" ca="1" si="12"/>
        <v>324</v>
      </c>
      <c r="L62" s="189">
        <f t="shared" ca="1" si="12"/>
        <v>347</v>
      </c>
      <c r="M62" s="189">
        <f t="shared" ca="1" si="12"/>
        <v>382</v>
      </c>
      <c r="N62" s="189">
        <f t="shared" ca="1" si="12"/>
        <v>392</v>
      </c>
      <c r="O62" s="189">
        <f t="shared" ca="1" si="12"/>
        <v>402</v>
      </c>
      <c r="P62" s="189">
        <f t="shared" ca="1" si="12"/>
        <v>402</v>
      </c>
      <c r="Q62" s="189">
        <f t="shared" ca="1" si="12"/>
        <v>382</v>
      </c>
      <c r="R62" s="189">
        <f t="shared" ca="1" si="12"/>
        <v>333</v>
      </c>
      <c r="S62" s="189">
        <f t="shared" ca="1" si="12"/>
        <v>392</v>
      </c>
      <c r="T62" s="189">
        <f t="shared" ca="1" si="12"/>
        <v>376</v>
      </c>
      <c r="U62" s="189">
        <f t="shared" ca="1" si="12"/>
        <v>367</v>
      </c>
      <c r="V62" s="189">
        <f t="shared" ca="1" si="12"/>
        <v>377</v>
      </c>
      <c r="W62" s="189">
        <f t="shared" ca="1" si="12"/>
        <v>326</v>
      </c>
      <c r="X62" s="189">
        <f t="shared" ca="1" si="12"/>
        <v>432</v>
      </c>
      <c r="Y62" s="190">
        <f t="shared" ca="1" si="12"/>
        <v>397</v>
      </c>
      <c r="Z62" s="214"/>
      <c r="AA62" s="182"/>
    </row>
    <row r="63" spans="1:27" s="181" customFormat="1" ht="12" x14ac:dyDescent="0.2">
      <c r="A63" s="216" t="s">
        <v>148</v>
      </c>
      <c r="B63" s="189">
        <f ca="1">-SUM(B8:B10,B26:B28) + SUM(B56:B57)</f>
        <v>10</v>
      </c>
      <c r="C63" s="189">
        <f t="shared" ref="C63:Y63" ca="1" si="13">-SUM(C8:C10,C26:C28) + SUM(C56:C57)</f>
        <v>-28</v>
      </c>
      <c r="D63" s="189">
        <f t="shared" ca="1" si="13"/>
        <v>-34</v>
      </c>
      <c r="E63" s="189">
        <f t="shared" ca="1" si="13"/>
        <v>-19</v>
      </c>
      <c r="F63" s="189">
        <f t="shared" ca="1" si="13"/>
        <v>-19</v>
      </c>
      <c r="G63" s="189">
        <f t="shared" ca="1" si="13"/>
        <v>-18</v>
      </c>
      <c r="H63" s="189">
        <f t="shared" ca="1" si="13"/>
        <v>22</v>
      </c>
      <c r="I63" s="189">
        <f t="shared" ca="1" si="13"/>
        <v>102</v>
      </c>
      <c r="J63" s="189">
        <f t="shared" ca="1" si="13"/>
        <v>102</v>
      </c>
      <c r="K63" s="189">
        <f t="shared" ca="1" si="13"/>
        <v>103</v>
      </c>
      <c r="L63" s="189">
        <f t="shared" ca="1" si="13"/>
        <v>103</v>
      </c>
      <c r="M63" s="189">
        <f ca="1">-SUM(M8:M10,M26:M28) + SUM(M57:M57)</f>
        <v>0</v>
      </c>
      <c r="N63" s="189">
        <f t="shared" ca="1" si="13"/>
        <v>78</v>
      </c>
      <c r="O63" s="189">
        <f t="shared" ca="1" si="13"/>
        <v>77</v>
      </c>
      <c r="P63" s="189">
        <f t="shared" ca="1" si="13"/>
        <v>77</v>
      </c>
      <c r="Q63" s="189">
        <f t="shared" ca="1" si="13"/>
        <v>77</v>
      </c>
      <c r="R63" s="189">
        <f t="shared" ca="1" si="13"/>
        <v>101</v>
      </c>
      <c r="S63" s="189">
        <f t="shared" ca="1" si="13"/>
        <v>101</v>
      </c>
      <c r="T63" s="189">
        <f t="shared" ca="1" si="13"/>
        <v>102</v>
      </c>
      <c r="U63" s="189">
        <f t="shared" ca="1" si="13"/>
        <v>78</v>
      </c>
      <c r="V63" s="189">
        <f t="shared" ca="1" si="13"/>
        <v>102</v>
      </c>
      <c r="W63" s="189">
        <f t="shared" ca="1" si="13"/>
        <v>103</v>
      </c>
      <c r="X63" s="189">
        <f t="shared" ca="1" si="13"/>
        <v>63</v>
      </c>
      <c r="Y63" s="190">
        <f t="shared" ca="1" si="13"/>
        <v>23</v>
      </c>
      <c r="Z63" s="214"/>
      <c r="AA63" s="182"/>
    </row>
    <row r="64" spans="1:27" s="181" customFormat="1" ht="12" x14ac:dyDescent="0.2">
      <c r="A64" s="216" t="s">
        <v>149</v>
      </c>
      <c r="B64" s="189">
        <f ca="1">IF(B62+B63&gt;645,"err",B62+B63)</f>
        <v>358</v>
      </c>
      <c r="C64" s="189">
        <f t="shared" ref="C64:Y64" ca="1" si="14">IF(C62+C63&gt;645,"err",C62+C63)</f>
        <v>303</v>
      </c>
      <c r="D64" s="189">
        <f t="shared" ca="1" si="14"/>
        <v>323</v>
      </c>
      <c r="E64" s="189">
        <f t="shared" ca="1" si="14"/>
        <v>328</v>
      </c>
      <c r="F64" s="189">
        <f t="shared" ca="1" si="14"/>
        <v>335</v>
      </c>
      <c r="G64" s="189">
        <f t="shared" ca="1" si="14"/>
        <v>350</v>
      </c>
      <c r="H64" s="189">
        <f t="shared" ca="1" si="14"/>
        <v>446</v>
      </c>
      <c r="I64" s="189">
        <f t="shared" ca="1" si="14"/>
        <v>491</v>
      </c>
      <c r="J64" s="189">
        <f t="shared" ca="1" si="14"/>
        <v>461</v>
      </c>
      <c r="K64" s="189">
        <f t="shared" ca="1" si="14"/>
        <v>427</v>
      </c>
      <c r="L64" s="189">
        <f t="shared" ca="1" si="14"/>
        <v>450</v>
      </c>
      <c r="M64" s="189">
        <f t="shared" ca="1" si="14"/>
        <v>382</v>
      </c>
      <c r="N64" s="189">
        <f t="shared" ca="1" si="14"/>
        <v>470</v>
      </c>
      <c r="O64" s="189">
        <f t="shared" ca="1" si="14"/>
        <v>479</v>
      </c>
      <c r="P64" s="189">
        <f t="shared" ca="1" si="14"/>
        <v>479</v>
      </c>
      <c r="Q64" s="189">
        <f t="shared" ca="1" si="14"/>
        <v>459</v>
      </c>
      <c r="R64" s="189">
        <f t="shared" ca="1" si="14"/>
        <v>434</v>
      </c>
      <c r="S64" s="189">
        <f t="shared" ca="1" si="14"/>
        <v>493</v>
      </c>
      <c r="T64" s="189">
        <f t="shared" ca="1" si="14"/>
        <v>478</v>
      </c>
      <c r="U64" s="189">
        <f t="shared" ca="1" si="14"/>
        <v>445</v>
      </c>
      <c r="V64" s="189">
        <f t="shared" ca="1" si="14"/>
        <v>479</v>
      </c>
      <c r="W64" s="189">
        <f t="shared" ca="1" si="14"/>
        <v>429</v>
      </c>
      <c r="X64" s="189">
        <f t="shared" ca="1" si="14"/>
        <v>495</v>
      </c>
      <c r="Y64" s="190">
        <f t="shared" ca="1" si="14"/>
        <v>420</v>
      </c>
      <c r="Z64" s="215"/>
      <c r="AA64" s="182"/>
    </row>
    <row r="65" spans="1:27" s="181" customFormat="1" ht="12" x14ac:dyDescent="0.2">
      <c r="A65" s="216" t="s">
        <v>18</v>
      </c>
      <c r="B65" s="189">
        <f ca="1">SUM(B61:B63)</f>
        <v>358</v>
      </c>
      <c r="C65" s="189">
        <f t="shared" ref="C65:Y65" ca="1" si="15">SUM(C61:C63)</f>
        <v>303</v>
      </c>
      <c r="D65" s="189">
        <f t="shared" ca="1" si="15"/>
        <v>323</v>
      </c>
      <c r="E65" s="189">
        <f t="shared" ca="1" si="15"/>
        <v>328</v>
      </c>
      <c r="F65" s="189">
        <f t="shared" ca="1" si="15"/>
        <v>335</v>
      </c>
      <c r="G65" s="189">
        <f t="shared" ca="1" si="15"/>
        <v>350</v>
      </c>
      <c r="H65" s="189">
        <f t="shared" ca="1" si="15"/>
        <v>446</v>
      </c>
      <c r="I65" s="189">
        <f t="shared" ca="1" si="15"/>
        <v>491</v>
      </c>
      <c r="J65" s="189">
        <f t="shared" ca="1" si="15"/>
        <v>461</v>
      </c>
      <c r="K65" s="189">
        <f t="shared" ca="1" si="15"/>
        <v>427</v>
      </c>
      <c r="L65" s="189">
        <f t="shared" ca="1" si="15"/>
        <v>450</v>
      </c>
      <c r="M65" s="189">
        <f t="shared" ca="1" si="15"/>
        <v>382</v>
      </c>
      <c r="N65" s="189">
        <f t="shared" ca="1" si="15"/>
        <v>470</v>
      </c>
      <c r="O65" s="189">
        <f t="shared" ca="1" si="15"/>
        <v>479</v>
      </c>
      <c r="P65" s="189">
        <f t="shared" ca="1" si="15"/>
        <v>479</v>
      </c>
      <c r="Q65" s="189">
        <f t="shared" ca="1" si="15"/>
        <v>459</v>
      </c>
      <c r="R65" s="189">
        <f t="shared" ca="1" si="15"/>
        <v>434</v>
      </c>
      <c r="S65" s="189">
        <f t="shared" ca="1" si="15"/>
        <v>493</v>
      </c>
      <c r="T65" s="189">
        <f t="shared" ca="1" si="15"/>
        <v>478</v>
      </c>
      <c r="U65" s="189">
        <f t="shared" ca="1" si="15"/>
        <v>445</v>
      </c>
      <c r="V65" s="189">
        <f t="shared" ca="1" si="15"/>
        <v>479</v>
      </c>
      <c r="W65" s="189">
        <f t="shared" ca="1" si="15"/>
        <v>429</v>
      </c>
      <c r="X65" s="189">
        <f t="shared" ca="1" si="15"/>
        <v>495</v>
      </c>
      <c r="Y65" s="190">
        <f t="shared" ca="1" si="15"/>
        <v>420</v>
      </c>
      <c r="Z65" s="214"/>
      <c r="AA65" s="182"/>
    </row>
    <row r="66" spans="1:27" s="181" customFormat="1" ht="12" x14ac:dyDescent="0.2">
      <c r="A66" s="216"/>
      <c r="B66" s="189"/>
      <c r="C66" s="189"/>
      <c r="D66" s="189"/>
      <c r="E66" s="189"/>
      <c r="F66" s="189"/>
      <c r="G66" s="189"/>
      <c r="H66" s="189"/>
      <c r="I66" s="189"/>
      <c r="J66" s="189"/>
      <c r="K66" s="189"/>
      <c r="L66" s="189"/>
      <c r="M66" s="189"/>
      <c r="N66" s="189"/>
      <c r="O66" s="189"/>
      <c r="P66" s="189"/>
      <c r="Q66" s="189"/>
      <c r="R66" s="189"/>
      <c r="S66" s="189"/>
      <c r="T66" s="189"/>
      <c r="U66" s="189"/>
      <c r="V66" s="189"/>
      <c r="W66" s="189"/>
      <c r="X66" s="189"/>
      <c r="Y66" s="190"/>
      <c r="Z66" s="214"/>
      <c r="AA66" s="182"/>
    </row>
    <row r="67" spans="1:27" s="181" customFormat="1" ht="12" x14ac:dyDescent="0.2">
      <c r="A67" s="216" t="s">
        <v>150</v>
      </c>
      <c r="B67" s="189">
        <f t="array" ref="B67">SUM(IF(B$41:B$55 = 0,0,$Z$41:$Z$55-B$41:B$55))-INDEX([3]Balancing!$R$4:$R$27,B$3)</f>
        <v>154</v>
      </c>
      <c r="C67" s="189">
        <f t="array" ref="C67">SUM(IF(C$41:C$55 = 0,0,$Z$41:$Z$55-C$41:C$55))-INDEX(Balancing!$R$4:$R$27,C$3)</f>
        <v>154</v>
      </c>
      <c r="D67" s="189">
        <f t="array" ref="D67">SUM(IF(D$41:D$55 = 0,0,$Z$41:$Z$55-D$41:D$55))-INDEX(Balancing!$R$4:$R$27,D$3)</f>
        <v>173</v>
      </c>
      <c r="E67" s="189">
        <f t="array" ref="E67">SUM(IF(E$41:E$55 = 0,0,$Z$41:$Z$55-E$41:E$55))-INDEX(Balancing!$R$4:$R$27,E$3)</f>
        <v>188</v>
      </c>
      <c r="F67" s="189">
        <f t="array" ref="F67">SUM(IF(F$41:F$55 = 0,0,$Z$41:$Z$55-F$41:F$55))-INDEX(Balancing!$R$4:$R$27,F$3)</f>
        <v>184</v>
      </c>
      <c r="G67" s="189">
        <f t="array" ref="G67">SUM(IF(G$41:G$55 = 0,0,$Z$41:$Z$55-G$41:G$55))-INDEX(Balancing!$R$4:$R$27,G$3)</f>
        <v>139</v>
      </c>
      <c r="H67" s="189">
        <f t="array" ref="H67">SUM(IF(H$41:H$55 = 0,0,$Z$41:$Z$55-H$41:H$55))-INDEX(Balancing!$R$4:$R$27,H$3)</f>
        <v>147</v>
      </c>
      <c r="I67" s="189">
        <f t="array" ref="I67">SUM(IF(I$41:I$55 = 0,0,$Z$41:$Z$55-I$41:I$55))-INDEX(Balancing!$R$4:$R$27,I$3)</f>
        <v>166</v>
      </c>
      <c r="J67" s="189">
        <f t="array" ref="J67">SUM(IF(J$41:J$55 = 0,0,$Z$41:$Z$55-J$41:J$55))-INDEX(Balancing!$R$4:$R$27,J$3)</f>
        <v>121</v>
      </c>
      <c r="K67" s="189">
        <f t="array" ref="K67">SUM(IF(K$41:K$55 = 0,0,$Z$41:$Z$55-K$41:K$55))-INDEX(Balancing!$R$4:$R$27,K$3)</f>
        <v>81</v>
      </c>
      <c r="L67" s="189">
        <f t="array" ref="L67">SUM(IF(L$41:L$55 = 0,0,$Z$41:$Z$55-L$41:L$55))-INDEX(Balancing!$R$4:$R$27,L$3)</f>
        <v>106</v>
      </c>
      <c r="M67" s="189">
        <f t="array" ref="M67">SUM(IF(M$41:M$55 = 0,0,$Z$41:$Z$55-M$41:M$55))-INDEX(Balancing!$R$4:$R$27,M$3)</f>
        <v>137</v>
      </c>
      <c r="N67" s="189">
        <f t="array" ref="N67">SUM(IF(N$41:N$55 = 0,0,$Z$41:$Z$55-N$41:N$55))-INDEX(Balancing!$R$4:$R$27,N$3)</f>
        <v>146</v>
      </c>
      <c r="O67" s="189">
        <f t="array" ref="O67">SUM(IF(O$41:O$55 = 0,0,$Z$41:$Z$55-O$41:O$55))-INDEX(Balancing!$R$4:$R$27,O$3)</f>
        <v>161</v>
      </c>
      <c r="P67" s="189">
        <f t="array" ref="P67">SUM(IF(P$41:P$55 = 0,0,$Z$41:$Z$55-P$41:P$55))-INDEX(Balancing!$R$4:$R$27,P$3)</f>
        <v>166</v>
      </c>
      <c r="Q67" s="189">
        <f t="array" ref="Q67">SUM(IF(Q$41:Q$55 = 0,0,$Z$41:$Z$55-Q$41:Q$55))-INDEX(Balancing!$R$4:$R$27,Q$3)</f>
        <v>175</v>
      </c>
      <c r="R67" s="189">
        <f t="array" ref="R67">SUM(IF(R$41:R$55 = 0,0,$Z$41:$Z$55-R$41:R$55))-INDEX(Balancing!$R$4:$R$27,R$3)</f>
        <v>105</v>
      </c>
      <c r="S67" s="189">
        <f t="array" ref="S67">SUM(IF(S$41:S$55 = 0,0,$Z$41:$Z$55-S$41:S$55))-INDEX(Balancing!$R$4:$R$27,S$3)</f>
        <v>110</v>
      </c>
      <c r="T67" s="189">
        <f t="array" ref="T67">SUM(IF(T$41:T$55 = 0,0,$Z$41:$Z$55-T$41:T$55))-INDEX(Balancing!$R$4:$R$27,T$3)</f>
        <v>81</v>
      </c>
      <c r="U67" s="189">
        <f t="array" ref="U67">SUM(IF(U$41:U$55 = 0,0,$Z$41:$Z$55-U$41:U$55))-INDEX(Balancing!$R$4:$R$27,U$3)</f>
        <v>52</v>
      </c>
      <c r="V67" s="189">
        <f t="array" ref="V67">SUM(IF(V$41:V$55 = 0,0,$Z$41:$Z$55-V$41:V$55))-INDEX(Balancing!$R$4:$R$27,V$3)</f>
        <v>105</v>
      </c>
      <c r="W67" s="189">
        <f t="array" ref="W67">SUM(IF(W$41:W$55 = 0,0,$Z$41:$Z$55-W$41:W$55))-INDEX(Balancing!$R$4:$R$27,W$3)</f>
        <v>84</v>
      </c>
      <c r="X67" s="189">
        <f t="array" ref="X67">SUM(IF(X$41:X$55 = 0,0,$Z$41:$Z$55-X$41:X$55))-INDEX(Balancing!$R$4:$R$27,X$3)</f>
        <v>186</v>
      </c>
      <c r="Y67" s="190">
        <f t="array" ref="Y67">SUM(IF(Y$41:Y$55 = 0,0,$Z$41:$Z$55-Y$41:Y$55))-INDEX(Balancing!$R$4:$R$27,Y$3)</f>
        <v>169</v>
      </c>
      <c r="Z67" s="214"/>
      <c r="AA67" s="182"/>
    </row>
    <row r="68" spans="1:27" s="181" customFormat="1" ht="12" x14ac:dyDescent="0.2">
      <c r="A68" s="216"/>
      <c r="B68" s="189"/>
      <c r="C68" s="189"/>
      <c r="D68" s="189"/>
      <c r="E68" s="189"/>
      <c r="F68" s="189"/>
      <c r="G68" s="189"/>
      <c r="H68" s="189"/>
      <c r="I68" s="189"/>
      <c r="J68" s="189"/>
      <c r="K68" s="189"/>
      <c r="L68" s="189"/>
      <c r="M68" s="189"/>
      <c r="N68" s="189"/>
      <c r="O68" s="189"/>
      <c r="P68" s="189"/>
      <c r="Q68" s="189"/>
      <c r="R68" s="189"/>
      <c r="S68" s="189"/>
      <c r="T68" s="189"/>
      <c r="U68" s="189"/>
      <c r="V68" s="189"/>
      <c r="W68" s="189"/>
      <c r="X68" s="189"/>
      <c r="Y68" s="190"/>
      <c r="Z68" s="214"/>
      <c r="AA68" s="182"/>
    </row>
    <row r="69" spans="1:27" s="181" customFormat="1" ht="12.6" thickBot="1" x14ac:dyDescent="0.25">
      <c r="A69" s="218" t="s">
        <v>151</v>
      </c>
      <c r="B69" s="191">
        <f t="shared" ref="B69:G69" si="16">IF(B67&lt;0.07*B4,"err",ROUND(B4*0.07,0))</f>
        <v>42</v>
      </c>
      <c r="C69" s="191">
        <f t="shared" si="16"/>
        <v>42</v>
      </c>
      <c r="D69" s="191">
        <f t="shared" si="16"/>
        <v>40</v>
      </c>
      <c r="E69" s="191">
        <f t="shared" si="16"/>
        <v>41</v>
      </c>
      <c r="F69" s="191">
        <f t="shared" si="16"/>
        <v>41</v>
      </c>
      <c r="G69" s="191">
        <f t="shared" si="16"/>
        <v>45</v>
      </c>
      <c r="H69" s="191">
        <f t="shared" ref="H69:X69" si="17">IF(H67&lt;0.07*I4,"err",ROUND(I4*0.07,0))</f>
        <v>53</v>
      </c>
      <c r="I69" s="191">
        <f t="shared" si="17"/>
        <v>54</v>
      </c>
      <c r="J69" s="191">
        <f t="shared" si="17"/>
        <v>54</v>
      </c>
      <c r="K69" s="191">
        <f t="shared" si="17"/>
        <v>55</v>
      </c>
      <c r="L69" s="191">
        <f t="shared" si="17"/>
        <v>54</v>
      </c>
      <c r="M69" s="191">
        <f t="shared" si="17"/>
        <v>53</v>
      </c>
      <c r="N69" s="191">
        <f t="shared" si="17"/>
        <v>53</v>
      </c>
      <c r="O69" s="191">
        <f t="shared" si="17"/>
        <v>52</v>
      </c>
      <c r="P69" s="191">
        <f t="shared" si="17"/>
        <v>51</v>
      </c>
      <c r="Q69" s="191">
        <f t="shared" si="17"/>
        <v>52</v>
      </c>
      <c r="R69" s="191">
        <f t="shared" si="17"/>
        <v>58</v>
      </c>
      <c r="S69" s="191">
        <f t="shared" si="17"/>
        <v>59</v>
      </c>
      <c r="T69" s="191">
        <f t="shared" si="17"/>
        <v>58</v>
      </c>
      <c r="U69" s="191" t="str">
        <f t="shared" si="17"/>
        <v>err</v>
      </c>
      <c r="V69" s="191">
        <f t="shared" si="17"/>
        <v>54</v>
      </c>
      <c r="W69" s="191">
        <f t="shared" si="17"/>
        <v>52</v>
      </c>
      <c r="X69" s="191">
        <f t="shared" si="17"/>
        <v>47</v>
      </c>
      <c r="Y69" s="192" t="e">
        <f>IF(Y67&lt;0.07*#REF!,"err",ROUND(#REF!*0.07,0))</f>
        <v>#REF!</v>
      </c>
      <c r="Z69" s="214"/>
      <c r="AA69" s="182"/>
    </row>
    <row r="70" spans="1:27" s="316" customFormat="1" ht="12.6" thickTop="1" x14ac:dyDescent="0.2">
      <c r="A70" s="308"/>
      <c r="B70" s="309"/>
      <c r="C70" s="309"/>
      <c r="D70" s="309"/>
      <c r="E70" s="309"/>
      <c r="F70" s="309"/>
      <c r="G70" s="309"/>
      <c r="H70" s="309"/>
      <c r="I70" s="309"/>
      <c r="J70" s="309"/>
      <c r="K70" s="309"/>
      <c r="L70" s="309"/>
      <c r="M70" s="309"/>
      <c r="N70" s="309"/>
      <c r="O70" s="309"/>
      <c r="P70" s="309"/>
      <c r="Q70" s="309"/>
      <c r="R70" s="309"/>
      <c r="S70" s="309"/>
      <c r="T70" s="309"/>
      <c r="U70" s="309"/>
      <c r="V70" s="309"/>
      <c r="W70" s="309"/>
      <c r="X70" s="309"/>
      <c r="Y70" s="309"/>
      <c r="Z70" s="321"/>
      <c r="AA70" s="317"/>
    </row>
    <row r="71" spans="1:27" s="181" customFormat="1" ht="24" x14ac:dyDescent="0.25">
      <c r="A71" s="308"/>
      <c r="B71" s="322" t="s">
        <v>152</v>
      </c>
      <c r="C71" s="322" t="s">
        <v>153</v>
      </c>
      <c r="D71" s="325" t="s">
        <v>154</v>
      </c>
      <c r="E71" s="322" t="s">
        <v>155</v>
      </c>
      <c r="F71" s="325" t="s">
        <v>156</v>
      </c>
      <c r="G71" s="322" t="s">
        <v>157</v>
      </c>
      <c r="H71" s="309"/>
      <c r="I71" s="309"/>
      <c r="J71" s="309"/>
      <c r="K71" s="309"/>
      <c r="L71" s="309"/>
      <c r="M71" s="309"/>
      <c r="N71" s="309"/>
      <c r="O71" s="309"/>
      <c r="P71" s="309"/>
      <c r="Q71" s="309"/>
      <c r="R71" s="309"/>
      <c r="S71" s="309"/>
      <c r="T71" s="309"/>
      <c r="U71" s="309"/>
      <c r="V71" s="309"/>
      <c r="W71" s="309"/>
      <c r="X71" s="309"/>
      <c r="Y71" s="309"/>
      <c r="Z71" s="180"/>
      <c r="AA71" s="182"/>
    </row>
    <row r="72" spans="1:27" s="181" customFormat="1" ht="12" x14ac:dyDescent="0.2">
      <c r="A72" s="310" t="s">
        <v>158</v>
      </c>
      <c r="B72" s="311"/>
      <c r="C72" s="311"/>
      <c r="D72" s="323"/>
      <c r="E72" s="323"/>
      <c r="F72" s="324"/>
      <c r="G72" s="324"/>
      <c r="H72" s="309"/>
      <c r="I72" s="309"/>
      <c r="J72" s="309"/>
      <c r="K72" s="309"/>
      <c r="L72" s="309"/>
      <c r="M72" s="309"/>
      <c r="N72" s="309"/>
      <c r="O72" s="309"/>
      <c r="P72" s="309"/>
      <c r="Q72" s="309"/>
      <c r="R72" s="309"/>
      <c r="S72" s="309"/>
      <c r="T72" s="309"/>
      <c r="U72" s="309"/>
      <c r="V72" s="309"/>
      <c r="W72" s="309"/>
      <c r="X72" s="309"/>
      <c r="Y72" s="309"/>
      <c r="Z72" s="180"/>
      <c r="AA72" s="182"/>
    </row>
    <row r="73" spans="1:27" s="181" customFormat="1" ht="12" x14ac:dyDescent="0.2">
      <c r="A73" s="310" t="s">
        <v>159</v>
      </c>
      <c r="B73" s="311"/>
      <c r="C73" s="311"/>
      <c r="D73" s="323"/>
      <c r="E73" s="323"/>
      <c r="F73" s="324"/>
      <c r="G73" s="324"/>
      <c r="H73" s="309"/>
      <c r="I73" s="309"/>
      <c r="J73" s="309"/>
      <c r="K73" s="309"/>
      <c r="L73" s="309"/>
      <c r="M73" s="309"/>
      <c r="N73" s="309"/>
      <c r="O73" s="309"/>
      <c r="P73" s="309"/>
      <c r="Q73" s="309"/>
      <c r="R73" s="309"/>
      <c r="S73" s="309"/>
      <c r="T73" s="309"/>
      <c r="U73" s="309"/>
      <c r="V73" s="309"/>
      <c r="W73" s="309"/>
      <c r="X73" s="309"/>
      <c r="Y73" s="309"/>
      <c r="Z73" s="180"/>
      <c r="AA73" s="182"/>
    </row>
    <row r="74" spans="1:27" s="181" customFormat="1" ht="12" x14ac:dyDescent="0.2">
      <c r="A74" s="310" t="s">
        <v>160</v>
      </c>
      <c r="B74" s="311"/>
      <c r="C74" s="311"/>
      <c r="D74" s="323"/>
      <c r="E74" s="323"/>
      <c r="F74" s="324"/>
      <c r="G74" s="324"/>
      <c r="H74" s="309"/>
      <c r="I74" s="309"/>
      <c r="J74" s="309"/>
      <c r="K74" s="309"/>
      <c r="L74" s="309"/>
      <c r="M74" s="309"/>
      <c r="N74" s="309"/>
      <c r="O74" s="309"/>
      <c r="P74" s="309"/>
      <c r="Q74" s="309"/>
      <c r="R74" s="309"/>
      <c r="S74" s="309"/>
      <c r="T74" s="309"/>
      <c r="U74" s="309"/>
      <c r="V74" s="309"/>
      <c r="W74" s="309"/>
      <c r="X74" s="309"/>
      <c r="Y74" s="309"/>
      <c r="Z74" s="180"/>
      <c r="AA74" s="182"/>
    </row>
    <row r="75" spans="1:27" s="181" customFormat="1" ht="12" x14ac:dyDescent="0.2">
      <c r="A75" s="310" t="s">
        <v>161</v>
      </c>
      <c r="B75" s="311"/>
      <c r="C75" s="311"/>
      <c r="D75" s="323"/>
      <c r="E75" s="323"/>
      <c r="F75" s="324"/>
      <c r="G75" s="324"/>
      <c r="H75" s="309"/>
      <c r="I75" s="309"/>
      <c r="J75" s="309"/>
      <c r="K75" s="309"/>
      <c r="L75" s="309"/>
      <c r="M75" s="309"/>
      <c r="N75" s="309"/>
      <c r="O75" s="309"/>
      <c r="P75" s="309"/>
      <c r="Q75" s="309"/>
      <c r="R75" s="309"/>
      <c r="S75" s="309"/>
      <c r="T75" s="309"/>
      <c r="U75" s="309"/>
      <c r="V75" s="309"/>
      <c r="W75" s="309"/>
      <c r="X75" s="309"/>
      <c r="Y75" s="309"/>
      <c r="Z75" s="180"/>
      <c r="AA75" s="182"/>
    </row>
    <row r="76" spans="1:27" s="181" customFormat="1" ht="12" x14ac:dyDescent="0.2">
      <c r="A76" s="310"/>
      <c r="B76" s="309"/>
      <c r="C76" s="309"/>
      <c r="D76" s="309"/>
      <c r="E76" s="309"/>
      <c r="F76" s="309"/>
      <c r="G76" s="309"/>
      <c r="H76" s="309"/>
      <c r="I76" s="309"/>
      <c r="J76" s="309"/>
      <c r="K76" s="309"/>
      <c r="L76" s="309"/>
      <c r="M76" s="309"/>
      <c r="N76" s="309"/>
      <c r="O76" s="309"/>
      <c r="P76" s="309"/>
      <c r="Q76" s="309"/>
      <c r="R76" s="309"/>
      <c r="S76" s="309"/>
      <c r="T76" s="309"/>
      <c r="U76" s="309"/>
      <c r="V76" s="309"/>
      <c r="W76" s="309"/>
      <c r="X76" s="309"/>
      <c r="Y76" s="309"/>
      <c r="Z76" s="180"/>
      <c r="AA76" s="182"/>
    </row>
    <row r="77" spans="1:27" s="181" customFormat="1" ht="12" x14ac:dyDescent="0.2">
      <c r="A77" s="308"/>
      <c r="B77" s="309"/>
      <c r="C77" s="309"/>
      <c r="D77" s="309"/>
      <c r="E77" s="309"/>
      <c r="F77" s="309"/>
      <c r="G77" s="309"/>
      <c r="H77" s="309"/>
      <c r="I77" s="309"/>
      <c r="J77" s="309"/>
      <c r="K77" s="309"/>
      <c r="L77" s="309"/>
      <c r="M77" s="309"/>
      <c r="N77" s="309"/>
      <c r="O77" s="309"/>
      <c r="P77" s="309"/>
      <c r="Q77" s="309"/>
      <c r="R77" s="309"/>
      <c r="S77" s="309"/>
      <c r="T77" s="309"/>
      <c r="U77" s="309"/>
      <c r="V77" s="309"/>
      <c r="W77" s="309"/>
      <c r="X77" s="309"/>
      <c r="Y77" s="309"/>
      <c r="Z77" s="180"/>
      <c r="AA77" s="182"/>
    </row>
    <row r="78" spans="1:27" x14ac:dyDescent="0.25">
      <c r="A78" s="312" t="s">
        <v>162</v>
      </c>
      <c r="B78" s="523">
        <f t="shared" ref="B78:Y78" ca="1" si="18">(B23+B26+B29)</f>
        <v>400</v>
      </c>
      <c r="C78" s="523">
        <f t="shared" ca="1" si="18"/>
        <v>365</v>
      </c>
      <c r="D78" s="523">
        <f t="shared" ca="1" si="18"/>
        <v>340</v>
      </c>
      <c r="E78" s="523">
        <f ca="1">(E23+E26+E29)</f>
        <v>340</v>
      </c>
      <c r="F78" s="523">
        <f t="shared" ca="1" si="18"/>
        <v>335</v>
      </c>
      <c r="G78" s="523">
        <f ca="1">(G23+G26+G29)</f>
        <v>300</v>
      </c>
      <c r="H78" s="523">
        <f ca="1">(H23+H26+H29)</f>
        <v>205</v>
      </c>
      <c r="I78" s="523">
        <f ca="1">(I23+I26+I29)</f>
        <v>135</v>
      </c>
      <c r="J78" s="523">
        <f ca="1">(J23+J26+J29)</f>
        <v>120</v>
      </c>
      <c r="K78" s="523">
        <f t="shared" ca="1" si="18"/>
        <v>155</v>
      </c>
      <c r="L78" s="523">
        <f t="shared" ca="1" si="18"/>
        <v>150</v>
      </c>
      <c r="M78" s="523">
        <f t="shared" ca="1" si="18"/>
        <v>115</v>
      </c>
      <c r="N78" s="523">
        <f t="shared" ca="1" si="18"/>
        <v>105</v>
      </c>
      <c r="O78" s="523">
        <f t="shared" ca="1" si="18"/>
        <v>95</v>
      </c>
      <c r="P78" s="523">
        <f t="shared" ca="1" si="18"/>
        <v>95</v>
      </c>
      <c r="Q78" s="523">
        <f t="shared" ca="1" si="18"/>
        <v>115</v>
      </c>
      <c r="R78" s="523">
        <f t="shared" ca="1" si="18"/>
        <v>115</v>
      </c>
      <c r="S78" s="523">
        <f t="shared" ca="1" si="18"/>
        <v>55</v>
      </c>
      <c r="T78" s="523">
        <f t="shared" ca="1" si="18"/>
        <v>100</v>
      </c>
      <c r="U78" s="523">
        <f t="shared" ca="1" si="18"/>
        <v>110</v>
      </c>
      <c r="V78" s="523">
        <f t="shared" ca="1" si="18"/>
        <v>100</v>
      </c>
      <c r="W78" s="523">
        <f t="shared" ca="1" si="18"/>
        <v>150</v>
      </c>
      <c r="X78" s="523">
        <f t="shared" ca="1" si="18"/>
        <v>155</v>
      </c>
      <c r="Y78" s="523">
        <f t="shared" ca="1" si="18"/>
        <v>280</v>
      </c>
      <c r="Z78" s="181"/>
      <c r="AA78" s="182"/>
    </row>
    <row r="79" spans="1:27" x14ac:dyDescent="0.25">
      <c r="A79" s="312" t="s">
        <v>163</v>
      </c>
      <c r="B79" s="326" t="e">
        <f t="array" ref="B79">IF(SUM(Deals!#REF!)=0,0,SUM(Deals!#REF!*Deals!#REF!)/SUM(Deals!#REF!))</f>
        <v>#REF!</v>
      </c>
      <c r="C79" s="326" t="e">
        <f t="array" ref="C79">IF(SUM(Deals!#REF!)=0,0,SUM(Deals!#REF!*Deals!#REF!)/SUM(Deals!#REF!))</f>
        <v>#REF!</v>
      </c>
      <c r="D79" s="326" t="e">
        <f t="array" ref="D79">IF(SUM(Deals!#REF!)=0,0,SUM(Deals!#REF!*Deals!#REF!)/SUM(Deals!#REF!))</f>
        <v>#REF!</v>
      </c>
      <c r="E79" s="326" t="e">
        <f t="array" ref="E79">IF(SUM(Deals!#REF!)=0,0,SUM(Deals!#REF!*Deals!#REF!)/SUM(Deals!#REF!))</f>
        <v>#REF!</v>
      </c>
      <c r="F79" s="326" t="e">
        <f>IF(SUM(Deals!#REF!)=0,0,SUM(Deals!#REF!*Deals!#REF!)/SUM(Deals!#REF!))</f>
        <v>#REF!</v>
      </c>
      <c r="G79" s="326" t="e">
        <f t="array" ref="G79">IF(SUM(Deals!#REF!)=0,0,SUM(Deals!#REF!*Deals!#REF!)/SUM(Deals!#REF!))</f>
        <v>#REF!</v>
      </c>
      <c r="H79" s="326" t="e">
        <f t="array" ref="H79">IF(SUM(Deals!#REF!)=0,0,SUM(Deals!#REF!*Deals!#REF!)/SUM(Deals!#REF!))</f>
        <v>#REF!</v>
      </c>
      <c r="I79" s="326" t="e">
        <f t="array" ref="I79">IF(SUM(Deals!#REF!)=0,0,SUM(Deals!#REF!*Deals!#REF!)/SUM(Deals!#REF!))</f>
        <v>#REF!</v>
      </c>
      <c r="J79" s="326" t="e">
        <f t="array" ref="J79">IF(SUM(Deals!#REF!)=0,0,SUM(Deals!#REF!*Deals!#REF!)/SUM(Deals!#REF!))</f>
        <v>#REF!</v>
      </c>
      <c r="K79" s="326" t="e">
        <f t="array" ref="K79">IF(SUM(Deals!#REF!)=0,0,SUM(Deals!#REF!*Deals!#REF!)/SUM(Deals!#REF!))</f>
        <v>#REF!</v>
      </c>
      <c r="L79" s="326" t="e">
        <f t="array" ref="L79">IF(SUM(Deals!#REF!)=0,0,SUM(Deals!#REF!*Deals!#REF!)/SUM(Deals!#REF!))</f>
        <v>#REF!</v>
      </c>
      <c r="M79" s="326" t="e">
        <f t="array" ref="M79">IF(SUM(Deals!#REF!)=0,0,SUM(Deals!#REF!*Deals!#REF!)/SUM(Deals!#REF!))</f>
        <v>#REF!</v>
      </c>
      <c r="N79" s="326" t="e">
        <f t="array" ref="N79">IF(SUM(Deals!#REF!)=0,0,SUM(Deals!#REF!*Deals!#REF!)/SUM(Deals!#REF!))</f>
        <v>#REF!</v>
      </c>
      <c r="O79" s="326" t="e">
        <f t="array" ref="O79">IF(SUM(Deals!#REF!)=0,0,SUM(Deals!#REF!*Deals!#REF!)/SUM(Deals!#REF!))</f>
        <v>#REF!</v>
      </c>
      <c r="P79" s="326" t="e">
        <f t="array" ref="P79">IF(SUM(Deals!#REF!)=0,0,SUM(Deals!#REF!*Deals!#REF!)/SUM(Deals!#REF!))</f>
        <v>#REF!</v>
      </c>
      <c r="Q79" s="326" t="e">
        <f t="array" ref="Q79">IF(SUM(Deals!#REF!)=0,0,SUM(Deals!#REF!*Deals!#REF!)/SUM(Deals!#REF!))</f>
        <v>#REF!</v>
      </c>
      <c r="R79" s="326" t="e">
        <f t="array" ref="R79">IF(SUM(Deals!#REF!)=0,0,SUM(Deals!#REF!*Deals!#REF!)/SUM(Deals!#REF!))</f>
        <v>#REF!</v>
      </c>
      <c r="S79" s="326" t="e">
        <f t="array" ref="S79">IF(SUM(Deals!#REF!)=0,0,SUM(Deals!#REF!*Deals!#REF!)/SUM(Deals!#REF!))</f>
        <v>#REF!</v>
      </c>
      <c r="T79" s="326" t="e">
        <f t="array" ref="T79">IF(SUM(Deals!#REF!)=0,0,SUM(Deals!#REF!*Deals!#REF!)/SUM(Deals!#REF!))</f>
        <v>#REF!</v>
      </c>
      <c r="U79" s="326" t="e">
        <f t="array" ref="U79">IF(SUM(Deals!#REF!)=0,0,SUM(Deals!#REF!*Deals!#REF!)/SUM(Deals!#REF!))</f>
        <v>#REF!</v>
      </c>
      <c r="V79" s="326" t="e">
        <f t="array" ref="V79">IF(SUM(Deals!#REF!)=0,0,SUM(Deals!#REF!*Deals!#REF!)/SUM(Deals!#REF!))</f>
        <v>#REF!</v>
      </c>
      <c r="W79" s="326" t="e">
        <f t="array" ref="W79">IF(SUM(Deals!#REF!)=0,0,SUM(Deals!#REF!*Deals!#REF!)/SUM(Deals!#REF!))</f>
        <v>#REF!</v>
      </c>
      <c r="X79" s="326" t="e">
        <f t="array" ref="X79">IF(SUM(Deals!#REF!)=0,0,SUM(Deals!#REF!*Deals!#REF!)/SUM(Deals!#REF!))</f>
        <v>#REF!</v>
      </c>
      <c r="Y79" s="326" t="e">
        <f t="array" ref="Y79">IF(SUM(Deals!#REF!)=0,0,SUM(Deals!#REF!*Deals!#REF!)/SUM(Deals!#REF!))</f>
        <v>#REF!</v>
      </c>
      <c r="Z79" s="181"/>
      <c r="AA79" s="182"/>
    </row>
    <row r="80" spans="1:27" x14ac:dyDescent="0.25">
      <c r="A80" s="312" t="s">
        <v>164</v>
      </c>
      <c r="B80" s="524">
        <f>Deals!AD120</f>
        <v>0</v>
      </c>
      <c r="C80" s="313" t="e">
        <f>SUM(Deals!#REF!)</f>
        <v>#REF!</v>
      </c>
      <c r="D80" s="313" t="e">
        <f>SUM(Deals!#REF!)</f>
        <v>#REF!</v>
      </c>
      <c r="E80" s="313" t="e">
        <f>SUM(Deals!#REF!)</f>
        <v>#REF!</v>
      </c>
      <c r="F80" s="313" t="e">
        <f>SUM(Deals!#REF!)</f>
        <v>#REF!</v>
      </c>
      <c r="G80" s="313" t="e">
        <f>SUM(Deals!#REF!)</f>
        <v>#REF!</v>
      </c>
      <c r="H80" s="313" t="e">
        <f>SUM(Deals!#REF!)</f>
        <v>#REF!</v>
      </c>
      <c r="I80" s="313" t="e">
        <f>SUM(Deals!#REF!)</f>
        <v>#REF!</v>
      </c>
      <c r="J80" s="313" t="e">
        <f>SUM(Deals!#REF!)</f>
        <v>#REF!</v>
      </c>
      <c r="K80" s="313" t="e">
        <f>SUM(Deals!#REF!)</f>
        <v>#REF!</v>
      </c>
      <c r="L80" s="313" t="e">
        <f>SUM(Deals!#REF!)</f>
        <v>#REF!</v>
      </c>
      <c r="M80" s="313" t="e">
        <f>SUM(Deals!#REF!)</f>
        <v>#REF!</v>
      </c>
      <c r="N80" s="313" t="e">
        <f>SUM(Deals!#REF!)</f>
        <v>#REF!</v>
      </c>
      <c r="O80" s="313" t="e">
        <f>SUM(Deals!#REF!)</f>
        <v>#REF!</v>
      </c>
      <c r="P80" s="313" t="e">
        <f>SUM(Deals!#REF!)</f>
        <v>#REF!</v>
      </c>
      <c r="Q80" s="313" t="e">
        <f>SUM(Deals!#REF!)</f>
        <v>#REF!</v>
      </c>
      <c r="R80" s="313" t="e">
        <f>SUM(Deals!#REF!)</f>
        <v>#REF!</v>
      </c>
      <c r="S80" s="313" t="e">
        <f>SUM(Deals!#REF!)</f>
        <v>#REF!</v>
      </c>
      <c r="T80" s="313" t="e">
        <f>SUM(Deals!#REF!)</f>
        <v>#REF!</v>
      </c>
      <c r="U80" s="313" t="e">
        <f>SUM(Deals!#REF!)</f>
        <v>#REF!</v>
      </c>
      <c r="V80" s="313" t="e">
        <f>SUM(Deals!#REF!)</f>
        <v>#REF!</v>
      </c>
      <c r="W80" s="313" t="e">
        <f>SUM(Deals!#REF!)</f>
        <v>#REF!</v>
      </c>
      <c r="X80" s="313" t="e">
        <f>SUM(Deals!#REF!)</f>
        <v>#REF!</v>
      </c>
      <c r="Y80" s="313" t="e">
        <f>SUM(Deals!#REF!)</f>
        <v>#REF!</v>
      </c>
      <c r="Z80" s="181"/>
      <c r="AA80" s="182"/>
    </row>
    <row r="81" spans="1:27" x14ac:dyDescent="0.25">
      <c r="A81" s="312" t="s">
        <v>165</v>
      </c>
      <c r="B81" s="320" t="e">
        <f t="array" ref="B81">IF(SUM(Deals!#REF!)=0,0,SUM(Deals!#REF!*Deals!#REF!)/SUM(Deals!#REF!))</f>
        <v>#REF!</v>
      </c>
      <c r="C81" s="320" t="e">
        <f t="array" ref="C81">IF(SUM(Deals!#REF!)=0,0,SUM(Deals!#REF!*Deals!#REF!)/SUM(Deals!#REF!))</f>
        <v>#REF!</v>
      </c>
      <c r="D81" s="320" t="e">
        <f t="array" ref="D81">IF(SUM(Deals!#REF!)=0,0,SUM(Deals!#REF!*Deals!#REF!)/SUM(Deals!#REF!))</f>
        <v>#REF!</v>
      </c>
      <c r="E81" s="320" t="e">
        <f t="array" ref="E81">IF(SUM(Deals!#REF!)=0,0,SUM(Deals!#REF!*Deals!#REF!)/SUM(Deals!#REF!))</f>
        <v>#REF!</v>
      </c>
      <c r="F81" s="320" t="e">
        <f t="array" ref="F81">IF(SUM(Deals!#REF!)=0,0,SUM(Deals!#REF!*Deals!#REF!)/SUM(Deals!#REF!))</f>
        <v>#REF!</v>
      </c>
      <c r="G81" s="320" t="e">
        <f t="array" ref="G81">IF(SUM(Deals!#REF!)=0,0,SUM(Deals!#REF!*Deals!#REF!)/SUM(Deals!#REF!))</f>
        <v>#REF!</v>
      </c>
      <c r="H81" s="320" t="e">
        <f t="array" ref="H81">IF(SUM(Deals!#REF!)=0,0,SUM(Deals!#REF!*Deals!#REF!)/SUM(Deals!#REF!))</f>
        <v>#REF!</v>
      </c>
      <c r="I81" s="320" t="e">
        <f t="array" ref="I81">IF(SUM(Deals!#REF!)=0,0,SUM(Deals!#REF!*Deals!#REF!)/SUM(Deals!#REF!))</f>
        <v>#REF!</v>
      </c>
      <c r="J81" s="320" t="e">
        <f t="array" ref="J81">IF(SUM(Deals!#REF!)=0,0,SUM(Deals!#REF!*Deals!#REF!)/SUM(Deals!#REF!))</f>
        <v>#REF!</v>
      </c>
      <c r="K81" s="320" t="e">
        <f t="array" ref="K81">IF(SUM(Deals!#REF!)=0,0,SUM(Deals!#REF!*Deals!#REF!)/SUM(Deals!#REF!))</f>
        <v>#REF!</v>
      </c>
      <c r="L81" s="320" t="e">
        <f t="array" ref="L81">IF(SUM(Deals!#REF!)=0,0,SUM(Deals!#REF!*Deals!#REF!)/SUM(Deals!#REF!))</f>
        <v>#REF!</v>
      </c>
      <c r="M81" s="320" t="e">
        <f t="array" ref="M81">IF(SUM(Deals!#REF!)=0,0,SUM(Deals!#REF!*Deals!#REF!)/SUM(Deals!#REF!))</f>
        <v>#REF!</v>
      </c>
      <c r="N81" s="320" t="e">
        <f t="array" ref="N81">IF(SUM(Deals!#REF!)=0,0,SUM(Deals!#REF!*Deals!#REF!)/SUM(Deals!#REF!))</f>
        <v>#REF!</v>
      </c>
      <c r="O81" s="320" t="e">
        <f t="array" ref="O81">IF(SUM(Deals!#REF!)=0,0,SUM(Deals!#REF!*Deals!#REF!)/SUM(Deals!#REF!))</f>
        <v>#REF!</v>
      </c>
      <c r="P81" s="326" t="e">
        <f t="array" ref="P81">IF(SUM(Deals!#REF!)=0,0,SUM(Deals!#REF!*Deals!#REF!)/SUM(Deals!#REF!))</f>
        <v>#REF!</v>
      </c>
      <c r="Q81" s="320" t="e">
        <f t="array" ref="Q81">IF(SUM(Deals!#REF!)=0,0,SUM(Deals!#REF!*Deals!#REF!)/SUM(Deals!#REF!))</f>
        <v>#REF!</v>
      </c>
      <c r="R81" s="320" t="e">
        <f t="array" ref="R81">IF(SUM(Deals!#REF!)=0,0,SUM(Deals!#REF!*Deals!#REF!)/SUM(Deals!#REF!))</f>
        <v>#REF!</v>
      </c>
      <c r="S81" s="320" t="e">
        <f t="array" ref="S81">IF(SUM(Deals!#REF!)=0,0,SUM(Deals!#REF!*Deals!#REF!)/SUM(Deals!#REF!))</f>
        <v>#REF!</v>
      </c>
      <c r="T81" s="320" t="e">
        <f t="array" ref="T81">IF(SUM(Deals!#REF!)=0,0,SUM(Deals!#REF!*Deals!#REF!)/SUM(Deals!#REF!))</f>
        <v>#REF!</v>
      </c>
      <c r="U81" s="320" t="e">
        <f t="array" ref="U81">IF(SUM(Deals!#REF!)=0,0,SUM(Deals!#REF!*Deals!#REF!)/SUM(Deals!#REF!))</f>
        <v>#REF!</v>
      </c>
      <c r="V81" s="320" t="e">
        <f t="array" ref="V81">IF(SUM(Deals!#REF!)=0,0,SUM(Deals!#REF!*Deals!#REF!)/SUM(Deals!#REF!))</f>
        <v>#REF!</v>
      </c>
      <c r="W81" s="320" t="e">
        <f t="array" ref="W81">IF(SUM(Deals!#REF!)=0,0,SUM(Deals!#REF!*Deals!#REF!)/SUM(Deals!#REF!))</f>
        <v>#REF!</v>
      </c>
      <c r="X81" s="320" t="e">
        <f t="array" ref="X81">IF(SUM(Deals!#REF!)=0,0,SUM(Deals!#REF!*Deals!#REF!)/SUM(Deals!#REF!))</f>
        <v>#REF!</v>
      </c>
      <c r="Y81" s="320" t="e">
        <f t="array" ref="Y81">IF(SUM(Deals!#REF!)=0,0,SUM(Deals!#REF!*Deals!#REF!)/SUM(Deals!#REF!))</f>
        <v>#REF!</v>
      </c>
      <c r="Z81" s="181"/>
      <c r="AA81" s="182"/>
    </row>
    <row r="82" spans="1:27" s="318" customFormat="1" x14ac:dyDescent="0.25">
      <c r="A82" s="315"/>
      <c r="B82" s="319" t="s">
        <v>166</v>
      </c>
      <c r="C82" s="319" t="s">
        <v>167</v>
      </c>
      <c r="D82" s="314"/>
      <c r="E82" s="314"/>
      <c r="F82" s="314"/>
      <c r="G82" s="314"/>
      <c r="H82" s="314"/>
      <c r="I82" s="314"/>
      <c r="J82" s="314"/>
      <c r="K82" s="314"/>
      <c r="L82" s="314"/>
      <c r="M82" s="314"/>
      <c r="N82" s="314"/>
      <c r="O82" s="314"/>
      <c r="P82" s="314"/>
      <c r="Q82" s="314"/>
      <c r="R82" s="314"/>
      <c r="S82" s="314"/>
      <c r="T82" s="314"/>
      <c r="U82" s="314"/>
      <c r="V82" s="314"/>
      <c r="W82" s="314"/>
      <c r="X82" s="314"/>
      <c r="Y82" s="314"/>
      <c r="Z82" s="316"/>
      <c r="AA82" s="317"/>
    </row>
    <row r="83" spans="1:27" x14ac:dyDescent="0.25">
      <c r="A83" s="312" t="s">
        <v>168</v>
      </c>
      <c r="B83" s="313">
        <f ca="1">SUM(B78:Y78)</f>
        <v>4435</v>
      </c>
      <c r="C83" s="326" t="e">
        <f t="array" ref="C83">IF(SUM(Deals!#REF!)=0,0,SUM(Deals!#REF!*Deals!#REF!)/SUM(Deals!#REF!))</f>
        <v>#REF!</v>
      </c>
      <c r="D83" s="177"/>
      <c r="E83" s="177"/>
      <c r="F83" s="177"/>
      <c r="G83" s="177"/>
      <c r="H83" s="177"/>
      <c r="I83" s="177"/>
      <c r="J83" s="177"/>
      <c r="K83" s="177"/>
      <c r="L83" s="177"/>
      <c r="M83" s="177"/>
      <c r="N83" s="177"/>
      <c r="O83" s="177"/>
      <c r="P83" s="177"/>
      <c r="Q83" s="177"/>
      <c r="R83" s="177"/>
      <c r="S83" s="177"/>
      <c r="T83" s="177"/>
      <c r="U83" s="177"/>
      <c r="V83" s="177"/>
      <c r="W83" s="177"/>
      <c r="X83" s="177"/>
      <c r="Y83" s="177"/>
      <c r="Z83" s="181"/>
      <c r="AA83" s="182"/>
    </row>
    <row r="84" spans="1:27" x14ac:dyDescent="0.25">
      <c r="A84" s="312" t="s">
        <v>169</v>
      </c>
      <c r="B84" s="313" t="e">
        <f>SUM(B80:Y80)</f>
        <v>#REF!</v>
      </c>
      <c r="C84" s="326" t="e">
        <f t="array" ref="C84">IF(SUM(Deals!#REF!)=0,0,SUM(Deals!#REF!*Deals!#REF!)/SUM(Deals!#REF!))</f>
        <v>#REF!</v>
      </c>
      <c r="D84" s="177"/>
      <c r="E84" s="177"/>
      <c r="F84" s="177"/>
      <c r="G84" s="177"/>
      <c r="H84" s="177"/>
      <c r="I84" s="177"/>
      <c r="J84" s="177"/>
      <c r="K84" s="177"/>
      <c r="L84" s="177"/>
      <c r="M84" s="177"/>
      <c r="N84" s="177"/>
      <c r="O84" s="177"/>
      <c r="P84" s="177"/>
      <c r="Q84" s="177"/>
      <c r="R84" s="177"/>
      <c r="S84" s="177"/>
      <c r="T84" s="177"/>
      <c r="U84" s="177"/>
      <c r="V84" s="177"/>
      <c r="W84" s="177"/>
      <c r="X84" s="177"/>
      <c r="Y84" s="177"/>
      <c r="Z84" s="181"/>
      <c r="AA84" s="182"/>
    </row>
    <row r="85" spans="1:27" ht="13.8" thickBot="1" x14ac:dyDescent="0.3">
      <c r="A85" s="312"/>
      <c r="Z85" s="181"/>
      <c r="AA85" s="182"/>
    </row>
    <row r="86" spans="1:27" x14ac:dyDescent="0.25">
      <c r="A86" s="312"/>
      <c r="X86" s="247"/>
      <c r="Y86" s="248" t="s">
        <v>170</v>
      </c>
      <c r="Z86" s="280" t="e">
        <f>SUM(Z89,Z92,Z95,Z98,Z101,Z105,Z110,Z115,Z120,Z125,Z130,Z135,Z140,Z145,Z150,Z155,Z160)</f>
        <v>#REF!</v>
      </c>
    </row>
    <row r="87" spans="1:27" x14ac:dyDescent="0.25">
      <c r="X87" s="249"/>
      <c r="Y87" s="250" t="s">
        <v>171</v>
      </c>
      <c r="Z87" s="281">
        <f ca="1">SUM(Z90,Z93,Z96,Z99,Z102,Z107,Z112,Z117,Z122,Z127,Z132,Z137,Z142,Z147,Z152,Z157,Z162)</f>
        <v>235637.92455355506</v>
      </c>
    </row>
    <row r="88" spans="1:27" ht="13.8" thickBot="1" x14ac:dyDescent="0.3">
      <c r="A88" s="193" t="s">
        <v>172</v>
      </c>
      <c r="X88" s="251"/>
      <c r="Y88" s="252" t="s">
        <v>173</v>
      </c>
      <c r="Z88" s="282" t="e">
        <f ca="1">Z86-Z87</f>
        <v>#REF!</v>
      </c>
    </row>
    <row r="89" spans="1:27" x14ac:dyDescent="0.25">
      <c r="A89" s="253" t="str">
        <f>Economics!A28</f>
        <v>4 Corners Unit 4</v>
      </c>
      <c r="B89" s="254">
        <f t="shared" ref="B89:Y89" si="19">B56</f>
        <v>55</v>
      </c>
      <c r="C89" s="254">
        <f t="shared" si="19"/>
        <v>72</v>
      </c>
      <c r="D89" s="254">
        <f t="shared" si="19"/>
        <v>99</v>
      </c>
      <c r="E89" s="254">
        <f t="shared" si="19"/>
        <v>101</v>
      </c>
      <c r="F89" s="254">
        <f t="shared" si="19"/>
        <v>101</v>
      </c>
      <c r="G89" s="254">
        <f t="shared" si="19"/>
        <v>102</v>
      </c>
      <c r="H89" s="254">
        <f t="shared" si="19"/>
        <v>102</v>
      </c>
      <c r="I89" s="254">
        <f t="shared" si="19"/>
        <v>102</v>
      </c>
      <c r="J89" s="254">
        <f t="shared" si="19"/>
        <v>102</v>
      </c>
      <c r="K89" s="254">
        <f t="shared" si="19"/>
        <v>103</v>
      </c>
      <c r="L89" s="254">
        <f t="shared" si="19"/>
        <v>103</v>
      </c>
      <c r="M89" s="254">
        <f>M57</f>
        <v>0</v>
      </c>
      <c r="N89" s="254">
        <f t="shared" si="19"/>
        <v>103</v>
      </c>
      <c r="O89" s="254">
        <f t="shared" si="19"/>
        <v>102</v>
      </c>
      <c r="P89" s="254">
        <f t="shared" si="19"/>
        <v>102</v>
      </c>
      <c r="Q89" s="254">
        <f t="shared" si="19"/>
        <v>102</v>
      </c>
      <c r="R89" s="254">
        <f t="shared" si="19"/>
        <v>101</v>
      </c>
      <c r="S89" s="254">
        <f t="shared" si="19"/>
        <v>101</v>
      </c>
      <c r="T89" s="254">
        <f t="shared" si="19"/>
        <v>102</v>
      </c>
      <c r="U89" s="254">
        <f t="shared" si="19"/>
        <v>103</v>
      </c>
      <c r="V89" s="254">
        <f t="shared" si="19"/>
        <v>102</v>
      </c>
      <c r="W89" s="254">
        <f t="shared" si="19"/>
        <v>103</v>
      </c>
      <c r="X89" s="254">
        <f t="shared" si="19"/>
        <v>103</v>
      </c>
      <c r="Y89" s="254">
        <f t="shared" si="19"/>
        <v>103</v>
      </c>
      <c r="Z89" s="283">
        <f t="array" ref="Z89">SUM(B89:Y89*Economics!F$28)</f>
        <v>29666.902720000013</v>
      </c>
    </row>
    <row r="90" spans="1:27" x14ac:dyDescent="0.25">
      <c r="A90" s="205" t="s">
        <v>171</v>
      </c>
      <c r="B90" s="207">
        <v>103</v>
      </c>
      <c r="C90" s="207">
        <v>52</v>
      </c>
      <c r="D90" s="207">
        <v>2</v>
      </c>
      <c r="E90" s="207">
        <v>2</v>
      </c>
      <c r="F90" s="207">
        <v>2</v>
      </c>
      <c r="G90" s="207">
        <v>2</v>
      </c>
      <c r="H90" s="207">
        <v>52</v>
      </c>
      <c r="I90" s="207">
        <v>52</v>
      </c>
      <c r="J90" s="207">
        <v>52</v>
      </c>
      <c r="K90" s="207">
        <v>52</v>
      </c>
      <c r="L90" s="207">
        <v>103</v>
      </c>
      <c r="M90" s="207">
        <v>103</v>
      </c>
      <c r="N90" s="207">
        <v>103</v>
      </c>
      <c r="O90" s="207">
        <v>103</v>
      </c>
      <c r="P90" s="207">
        <v>103</v>
      </c>
      <c r="Q90" s="207">
        <v>103</v>
      </c>
      <c r="R90" s="207">
        <v>103</v>
      </c>
      <c r="S90" s="207">
        <v>103</v>
      </c>
      <c r="T90" s="207">
        <v>103</v>
      </c>
      <c r="U90" s="207">
        <v>103</v>
      </c>
      <c r="V90" s="207">
        <v>52</v>
      </c>
      <c r="W90" s="207">
        <v>52</v>
      </c>
      <c r="X90" s="207">
        <v>52</v>
      </c>
      <c r="Y90" s="207">
        <v>52</v>
      </c>
      <c r="Z90" s="284">
        <f t="array" ref="Z90">SUM(B90:Y90*Economics!F$28)</f>
        <v>21037.481919999995</v>
      </c>
    </row>
    <row r="91" spans="1:27" ht="13.8" thickBot="1" x14ac:dyDescent="0.3">
      <c r="A91" s="208" t="s">
        <v>173</v>
      </c>
      <c r="B91" s="232">
        <f t="shared" ref="B91:Y91" si="20">B90-B89</f>
        <v>48</v>
      </c>
      <c r="C91" s="232">
        <f t="shared" si="20"/>
        <v>-20</v>
      </c>
      <c r="D91" s="232">
        <f t="shared" si="20"/>
        <v>-97</v>
      </c>
      <c r="E91" s="232">
        <f t="shared" si="20"/>
        <v>-99</v>
      </c>
      <c r="F91" s="232">
        <f t="shared" si="20"/>
        <v>-99</v>
      </c>
      <c r="G91" s="232">
        <f t="shared" si="20"/>
        <v>-100</v>
      </c>
      <c r="H91" s="232">
        <f t="shared" si="20"/>
        <v>-50</v>
      </c>
      <c r="I91" s="232">
        <f t="shared" si="20"/>
        <v>-50</v>
      </c>
      <c r="J91" s="232">
        <f t="shared" si="20"/>
        <v>-50</v>
      </c>
      <c r="K91" s="232">
        <f t="shared" si="20"/>
        <v>-51</v>
      </c>
      <c r="L91" s="232">
        <f t="shared" si="20"/>
        <v>0</v>
      </c>
      <c r="M91" s="232">
        <f t="shared" si="20"/>
        <v>103</v>
      </c>
      <c r="N91" s="232">
        <f t="shared" si="20"/>
        <v>0</v>
      </c>
      <c r="O91" s="232">
        <f t="shared" si="20"/>
        <v>1</v>
      </c>
      <c r="P91" s="232">
        <f t="shared" si="20"/>
        <v>1</v>
      </c>
      <c r="Q91" s="232">
        <f t="shared" si="20"/>
        <v>1</v>
      </c>
      <c r="R91" s="232">
        <f t="shared" si="20"/>
        <v>2</v>
      </c>
      <c r="S91" s="232">
        <f t="shared" si="20"/>
        <v>2</v>
      </c>
      <c r="T91" s="232">
        <f t="shared" si="20"/>
        <v>1</v>
      </c>
      <c r="U91" s="232">
        <f t="shared" si="20"/>
        <v>0</v>
      </c>
      <c r="V91" s="232">
        <f t="shared" si="20"/>
        <v>-50</v>
      </c>
      <c r="W91" s="232">
        <f t="shared" si="20"/>
        <v>-51</v>
      </c>
      <c r="X91" s="232">
        <f t="shared" si="20"/>
        <v>-51</v>
      </c>
      <c r="Y91" s="232">
        <f t="shared" si="20"/>
        <v>-51</v>
      </c>
      <c r="Z91" s="286">
        <f>Z89-Z90</f>
        <v>8629.4208000000181</v>
      </c>
    </row>
    <row r="92" spans="1:27" x14ac:dyDescent="0.25">
      <c r="A92" s="204" t="str">
        <f>Economics!A29</f>
        <v>4 Corners Unit 5</v>
      </c>
      <c r="B92" s="202">
        <f t="shared" ref="B92:Y92" si="21">B57</f>
        <v>0</v>
      </c>
      <c r="C92" s="202">
        <f t="shared" si="21"/>
        <v>0</v>
      </c>
      <c r="D92" s="202">
        <f t="shared" si="21"/>
        <v>0</v>
      </c>
      <c r="E92" s="202">
        <f t="shared" si="21"/>
        <v>0</v>
      </c>
      <c r="F92" s="202">
        <f t="shared" si="21"/>
        <v>0</v>
      </c>
      <c r="G92" s="202">
        <f t="shared" si="21"/>
        <v>0</v>
      </c>
      <c r="H92" s="202">
        <f t="shared" si="21"/>
        <v>0</v>
      </c>
      <c r="I92" s="202">
        <f t="shared" si="21"/>
        <v>0</v>
      </c>
      <c r="J92" s="202">
        <f t="shared" si="21"/>
        <v>0</v>
      </c>
      <c r="K92" s="202">
        <f t="shared" si="21"/>
        <v>0</v>
      </c>
      <c r="L92" s="202">
        <f t="shared" si="21"/>
        <v>0</v>
      </c>
      <c r="M92" s="202" t="e">
        <f>#REF!</f>
        <v>#REF!</v>
      </c>
      <c r="N92" s="202">
        <f t="shared" si="21"/>
        <v>0</v>
      </c>
      <c r="O92" s="202">
        <f t="shared" si="21"/>
        <v>0</v>
      </c>
      <c r="P92" s="202">
        <f t="shared" si="21"/>
        <v>0</v>
      </c>
      <c r="Q92" s="202">
        <f t="shared" si="21"/>
        <v>0</v>
      </c>
      <c r="R92" s="202">
        <f t="shared" si="21"/>
        <v>0</v>
      </c>
      <c r="S92" s="202">
        <f t="shared" si="21"/>
        <v>0</v>
      </c>
      <c r="T92" s="202">
        <f t="shared" si="21"/>
        <v>0</v>
      </c>
      <c r="U92" s="202">
        <f t="shared" si="21"/>
        <v>0</v>
      </c>
      <c r="V92" s="202">
        <f t="shared" si="21"/>
        <v>0</v>
      </c>
      <c r="W92" s="202">
        <f t="shared" si="21"/>
        <v>0</v>
      </c>
      <c r="X92" s="202">
        <f t="shared" si="21"/>
        <v>0</v>
      </c>
      <c r="Y92" s="202">
        <f t="shared" si="21"/>
        <v>0</v>
      </c>
      <c r="Z92" s="285" t="e">
        <f t="array" ref="Z92">SUM(B92:Y92*Economics!F$29)</f>
        <v>#REF!</v>
      </c>
    </row>
    <row r="93" spans="1:27" x14ac:dyDescent="0.25">
      <c r="A93" s="205" t="s">
        <v>171</v>
      </c>
      <c r="B93" s="207">
        <v>50</v>
      </c>
      <c r="C93" s="207"/>
      <c r="D93" s="207"/>
      <c r="E93" s="207"/>
      <c r="F93" s="207"/>
      <c r="G93" s="207"/>
      <c r="H93" s="207"/>
      <c r="I93" s="207"/>
      <c r="J93" s="207"/>
      <c r="K93" s="207"/>
      <c r="L93" s="207"/>
      <c r="M93" s="207"/>
      <c r="N93" s="207"/>
      <c r="O93" s="207"/>
      <c r="P93" s="207"/>
      <c r="Q93" s="207"/>
      <c r="R93" s="207"/>
      <c r="S93" s="207"/>
      <c r="T93" s="207"/>
      <c r="U93" s="207"/>
      <c r="V93" s="207"/>
      <c r="W93" s="207"/>
      <c r="X93" s="207"/>
      <c r="Y93" s="207"/>
      <c r="Z93" s="284">
        <f t="array" ref="Z93">SUM(B93:Y93*Economics!F$29)</f>
        <v>653.74400000000014</v>
      </c>
    </row>
    <row r="94" spans="1:27" ht="13.8" thickBot="1" x14ac:dyDescent="0.3">
      <c r="A94" s="208" t="s">
        <v>173</v>
      </c>
      <c r="B94" s="232">
        <f t="shared" ref="B94:Y94" si="22">B93-B92</f>
        <v>50</v>
      </c>
      <c r="C94" s="232">
        <f t="shared" si="22"/>
        <v>0</v>
      </c>
      <c r="D94" s="232">
        <f t="shared" si="22"/>
        <v>0</v>
      </c>
      <c r="E94" s="232">
        <f t="shared" si="22"/>
        <v>0</v>
      </c>
      <c r="F94" s="232">
        <f t="shared" si="22"/>
        <v>0</v>
      </c>
      <c r="G94" s="232">
        <f t="shared" si="22"/>
        <v>0</v>
      </c>
      <c r="H94" s="232">
        <f t="shared" si="22"/>
        <v>0</v>
      </c>
      <c r="I94" s="232">
        <f t="shared" si="22"/>
        <v>0</v>
      </c>
      <c r="J94" s="232">
        <f t="shared" si="22"/>
        <v>0</v>
      </c>
      <c r="K94" s="232">
        <f t="shared" si="22"/>
        <v>0</v>
      </c>
      <c r="L94" s="232">
        <f t="shared" si="22"/>
        <v>0</v>
      </c>
      <c r="M94" s="232" t="e">
        <f t="shared" si="22"/>
        <v>#REF!</v>
      </c>
      <c r="N94" s="232">
        <f t="shared" si="22"/>
        <v>0</v>
      </c>
      <c r="O94" s="232">
        <f t="shared" si="22"/>
        <v>0</v>
      </c>
      <c r="P94" s="232">
        <f t="shared" si="22"/>
        <v>0</v>
      </c>
      <c r="Q94" s="232">
        <f t="shared" si="22"/>
        <v>0</v>
      </c>
      <c r="R94" s="232">
        <f t="shared" si="22"/>
        <v>0</v>
      </c>
      <c r="S94" s="232">
        <f t="shared" si="22"/>
        <v>0</v>
      </c>
      <c r="T94" s="232">
        <f t="shared" si="22"/>
        <v>0</v>
      </c>
      <c r="U94" s="232">
        <f t="shared" si="22"/>
        <v>0</v>
      </c>
      <c r="V94" s="232">
        <f t="shared" si="22"/>
        <v>0</v>
      </c>
      <c r="W94" s="232">
        <f t="shared" si="22"/>
        <v>0</v>
      </c>
      <c r="X94" s="232">
        <f t="shared" si="22"/>
        <v>0</v>
      </c>
      <c r="Y94" s="232">
        <f t="shared" si="22"/>
        <v>0</v>
      </c>
      <c r="Z94" s="286" t="e">
        <f>Z92-Z93</f>
        <v>#REF!</v>
      </c>
    </row>
    <row r="95" spans="1:27" x14ac:dyDescent="0.25">
      <c r="A95" s="204" t="str">
        <f>Economics!A30</f>
        <v>PV Unit 1</v>
      </c>
      <c r="B95" s="202">
        <f t="shared" ref="B95:Y95" si="23">B53</f>
        <v>199</v>
      </c>
      <c r="C95" s="202">
        <f t="shared" si="23"/>
        <v>199</v>
      </c>
      <c r="D95" s="202">
        <f t="shared" si="23"/>
        <v>199</v>
      </c>
      <c r="E95" s="202">
        <f t="shared" si="23"/>
        <v>199</v>
      </c>
      <c r="F95" s="202">
        <f t="shared" si="23"/>
        <v>200</v>
      </c>
      <c r="G95" s="202">
        <f t="shared" si="23"/>
        <v>199</v>
      </c>
      <c r="H95" s="202">
        <f t="shared" si="23"/>
        <v>199</v>
      </c>
      <c r="I95" s="202">
        <f t="shared" si="23"/>
        <v>200</v>
      </c>
      <c r="J95" s="202">
        <f t="shared" si="23"/>
        <v>200</v>
      </c>
      <c r="K95" s="202">
        <f t="shared" si="23"/>
        <v>200</v>
      </c>
      <c r="L95" s="202">
        <f t="shared" si="23"/>
        <v>199</v>
      </c>
      <c r="M95" s="202">
        <f t="shared" si="23"/>
        <v>199</v>
      </c>
      <c r="N95" s="202">
        <f t="shared" si="23"/>
        <v>199</v>
      </c>
      <c r="O95" s="202">
        <f t="shared" si="23"/>
        <v>199</v>
      </c>
      <c r="P95" s="202">
        <f t="shared" si="23"/>
        <v>199</v>
      </c>
      <c r="Q95" s="202">
        <f t="shared" si="23"/>
        <v>199</v>
      </c>
      <c r="R95" s="202">
        <f t="shared" si="23"/>
        <v>200</v>
      </c>
      <c r="S95" s="202">
        <f t="shared" si="23"/>
        <v>199</v>
      </c>
      <c r="T95" s="202">
        <f t="shared" si="23"/>
        <v>199</v>
      </c>
      <c r="U95" s="202">
        <f t="shared" si="23"/>
        <v>199</v>
      </c>
      <c r="V95" s="202">
        <f t="shared" si="23"/>
        <v>199</v>
      </c>
      <c r="W95" s="202">
        <f t="shared" si="23"/>
        <v>199</v>
      </c>
      <c r="X95" s="202">
        <f t="shared" si="23"/>
        <v>199</v>
      </c>
      <c r="Y95" s="202">
        <f t="shared" si="23"/>
        <v>199</v>
      </c>
      <c r="Z95" s="285">
        <f t="array" ref="Z95">SUM(B95:Y95*Economics!F$30)</f>
        <v>29144.975999999995</v>
      </c>
    </row>
    <row r="96" spans="1:27" x14ac:dyDescent="0.25">
      <c r="A96" s="205" t="s">
        <v>171</v>
      </c>
      <c r="B96" s="207">
        <v>200</v>
      </c>
      <c r="C96" s="207">
        <v>200</v>
      </c>
      <c r="D96" s="207">
        <v>200</v>
      </c>
      <c r="E96" s="207">
        <v>200</v>
      </c>
      <c r="F96" s="207">
        <v>200</v>
      </c>
      <c r="G96" s="207">
        <v>200</v>
      </c>
      <c r="H96" s="207">
        <v>200</v>
      </c>
      <c r="I96" s="207">
        <v>200</v>
      </c>
      <c r="J96" s="207">
        <v>200</v>
      </c>
      <c r="K96" s="207">
        <v>200</v>
      </c>
      <c r="L96" s="207">
        <v>200</v>
      </c>
      <c r="M96" s="207">
        <v>200</v>
      </c>
      <c r="N96" s="207">
        <v>200</v>
      </c>
      <c r="O96" s="207">
        <v>200</v>
      </c>
      <c r="P96" s="207">
        <v>200</v>
      </c>
      <c r="Q96" s="207">
        <v>200</v>
      </c>
      <c r="R96" s="207">
        <v>200</v>
      </c>
      <c r="S96" s="207">
        <v>200</v>
      </c>
      <c r="T96" s="207">
        <v>200</v>
      </c>
      <c r="U96" s="207">
        <v>200</v>
      </c>
      <c r="V96" s="207">
        <v>200</v>
      </c>
      <c r="W96" s="207">
        <v>200</v>
      </c>
      <c r="X96" s="207">
        <v>200</v>
      </c>
      <c r="Y96" s="207">
        <v>200</v>
      </c>
      <c r="Z96" s="284">
        <f t="array" ref="Z96">SUM(B96:Y96*Economics!F$30)</f>
        <v>29260.80000000001</v>
      </c>
    </row>
    <row r="97" spans="1:29" ht="13.8" thickBot="1" x14ac:dyDescent="0.3">
      <c r="A97" s="208" t="s">
        <v>173</v>
      </c>
      <c r="B97" s="232">
        <f t="shared" ref="B97:Y97" si="24">B96-B95</f>
        <v>1</v>
      </c>
      <c r="C97" s="232">
        <f t="shared" si="24"/>
        <v>1</v>
      </c>
      <c r="D97" s="232">
        <f t="shared" si="24"/>
        <v>1</v>
      </c>
      <c r="E97" s="232">
        <f t="shared" si="24"/>
        <v>1</v>
      </c>
      <c r="F97" s="232">
        <f t="shared" si="24"/>
        <v>0</v>
      </c>
      <c r="G97" s="232">
        <f t="shared" si="24"/>
        <v>1</v>
      </c>
      <c r="H97" s="232">
        <f t="shared" si="24"/>
        <v>1</v>
      </c>
      <c r="I97" s="232">
        <f t="shared" si="24"/>
        <v>0</v>
      </c>
      <c r="J97" s="232">
        <f t="shared" si="24"/>
        <v>0</v>
      </c>
      <c r="K97" s="232">
        <f t="shared" si="24"/>
        <v>0</v>
      </c>
      <c r="L97" s="232">
        <f t="shared" si="24"/>
        <v>1</v>
      </c>
      <c r="M97" s="232">
        <f t="shared" si="24"/>
        <v>1</v>
      </c>
      <c r="N97" s="232">
        <f t="shared" si="24"/>
        <v>1</v>
      </c>
      <c r="O97" s="232">
        <f t="shared" si="24"/>
        <v>1</v>
      </c>
      <c r="P97" s="232">
        <f t="shared" si="24"/>
        <v>1</v>
      </c>
      <c r="Q97" s="232">
        <f t="shared" si="24"/>
        <v>1</v>
      </c>
      <c r="R97" s="232">
        <f t="shared" si="24"/>
        <v>0</v>
      </c>
      <c r="S97" s="232">
        <f t="shared" si="24"/>
        <v>1</v>
      </c>
      <c r="T97" s="232">
        <f t="shared" si="24"/>
        <v>1</v>
      </c>
      <c r="U97" s="232">
        <f t="shared" si="24"/>
        <v>1</v>
      </c>
      <c r="V97" s="232">
        <f t="shared" si="24"/>
        <v>1</v>
      </c>
      <c r="W97" s="232">
        <f t="shared" si="24"/>
        <v>1</v>
      </c>
      <c r="X97" s="232">
        <f t="shared" si="24"/>
        <v>1</v>
      </c>
      <c r="Y97" s="232">
        <f t="shared" si="24"/>
        <v>1</v>
      </c>
      <c r="Z97" s="286">
        <f>Z95-Z96</f>
        <v>-115.82400000001508</v>
      </c>
    </row>
    <row r="98" spans="1:29" x14ac:dyDescent="0.25">
      <c r="A98" s="204" t="str">
        <f>Economics!A31</f>
        <v>PV Unit 2</v>
      </c>
      <c r="B98" s="202">
        <f t="shared" ref="B98:Y98" si="25">B54</f>
        <v>199</v>
      </c>
      <c r="C98" s="202">
        <f t="shared" si="25"/>
        <v>199</v>
      </c>
      <c r="D98" s="202">
        <f t="shared" si="25"/>
        <v>199</v>
      </c>
      <c r="E98" s="202">
        <f t="shared" si="25"/>
        <v>199</v>
      </c>
      <c r="F98" s="202">
        <f t="shared" si="25"/>
        <v>200</v>
      </c>
      <c r="G98" s="202">
        <f t="shared" si="25"/>
        <v>199</v>
      </c>
      <c r="H98" s="202">
        <f t="shared" si="25"/>
        <v>200</v>
      </c>
      <c r="I98" s="202">
        <f t="shared" si="25"/>
        <v>200</v>
      </c>
      <c r="J98" s="202">
        <f t="shared" si="25"/>
        <v>200</v>
      </c>
      <c r="K98" s="202">
        <f t="shared" si="25"/>
        <v>200</v>
      </c>
      <c r="L98" s="202">
        <f t="shared" si="25"/>
        <v>199</v>
      </c>
      <c r="M98" s="202">
        <f t="shared" si="25"/>
        <v>199</v>
      </c>
      <c r="N98" s="202">
        <f t="shared" si="25"/>
        <v>199</v>
      </c>
      <c r="O98" s="202">
        <f t="shared" si="25"/>
        <v>199</v>
      </c>
      <c r="P98" s="202">
        <f t="shared" si="25"/>
        <v>199</v>
      </c>
      <c r="Q98" s="202">
        <f t="shared" si="25"/>
        <v>199</v>
      </c>
      <c r="R98" s="202">
        <f t="shared" si="25"/>
        <v>199</v>
      </c>
      <c r="S98" s="202">
        <f t="shared" si="25"/>
        <v>199</v>
      </c>
      <c r="T98" s="202">
        <f t="shared" si="25"/>
        <v>199</v>
      </c>
      <c r="U98" s="202">
        <f t="shared" si="25"/>
        <v>199</v>
      </c>
      <c r="V98" s="202">
        <f t="shared" si="25"/>
        <v>199</v>
      </c>
      <c r="W98" s="202">
        <f t="shared" si="25"/>
        <v>199</v>
      </c>
      <c r="X98" s="202">
        <f t="shared" si="25"/>
        <v>199</v>
      </c>
      <c r="Y98" s="202">
        <f t="shared" si="25"/>
        <v>199</v>
      </c>
      <c r="Z98" s="285">
        <f t="array" ref="Z98">SUM(B98:Y98*Economics!F$31)</f>
        <v>29144.975999999995</v>
      </c>
    </row>
    <row r="99" spans="1:29" x14ac:dyDescent="0.25">
      <c r="A99" s="205" t="s">
        <v>171</v>
      </c>
      <c r="B99" s="207">
        <v>194</v>
      </c>
      <c r="C99" s="207">
        <v>194</v>
      </c>
      <c r="D99" s="207">
        <v>194</v>
      </c>
      <c r="E99" s="207">
        <v>194</v>
      </c>
      <c r="F99" s="207">
        <v>195</v>
      </c>
      <c r="G99" s="207">
        <v>195</v>
      </c>
      <c r="H99" s="207">
        <v>195</v>
      </c>
      <c r="I99" s="207">
        <v>195</v>
      </c>
      <c r="J99" s="207">
        <v>195</v>
      </c>
      <c r="K99" s="207">
        <v>195</v>
      </c>
      <c r="L99" s="207">
        <v>195</v>
      </c>
      <c r="M99" s="207">
        <v>195</v>
      </c>
      <c r="N99" s="207">
        <v>195</v>
      </c>
      <c r="O99" s="207">
        <v>195</v>
      </c>
      <c r="P99" s="207">
        <v>195</v>
      </c>
      <c r="Q99" s="207">
        <v>195</v>
      </c>
      <c r="R99" s="207">
        <v>195</v>
      </c>
      <c r="S99" s="207">
        <v>195</v>
      </c>
      <c r="T99" s="207">
        <v>195</v>
      </c>
      <c r="U99" s="207">
        <v>195</v>
      </c>
      <c r="V99" s="207">
        <v>195</v>
      </c>
      <c r="W99" s="207">
        <v>195</v>
      </c>
      <c r="X99" s="207">
        <v>195</v>
      </c>
      <c r="Y99" s="207">
        <v>195</v>
      </c>
      <c r="Z99" s="284">
        <f t="array" ref="Z99">SUM(B99:Y99*Economics!F$31)</f>
        <v>28504.896000000008</v>
      </c>
    </row>
    <row r="100" spans="1:29" ht="13.8" thickBot="1" x14ac:dyDescent="0.3">
      <c r="A100" s="208" t="s">
        <v>173</v>
      </c>
      <c r="B100" s="232">
        <f t="shared" ref="B100:Y100" si="26">B99-B98</f>
        <v>-5</v>
      </c>
      <c r="C100" s="232">
        <f t="shared" si="26"/>
        <v>-5</v>
      </c>
      <c r="D100" s="232">
        <f t="shared" si="26"/>
        <v>-5</v>
      </c>
      <c r="E100" s="232">
        <f t="shared" si="26"/>
        <v>-5</v>
      </c>
      <c r="F100" s="232">
        <f t="shared" si="26"/>
        <v>-5</v>
      </c>
      <c r="G100" s="232">
        <f t="shared" si="26"/>
        <v>-4</v>
      </c>
      <c r="H100" s="232">
        <f t="shared" si="26"/>
        <v>-5</v>
      </c>
      <c r="I100" s="232">
        <f t="shared" si="26"/>
        <v>-5</v>
      </c>
      <c r="J100" s="232">
        <f t="shared" si="26"/>
        <v>-5</v>
      </c>
      <c r="K100" s="232">
        <f t="shared" si="26"/>
        <v>-5</v>
      </c>
      <c r="L100" s="232">
        <f t="shared" si="26"/>
        <v>-4</v>
      </c>
      <c r="M100" s="232">
        <f t="shared" si="26"/>
        <v>-4</v>
      </c>
      <c r="N100" s="232">
        <f t="shared" si="26"/>
        <v>-4</v>
      </c>
      <c r="O100" s="232">
        <f t="shared" si="26"/>
        <v>-4</v>
      </c>
      <c r="P100" s="232">
        <f t="shared" si="26"/>
        <v>-4</v>
      </c>
      <c r="Q100" s="232">
        <f t="shared" si="26"/>
        <v>-4</v>
      </c>
      <c r="R100" s="232">
        <f t="shared" si="26"/>
        <v>-4</v>
      </c>
      <c r="S100" s="232">
        <f t="shared" si="26"/>
        <v>-4</v>
      </c>
      <c r="T100" s="232">
        <f t="shared" si="26"/>
        <v>-4</v>
      </c>
      <c r="U100" s="232">
        <f t="shared" si="26"/>
        <v>-4</v>
      </c>
      <c r="V100" s="232">
        <f t="shared" si="26"/>
        <v>-4</v>
      </c>
      <c r="W100" s="232">
        <f t="shared" si="26"/>
        <v>-4</v>
      </c>
      <c r="X100" s="232">
        <f t="shared" si="26"/>
        <v>-4</v>
      </c>
      <c r="Y100" s="232">
        <f t="shared" si="26"/>
        <v>-4</v>
      </c>
      <c r="Z100" s="286">
        <f>Z98-Z99</f>
        <v>640.07999999998719</v>
      </c>
    </row>
    <row r="101" spans="1:29" x14ac:dyDescent="0.25">
      <c r="A101" s="204" t="str">
        <f>Economics!A32</f>
        <v>PV Unit 3</v>
      </c>
      <c r="B101" s="202">
        <f t="shared" ref="B101:Y101" si="27">B55</f>
        <v>199</v>
      </c>
      <c r="C101" s="202">
        <f t="shared" si="27"/>
        <v>198</v>
      </c>
      <c r="D101" s="202">
        <f t="shared" si="27"/>
        <v>199</v>
      </c>
      <c r="E101" s="202">
        <f t="shared" si="27"/>
        <v>199</v>
      </c>
      <c r="F101" s="202">
        <f t="shared" si="27"/>
        <v>199</v>
      </c>
      <c r="G101" s="202">
        <f t="shared" si="27"/>
        <v>200</v>
      </c>
      <c r="H101" s="202">
        <f t="shared" si="27"/>
        <v>200</v>
      </c>
      <c r="I101" s="202">
        <f t="shared" si="27"/>
        <v>199</v>
      </c>
      <c r="J101" s="202">
        <f t="shared" si="27"/>
        <v>199</v>
      </c>
      <c r="K101" s="202">
        <f t="shared" si="27"/>
        <v>199</v>
      </c>
      <c r="L101" s="202">
        <f t="shared" si="27"/>
        <v>199</v>
      </c>
      <c r="M101" s="202">
        <f t="shared" si="27"/>
        <v>199</v>
      </c>
      <c r="N101" s="202">
        <f t="shared" si="27"/>
        <v>199</v>
      </c>
      <c r="O101" s="202">
        <f t="shared" si="27"/>
        <v>199</v>
      </c>
      <c r="P101" s="202">
        <f t="shared" si="27"/>
        <v>199</v>
      </c>
      <c r="Q101" s="202">
        <f t="shared" si="27"/>
        <v>199</v>
      </c>
      <c r="R101" s="202">
        <f t="shared" si="27"/>
        <v>199</v>
      </c>
      <c r="S101" s="202">
        <f t="shared" si="27"/>
        <v>199</v>
      </c>
      <c r="T101" s="202">
        <f t="shared" si="27"/>
        <v>198</v>
      </c>
      <c r="U101" s="202">
        <f t="shared" si="27"/>
        <v>199</v>
      </c>
      <c r="V101" s="202">
        <f t="shared" si="27"/>
        <v>199</v>
      </c>
      <c r="W101" s="202">
        <f t="shared" si="27"/>
        <v>198</v>
      </c>
      <c r="X101" s="202">
        <f t="shared" si="27"/>
        <v>199</v>
      </c>
      <c r="Y101" s="202">
        <f t="shared" si="27"/>
        <v>199</v>
      </c>
      <c r="Z101" s="285">
        <f t="array" ref="Z101">SUM(B101:Y101*Economics!F$32)</f>
        <v>29108.399999999994</v>
      </c>
    </row>
    <row r="102" spans="1:29" x14ac:dyDescent="0.25">
      <c r="A102" s="205" t="s">
        <v>171</v>
      </c>
      <c r="B102" s="207">
        <v>200</v>
      </c>
      <c r="C102" s="207">
        <v>200</v>
      </c>
      <c r="D102" s="207">
        <v>200</v>
      </c>
      <c r="E102" s="207">
        <v>200</v>
      </c>
      <c r="F102" s="207">
        <v>200</v>
      </c>
      <c r="G102" s="207">
        <v>200</v>
      </c>
      <c r="H102" s="207">
        <v>200</v>
      </c>
      <c r="I102" s="207">
        <v>200</v>
      </c>
      <c r="J102" s="207">
        <v>200</v>
      </c>
      <c r="K102" s="207">
        <v>200</v>
      </c>
      <c r="L102" s="207">
        <v>200</v>
      </c>
      <c r="M102" s="207">
        <v>200</v>
      </c>
      <c r="N102" s="207">
        <v>200</v>
      </c>
      <c r="O102" s="207">
        <v>200</v>
      </c>
      <c r="P102" s="207">
        <v>200</v>
      </c>
      <c r="Q102" s="207">
        <v>200</v>
      </c>
      <c r="R102" s="207">
        <v>200</v>
      </c>
      <c r="S102" s="207">
        <v>200</v>
      </c>
      <c r="T102" s="207">
        <v>200</v>
      </c>
      <c r="U102" s="207">
        <v>200</v>
      </c>
      <c r="V102" s="207">
        <v>200</v>
      </c>
      <c r="W102" s="207">
        <v>200</v>
      </c>
      <c r="X102" s="207">
        <v>200</v>
      </c>
      <c r="Y102" s="207">
        <v>200</v>
      </c>
      <c r="Z102" s="284">
        <f t="array" ref="Z102">SUM(B102:Y102*Economics!F$32)</f>
        <v>29260.80000000001</v>
      </c>
    </row>
    <row r="103" spans="1:29" ht="13.8" thickBot="1" x14ac:dyDescent="0.3">
      <c r="A103" s="208" t="s">
        <v>173</v>
      </c>
      <c r="B103" s="232">
        <f t="shared" ref="B103:Y103" si="28">B102-B101</f>
        <v>1</v>
      </c>
      <c r="C103" s="232">
        <f t="shared" si="28"/>
        <v>2</v>
      </c>
      <c r="D103" s="232">
        <f t="shared" si="28"/>
        <v>1</v>
      </c>
      <c r="E103" s="232">
        <f t="shared" si="28"/>
        <v>1</v>
      </c>
      <c r="F103" s="232">
        <f t="shared" si="28"/>
        <v>1</v>
      </c>
      <c r="G103" s="232">
        <f t="shared" si="28"/>
        <v>0</v>
      </c>
      <c r="H103" s="232">
        <f t="shared" si="28"/>
        <v>0</v>
      </c>
      <c r="I103" s="232">
        <f t="shared" si="28"/>
        <v>1</v>
      </c>
      <c r="J103" s="232">
        <f t="shared" si="28"/>
        <v>1</v>
      </c>
      <c r="K103" s="232">
        <f t="shared" si="28"/>
        <v>1</v>
      </c>
      <c r="L103" s="232">
        <f t="shared" si="28"/>
        <v>1</v>
      </c>
      <c r="M103" s="232">
        <f t="shared" si="28"/>
        <v>1</v>
      </c>
      <c r="N103" s="232">
        <f t="shared" si="28"/>
        <v>1</v>
      </c>
      <c r="O103" s="232">
        <f t="shared" si="28"/>
        <v>1</v>
      </c>
      <c r="P103" s="232">
        <f t="shared" si="28"/>
        <v>1</v>
      </c>
      <c r="Q103" s="232">
        <f t="shared" si="28"/>
        <v>1</v>
      </c>
      <c r="R103" s="232">
        <f t="shared" si="28"/>
        <v>1</v>
      </c>
      <c r="S103" s="232">
        <f t="shared" si="28"/>
        <v>1</v>
      </c>
      <c r="T103" s="232">
        <f t="shared" si="28"/>
        <v>2</v>
      </c>
      <c r="U103" s="232">
        <f t="shared" si="28"/>
        <v>1</v>
      </c>
      <c r="V103" s="232">
        <f t="shared" si="28"/>
        <v>1</v>
      </c>
      <c r="W103" s="232">
        <f t="shared" si="28"/>
        <v>2</v>
      </c>
      <c r="X103" s="232">
        <f t="shared" si="28"/>
        <v>1</v>
      </c>
      <c r="Y103" s="232">
        <f t="shared" si="28"/>
        <v>1</v>
      </c>
      <c r="Z103" s="286">
        <f>Z101-Z102</f>
        <v>-152.40000000001601</v>
      </c>
    </row>
    <row r="104" spans="1:29" x14ac:dyDescent="0.25">
      <c r="A104" s="204" t="str">
        <f>Economics!A34</f>
        <v>Newman 1</v>
      </c>
      <c r="B104" s="202">
        <v>31</v>
      </c>
      <c r="C104" s="202">
        <f t="shared" ref="C104:R104" si="29">C41</f>
        <v>35</v>
      </c>
      <c r="D104" s="202">
        <f t="shared" si="29"/>
        <v>35</v>
      </c>
      <c r="E104" s="202">
        <f>E41</f>
        <v>35</v>
      </c>
      <c r="F104" s="202">
        <f t="shared" si="29"/>
        <v>35</v>
      </c>
      <c r="G104" s="202">
        <f t="shared" si="29"/>
        <v>36</v>
      </c>
      <c r="H104" s="202">
        <f t="shared" si="29"/>
        <v>35</v>
      </c>
      <c r="I104" s="202">
        <f>I41</f>
        <v>35</v>
      </c>
      <c r="J104" s="202">
        <f t="shared" si="29"/>
        <v>35</v>
      </c>
      <c r="K104" s="202">
        <f t="shared" si="29"/>
        <v>40</v>
      </c>
      <c r="L104" s="202">
        <f t="shared" si="29"/>
        <v>36</v>
      </c>
      <c r="M104" s="202">
        <f t="shared" si="29"/>
        <v>36</v>
      </c>
      <c r="N104" s="202">
        <f t="shared" si="29"/>
        <v>36</v>
      </c>
      <c r="O104" s="202">
        <f t="shared" si="29"/>
        <v>36</v>
      </c>
      <c r="P104" s="202">
        <f t="shared" si="29"/>
        <v>36</v>
      </c>
      <c r="Q104" s="202">
        <f t="shared" si="29"/>
        <v>36</v>
      </c>
      <c r="R104" s="202">
        <f t="shared" si="29"/>
        <v>36</v>
      </c>
      <c r="S104" s="202">
        <v>34</v>
      </c>
      <c r="T104" s="202">
        <v>34</v>
      </c>
      <c r="U104" s="202">
        <v>34</v>
      </c>
      <c r="V104" s="202">
        <v>34</v>
      </c>
      <c r="W104" s="202">
        <f>W41</f>
        <v>32</v>
      </c>
      <c r="X104" s="202">
        <f>X41</f>
        <v>32</v>
      </c>
      <c r="Y104" s="202">
        <f>Y41</f>
        <v>32</v>
      </c>
      <c r="Z104" s="245">
        <f>SUM(B104:Y104)</f>
        <v>836</v>
      </c>
      <c r="AA104" s="344" t="s">
        <v>174</v>
      </c>
    </row>
    <row r="105" spans="1:29" x14ac:dyDescent="0.25">
      <c r="A105" s="206">
        <f>Economics!$I34</f>
        <v>1.96</v>
      </c>
      <c r="B105" s="210">
        <f t="shared" ref="B105:Y105" ca="1" si="30">IndGencost(B104,OFFSET(HeatRateStart,1,MATCH($A104,HeatRateNames,0)-1,250,1),$A105)</f>
        <v>23.547401890555044</v>
      </c>
      <c r="C105" s="210">
        <f t="shared" ca="1" si="30"/>
        <v>23.252474452556882</v>
      </c>
      <c r="D105" s="210">
        <f t="shared" ca="1" si="30"/>
        <v>23.252474452556882</v>
      </c>
      <c r="E105" s="210">
        <f t="shared" ca="1" si="30"/>
        <v>23.252474452556882</v>
      </c>
      <c r="F105" s="210">
        <f t="shared" ca="1" si="30"/>
        <v>23.252474452556882</v>
      </c>
      <c r="G105" s="210">
        <f t="shared" ca="1" si="30"/>
        <v>23.189797073559234</v>
      </c>
      <c r="H105" s="210">
        <f t="shared" ca="1" si="30"/>
        <v>23.252474452556882</v>
      </c>
      <c r="I105" s="210">
        <f t="shared" ca="1" si="30"/>
        <v>23.252474452556882</v>
      </c>
      <c r="J105" s="210">
        <f t="shared" ca="1" si="30"/>
        <v>23.252474452556882</v>
      </c>
      <c r="K105" s="210">
        <f t="shared" ca="1" si="30"/>
        <v>22.97335644712448</v>
      </c>
      <c r="L105" s="210">
        <f t="shared" ca="1" si="30"/>
        <v>23.189797073559234</v>
      </c>
      <c r="M105" s="210">
        <f t="shared" ca="1" si="30"/>
        <v>23.189797073559234</v>
      </c>
      <c r="N105" s="210">
        <f t="shared" ca="1" si="30"/>
        <v>23.189797073559234</v>
      </c>
      <c r="O105" s="210">
        <f t="shared" ca="1" si="30"/>
        <v>23.189797073559234</v>
      </c>
      <c r="P105" s="210">
        <f t="shared" ca="1" si="30"/>
        <v>23.189797073559234</v>
      </c>
      <c r="Q105" s="210">
        <f t="shared" ca="1" si="30"/>
        <v>23.189797073559234</v>
      </c>
      <c r="R105" s="210">
        <f t="shared" ca="1" si="30"/>
        <v>23.189797073559234</v>
      </c>
      <c r="S105" s="210">
        <f t="shared" ca="1" si="30"/>
        <v>23.319183465619929</v>
      </c>
      <c r="T105" s="210">
        <f t="shared" ca="1" si="30"/>
        <v>23.319183465619929</v>
      </c>
      <c r="U105" s="210">
        <f t="shared" ca="1" si="30"/>
        <v>23.319183465619929</v>
      </c>
      <c r="V105" s="210">
        <f t="shared" ca="1" si="30"/>
        <v>23.319183465619929</v>
      </c>
      <c r="W105" s="210">
        <f t="shared" ca="1" si="30"/>
        <v>23.46620825671673</v>
      </c>
      <c r="X105" s="210">
        <f t="shared" ca="1" si="30"/>
        <v>23.46620825671673</v>
      </c>
      <c r="Y105" s="210">
        <f t="shared" ca="1" si="30"/>
        <v>23.46620825671673</v>
      </c>
      <c r="Z105" s="285">
        <f t="array" aca="1" ref="Z105" ca="1">SUM(B104:Y104*B105:Y105)</f>
        <v>19448.586458522797</v>
      </c>
      <c r="AA105" s="344" t="s">
        <v>175</v>
      </c>
    </row>
    <row r="106" spans="1:29" x14ac:dyDescent="0.25">
      <c r="A106" s="205" t="s">
        <v>176</v>
      </c>
      <c r="B106" s="207">
        <v>30</v>
      </c>
      <c r="C106" s="207">
        <v>30</v>
      </c>
      <c r="D106" s="207">
        <v>30</v>
      </c>
      <c r="E106" s="207">
        <v>30</v>
      </c>
      <c r="F106" s="207">
        <v>30</v>
      </c>
      <c r="G106" s="207">
        <v>30</v>
      </c>
      <c r="H106" s="207">
        <v>30</v>
      </c>
      <c r="I106" s="207">
        <v>30</v>
      </c>
      <c r="J106" s="207">
        <v>30</v>
      </c>
      <c r="K106" s="207">
        <v>30</v>
      </c>
      <c r="L106" s="207">
        <v>30</v>
      </c>
      <c r="M106" s="207">
        <v>30</v>
      </c>
      <c r="N106" s="207">
        <v>30</v>
      </c>
      <c r="O106" s="207">
        <v>30</v>
      </c>
      <c r="P106" s="207">
        <v>30</v>
      </c>
      <c r="Q106" s="207">
        <v>30</v>
      </c>
      <c r="R106" s="207">
        <v>30</v>
      </c>
      <c r="S106" s="207">
        <v>30</v>
      </c>
      <c r="T106" s="207">
        <v>30</v>
      </c>
      <c r="U106" s="207">
        <v>30</v>
      </c>
      <c r="V106" s="207">
        <v>30</v>
      </c>
      <c r="W106" s="207">
        <v>30</v>
      </c>
      <c r="X106" s="207">
        <v>30</v>
      </c>
      <c r="Y106" s="207">
        <v>30</v>
      </c>
      <c r="Z106" s="246">
        <f>SUM(B106:Y106)</f>
        <v>720</v>
      </c>
      <c r="AA106" s="287" t="s">
        <v>177</v>
      </c>
    </row>
    <row r="107" spans="1:29" x14ac:dyDescent="0.25">
      <c r="A107" s="203"/>
      <c r="B107" s="211">
        <f t="shared" ref="B107:Y107" ca="1" si="31">IndGencost(B106,OFFSET(HeatRateStart,1,MATCH($A104,HeatRateNames,0)-1,250,1),$A105)</f>
        <v>23.634399126656849</v>
      </c>
      <c r="C107" s="211">
        <f t="shared" ca="1" si="31"/>
        <v>23.634399126656849</v>
      </c>
      <c r="D107" s="211">
        <f t="shared" ca="1" si="31"/>
        <v>23.634399126656849</v>
      </c>
      <c r="E107" s="211">
        <f t="shared" ca="1" si="31"/>
        <v>23.634399126656849</v>
      </c>
      <c r="F107" s="211">
        <f t="shared" ca="1" si="31"/>
        <v>23.634399126656849</v>
      </c>
      <c r="G107" s="211">
        <f t="shared" ca="1" si="31"/>
        <v>23.634399126656849</v>
      </c>
      <c r="H107" s="211">
        <f t="shared" ca="1" si="31"/>
        <v>23.634399126656849</v>
      </c>
      <c r="I107" s="211">
        <f t="shared" ca="1" si="31"/>
        <v>23.634399126656849</v>
      </c>
      <c r="J107" s="211">
        <f t="shared" ca="1" si="31"/>
        <v>23.634399126656849</v>
      </c>
      <c r="K107" s="211">
        <f t="shared" ca="1" si="31"/>
        <v>23.634399126656849</v>
      </c>
      <c r="L107" s="211">
        <f t="shared" ca="1" si="31"/>
        <v>23.634399126656849</v>
      </c>
      <c r="M107" s="211">
        <f t="shared" ca="1" si="31"/>
        <v>23.634399126656849</v>
      </c>
      <c r="N107" s="211">
        <f t="shared" ca="1" si="31"/>
        <v>23.634399126656849</v>
      </c>
      <c r="O107" s="211">
        <f t="shared" ca="1" si="31"/>
        <v>23.634399126656849</v>
      </c>
      <c r="P107" s="211">
        <f t="shared" ca="1" si="31"/>
        <v>23.634399126656849</v>
      </c>
      <c r="Q107" s="211">
        <f t="shared" ca="1" si="31"/>
        <v>23.634399126656849</v>
      </c>
      <c r="R107" s="211">
        <f t="shared" ca="1" si="31"/>
        <v>23.634399126656849</v>
      </c>
      <c r="S107" s="211">
        <f t="shared" ca="1" si="31"/>
        <v>23.634399126656849</v>
      </c>
      <c r="T107" s="211">
        <f t="shared" ca="1" si="31"/>
        <v>23.634399126656849</v>
      </c>
      <c r="U107" s="211">
        <f t="shared" ca="1" si="31"/>
        <v>23.634399126656849</v>
      </c>
      <c r="V107" s="211">
        <f t="shared" ca="1" si="31"/>
        <v>23.634399126656849</v>
      </c>
      <c r="W107" s="211">
        <f t="shared" ca="1" si="31"/>
        <v>23.634399126656849</v>
      </c>
      <c r="X107" s="211">
        <f t="shared" ca="1" si="31"/>
        <v>23.634399126656849</v>
      </c>
      <c r="Y107" s="211">
        <f t="shared" ca="1" si="31"/>
        <v>23.634399126656849</v>
      </c>
      <c r="Z107" s="284">
        <f t="array" aca="1" ref="Z107" ca="1">SUM(B106:Y106*B107:Y107)</f>
        <v>17016.767371192927</v>
      </c>
      <c r="AA107" s="298"/>
    </row>
    <row r="108" spans="1:29" ht="13.8" thickBot="1" x14ac:dyDescent="0.3">
      <c r="A108" s="208" t="s">
        <v>173</v>
      </c>
      <c r="B108" s="209">
        <f t="shared" ref="B108:Y108" ca="1" si="32">B107-B105</f>
        <v>8.6997236101804987E-2</v>
      </c>
      <c r="C108" s="209">
        <f t="shared" ca="1" si="32"/>
        <v>0.38192467409996667</v>
      </c>
      <c r="D108" s="209">
        <f t="shared" ca="1" si="32"/>
        <v>0.38192467409996667</v>
      </c>
      <c r="E108" s="209">
        <f t="shared" ca="1" si="32"/>
        <v>0.38192467409996667</v>
      </c>
      <c r="F108" s="209">
        <f t="shared" ca="1" si="32"/>
        <v>0.38192467409996667</v>
      </c>
      <c r="G108" s="209">
        <f t="shared" ca="1" si="32"/>
        <v>0.44460205309761491</v>
      </c>
      <c r="H108" s="209">
        <f t="shared" ca="1" si="32"/>
        <v>0.38192467409996667</v>
      </c>
      <c r="I108" s="209">
        <f t="shared" ca="1" si="32"/>
        <v>0.38192467409996667</v>
      </c>
      <c r="J108" s="209">
        <f t="shared" ca="1" si="32"/>
        <v>0.38192467409996667</v>
      </c>
      <c r="K108" s="209">
        <f t="shared" ca="1" si="32"/>
        <v>0.66104267953236828</v>
      </c>
      <c r="L108" s="209">
        <f t="shared" ca="1" si="32"/>
        <v>0.44460205309761491</v>
      </c>
      <c r="M108" s="209">
        <f t="shared" ca="1" si="32"/>
        <v>0.44460205309761491</v>
      </c>
      <c r="N108" s="209">
        <f t="shared" ca="1" si="32"/>
        <v>0.44460205309761491</v>
      </c>
      <c r="O108" s="209">
        <f t="shared" ca="1" si="32"/>
        <v>0.44460205309761491</v>
      </c>
      <c r="P108" s="209">
        <f t="shared" ca="1" si="32"/>
        <v>0.44460205309761491</v>
      </c>
      <c r="Q108" s="209">
        <f t="shared" ca="1" si="32"/>
        <v>0.44460205309761491</v>
      </c>
      <c r="R108" s="209">
        <f t="shared" ca="1" si="32"/>
        <v>0.44460205309761491</v>
      </c>
      <c r="S108" s="209">
        <f t="shared" ca="1" si="32"/>
        <v>0.31521566103691967</v>
      </c>
      <c r="T108" s="209">
        <f t="shared" ca="1" si="32"/>
        <v>0.31521566103691967</v>
      </c>
      <c r="U108" s="209">
        <f t="shared" ca="1" si="32"/>
        <v>0.31521566103691967</v>
      </c>
      <c r="V108" s="209">
        <f t="shared" ca="1" si="32"/>
        <v>0.31521566103691967</v>
      </c>
      <c r="W108" s="209">
        <f t="shared" ca="1" si="32"/>
        <v>0.16819086994011911</v>
      </c>
      <c r="X108" s="209">
        <f t="shared" ca="1" si="32"/>
        <v>0.16819086994011911</v>
      </c>
      <c r="Y108" s="209">
        <f t="shared" ca="1" si="32"/>
        <v>0.16819086994011911</v>
      </c>
      <c r="Z108" s="286">
        <f ca="1">Z105-Z107</f>
        <v>2431.8190873298699</v>
      </c>
    </row>
    <row r="109" spans="1:29" x14ac:dyDescent="0.25">
      <c r="A109" s="204" t="str">
        <f>Economics!A35</f>
        <v>Newman 2</v>
      </c>
      <c r="B109" s="202">
        <f>B42</f>
        <v>56</v>
      </c>
      <c r="C109" s="202">
        <f t="shared" ref="C109:Y109" si="33">C42</f>
        <v>38</v>
      </c>
      <c r="D109" s="202">
        <f t="shared" si="33"/>
        <v>37</v>
      </c>
      <c r="E109" s="202">
        <f>E42</f>
        <v>44</v>
      </c>
      <c r="F109" s="202">
        <f t="shared" si="33"/>
        <v>45</v>
      </c>
      <c r="G109" s="202">
        <f t="shared" si="33"/>
        <v>39</v>
      </c>
      <c r="H109" s="202">
        <f t="shared" si="33"/>
        <v>37</v>
      </c>
      <c r="I109" s="202">
        <f>I42</f>
        <v>36</v>
      </c>
      <c r="J109" s="202">
        <f t="shared" si="33"/>
        <v>37</v>
      </c>
      <c r="K109" s="202">
        <f t="shared" si="33"/>
        <v>61</v>
      </c>
      <c r="L109" s="202">
        <f t="shared" si="33"/>
        <v>44</v>
      </c>
      <c r="M109" s="202">
        <f t="shared" si="33"/>
        <v>44</v>
      </c>
      <c r="N109" s="202">
        <f t="shared" si="33"/>
        <v>37</v>
      </c>
      <c r="O109" s="202">
        <f t="shared" si="33"/>
        <v>37</v>
      </c>
      <c r="P109" s="202">
        <f t="shared" si="33"/>
        <v>37</v>
      </c>
      <c r="Q109" s="202">
        <f t="shared" si="33"/>
        <v>35</v>
      </c>
      <c r="R109" s="202">
        <f t="shared" si="33"/>
        <v>36</v>
      </c>
      <c r="S109" s="202">
        <f t="shared" si="33"/>
        <v>35</v>
      </c>
      <c r="T109" s="202">
        <f t="shared" si="33"/>
        <v>58</v>
      </c>
      <c r="U109" s="202">
        <f t="shared" si="33"/>
        <v>68</v>
      </c>
      <c r="V109" s="202">
        <f t="shared" si="33"/>
        <v>36</v>
      </c>
      <c r="W109" s="202">
        <f t="shared" si="33"/>
        <v>57</v>
      </c>
      <c r="X109" s="202">
        <f t="shared" si="33"/>
        <v>35</v>
      </c>
      <c r="Y109" s="202">
        <f t="shared" si="33"/>
        <v>36</v>
      </c>
      <c r="Z109" s="245">
        <f>SUM(B109:Y109)</f>
        <v>1025</v>
      </c>
      <c r="AA109" s="344" t="s">
        <v>178</v>
      </c>
    </row>
    <row r="110" spans="1:29" x14ac:dyDescent="0.25">
      <c r="A110" s="206">
        <f>Economics!$I35</f>
        <v>1.96</v>
      </c>
      <c r="B110" s="210">
        <f t="shared" ref="B110:Y110" ca="1" si="34">IndGencost(B109,OFFSET(HeatRateStart,1,MATCH($A109,HeatRateNames,0)-1,250,1),$A110)</f>
        <v>20.493228398854399</v>
      </c>
      <c r="C110" s="210">
        <f t="shared" ca="1" si="34"/>
        <v>21.103691779156737</v>
      </c>
      <c r="D110" s="210">
        <f t="shared" ca="1" si="34"/>
        <v>21.160356411838535</v>
      </c>
      <c r="E110" s="210">
        <f t="shared" ca="1" si="34"/>
        <v>20.827708769000662</v>
      </c>
      <c r="F110" s="210">
        <f t="shared" ca="1" si="34"/>
        <v>20.790482626862001</v>
      </c>
      <c r="G110" s="210">
        <f t="shared" ca="1" si="34"/>
        <v>21.050465743033094</v>
      </c>
      <c r="H110" s="210">
        <f t="shared" ca="1" si="34"/>
        <v>21.160356411838535</v>
      </c>
      <c r="I110" s="210">
        <f t="shared" ca="1" si="34"/>
        <v>21.220746190791662</v>
      </c>
      <c r="J110" s="210">
        <f t="shared" ca="1" si="34"/>
        <v>21.160356411838535</v>
      </c>
      <c r="K110" s="210">
        <f t="shared" ca="1" si="34"/>
        <v>20.407176593900903</v>
      </c>
      <c r="L110" s="210">
        <f t="shared" ca="1" si="34"/>
        <v>20.827708769000662</v>
      </c>
      <c r="M110" s="210">
        <f t="shared" ca="1" si="34"/>
        <v>20.827708769000662</v>
      </c>
      <c r="N110" s="210">
        <f t="shared" ca="1" si="34"/>
        <v>21.160356411838535</v>
      </c>
      <c r="O110" s="210">
        <f t="shared" ca="1" si="34"/>
        <v>21.160356411838535</v>
      </c>
      <c r="P110" s="210">
        <f t="shared" ca="1" si="34"/>
        <v>21.160356411838535</v>
      </c>
      <c r="Q110" s="210">
        <f t="shared" ca="1" si="34"/>
        <v>21.285180414267952</v>
      </c>
      <c r="R110" s="210">
        <f t="shared" ca="1" si="34"/>
        <v>21.220746190791662</v>
      </c>
      <c r="S110" s="210">
        <f t="shared" ca="1" si="34"/>
        <v>21.285180414267952</v>
      </c>
      <c r="T110" s="210">
        <f t="shared" ca="1" si="34"/>
        <v>20.455952673990978</v>
      </c>
      <c r="U110" s="210">
        <f t="shared" ca="1" si="34"/>
        <v>20.320796160204274</v>
      </c>
      <c r="V110" s="210">
        <f t="shared" ca="1" si="34"/>
        <v>21.220746190791662</v>
      </c>
      <c r="W110" s="210">
        <f t="shared" ca="1" si="34"/>
        <v>20.47408131076244</v>
      </c>
      <c r="X110" s="210">
        <f t="shared" ca="1" si="34"/>
        <v>21.285180414267952</v>
      </c>
      <c r="Y110" s="210">
        <f t="shared" ca="1" si="34"/>
        <v>21.220746190791662</v>
      </c>
      <c r="Z110" s="285">
        <f t="array" aca="1" ref="Z110" ca="1">SUM(B109:Y109*B110:Y110)</f>
        <v>21423.80883696604</v>
      </c>
      <c r="AA110" s="344" t="s">
        <v>175</v>
      </c>
    </row>
    <row r="111" spans="1:29" x14ac:dyDescent="0.25">
      <c r="A111" s="205" t="s">
        <v>179</v>
      </c>
      <c r="B111" s="207">
        <v>31</v>
      </c>
      <c r="C111" s="207">
        <v>31</v>
      </c>
      <c r="D111" s="207">
        <v>31</v>
      </c>
      <c r="E111" s="207">
        <v>31</v>
      </c>
      <c r="F111" s="207">
        <v>31</v>
      </c>
      <c r="G111" s="207">
        <v>31</v>
      </c>
      <c r="H111" s="207">
        <v>31</v>
      </c>
      <c r="I111" s="207">
        <v>31</v>
      </c>
      <c r="J111" s="207">
        <v>31</v>
      </c>
      <c r="K111" s="207">
        <v>31</v>
      </c>
      <c r="L111" s="207">
        <v>31</v>
      </c>
      <c r="M111" s="207">
        <v>31</v>
      </c>
      <c r="N111" s="207">
        <v>31</v>
      </c>
      <c r="O111" s="207">
        <v>31</v>
      </c>
      <c r="P111" s="207">
        <v>31</v>
      </c>
      <c r="Q111" s="207">
        <v>31</v>
      </c>
      <c r="R111" s="207">
        <v>31</v>
      </c>
      <c r="S111" s="207">
        <v>31</v>
      </c>
      <c r="T111" s="207">
        <v>31</v>
      </c>
      <c r="U111" s="207">
        <v>31</v>
      </c>
      <c r="V111" s="207">
        <v>31</v>
      </c>
      <c r="W111" s="207">
        <v>31</v>
      </c>
      <c r="X111" s="207">
        <v>31</v>
      </c>
      <c r="Y111" s="207">
        <v>31</v>
      </c>
      <c r="Z111" s="246">
        <f>SUM(B111:Y111)</f>
        <v>744</v>
      </c>
      <c r="AA111" s="287"/>
    </row>
    <row r="112" spans="1:29" x14ac:dyDescent="0.25">
      <c r="A112" s="203"/>
      <c r="B112" s="211">
        <f t="shared" ref="B112:Y112" ca="1" si="35">IndGencost(B111,OFFSET(HeatRateStart,1,MATCH($A109,HeatRateNames,0)-1,250,1),$A110)</f>
        <v>21.59118971054631</v>
      </c>
      <c r="C112" s="211">
        <f t="shared" ca="1" si="35"/>
        <v>21.59118971054631</v>
      </c>
      <c r="D112" s="211">
        <f t="shared" ca="1" si="35"/>
        <v>21.59118971054631</v>
      </c>
      <c r="E112" s="211">
        <f t="shared" ca="1" si="35"/>
        <v>21.59118971054631</v>
      </c>
      <c r="F112" s="211">
        <f t="shared" ca="1" si="35"/>
        <v>21.59118971054631</v>
      </c>
      <c r="G112" s="211">
        <f t="shared" ca="1" si="35"/>
        <v>21.59118971054631</v>
      </c>
      <c r="H112" s="211">
        <f t="shared" ca="1" si="35"/>
        <v>21.59118971054631</v>
      </c>
      <c r="I112" s="211">
        <f t="shared" ca="1" si="35"/>
        <v>21.59118971054631</v>
      </c>
      <c r="J112" s="211">
        <f t="shared" ca="1" si="35"/>
        <v>21.59118971054631</v>
      </c>
      <c r="K112" s="211">
        <f t="shared" ca="1" si="35"/>
        <v>21.59118971054631</v>
      </c>
      <c r="L112" s="211">
        <f t="shared" ca="1" si="35"/>
        <v>21.59118971054631</v>
      </c>
      <c r="M112" s="211">
        <f t="shared" ca="1" si="35"/>
        <v>21.59118971054631</v>
      </c>
      <c r="N112" s="211">
        <f t="shared" ca="1" si="35"/>
        <v>21.59118971054631</v>
      </c>
      <c r="O112" s="211">
        <f t="shared" ca="1" si="35"/>
        <v>21.59118971054631</v>
      </c>
      <c r="P112" s="211">
        <f t="shared" ca="1" si="35"/>
        <v>21.59118971054631</v>
      </c>
      <c r="Q112" s="211">
        <f t="shared" ca="1" si="35"/>
        <v>21.59118971054631</v>
      </c>
      <c r="R112" s="211">
        <f t="shared" ca="1" si="35"/>
        <v>21.59118971054631</v>
      </c>
      <c r="S112" s="211">
        <f t="shared" ca="1" si="35"/>
        <v>21.59118971054631</v>
      </c>
      <c r="T112" s="211">
        <f t="shared" ca="1" si="35"/>
        <v>21.59118971054631</v>
      </c>
      <c r="U112" s="211">
        <f t="shared" ca="1" si="35"/>
        <v>21.59118971054631</v>
      </c>
      <c r="V112" s="211">
        <f t="shared" ca="1" si="35"/>
        <v>21.59118971054631</v>
      </c>
      <c r="W112" s="211">
        <f t="shared" ca="1" si="35"/>
        <v>21.59118971054631</v>
      </c>
      <c r="X112" s="211">
        <f t="shared" ca="1" si="35"/>
        <v>21.59118971054631</v>
      </c>
      <c r="Y112" s="211">
        <f t="shared" ca="1" si="35"/>
        <v>21.59118971054631</v>
      </c>
      <c r="Z112" s="284">
        <f t="array" aca="1" ref="Z112" ca="1">SUM(B111:Y111*B112:Y112)</f>
        <v>16063.845144646464</v>
      </c>
      <c r="AA112" s="179"/>
      <c r="AC112" s="194"/>
    </row>
    <row r="113" spans="1:29" ht="13.8" thickBot="1" x14ac:dyDescent="0.3">
      <c r="A113" s="208" t="s">
        <v>173</v>
      </c>
      <c r="B113" s="209">
        <f t="shared" ref="B113:Y113" ca="1" si="36">B112-B110</f>
        <v>1.0979613116919111</v>
      </c>
      <c r="C113" s="209">
        <f t="shared" ca="1" si="36"/>
        <v>0.48749793138957287</v>
      </c>
      <c r="D113" s="209">
        <f t="shared" ca="1" si="36"/>
        <v>0.43083329870777476</v>
      </c>
      <c r="E113" s="209">
        <f t="shared" ca="1" si="36"/>
        <v>0.76348094154564805</v>
      </c>
      <c r="F113" s="209">
        <f t="shared" ca="1" si="36"/>
        <v>0.80070708368430843</v>
      </c>
      <c r="G113" s="209">
        <f t="shared" ca="1" si="36"/>
        <v>0.54072396751321605</v>
      </c>
      <c r="H113" s="209">
        <f t="shared" ca="1" si="36"/>
        <v>0.43083329870777476</v>
      </c>
      <c r="I113" s="209">
        <f t="shared" ca="1" si="36"/>
        <v>0.37044351975464807</v>
      </c>
      <c r="J113" s="209">
        <f t="shared" ca="1" si="36"/>
        <v>0.43083329870777476</v>
      </c>
      <c r="K113" s="209">
        <f t="shared" ca="1" si="36"/>
        <v>1.1840131166454064</v>
      </c>
      <c r="L113" s="209">
        <f t="shared" ca="1" si="36"/>
        <v>0.76348094154564805</v>
      </c>
      <c r="M113" s="209">
        <f t="shared" ca="1" si="36"/>
        <v>0.76348094154564805</v>
      </c>
      <c r="N113" s="209">
        <f t="shared" ca="1" si="36"/>
        <v>0.43083329870777476</v>
      </c>
      <c r="O113" s="209">
        <f t="shared" ca="1" si="36"/>
        <v>0.43083329870777476</v>
      </c>
      <c r="P113" s="209">
        <f t="shared" ca="1" si="36"/>
        <v>0.43083329870777476</v>
      </c>
      <c r="Q113" s="209">
        <f t="shared" ca="1" si="36"/>
        <v>0.30600929627835782</v>
      </c>
      <c r="R113" s="209">
        <f t="shared" ca="1" si="36"/>
        <v>0.37044351975464807</v>
      </c>
      <c r="S113" s="209">
        <f t="shared" ca="1" si="36"/>
        <v>0.30600929627835782</v>
      </c>
      <c r="T113" s="209">
        <f t="shared" ca="1" si="36"/>
        <v>1.1352370365553313</v>
      </c>
      <c r="U113" s="209">
        <f t="shared" ca="1" si="36"/>
        <v>1.2703935503420354</v>
      </c>
      <c r="V113" s="209">
        <f t="shared" ca="1" si="36"/>
        <v>0.37044351975464807</v>
      </c>
      <c r="W113" s="209">
        <f t="shared" ca="1" si="36"/>
        <v>1.11710839978387</v>
      </c>
      <c r="X113" s="209">
        <f t="shared" ca="1" si="36"/>
        <v>0.30600929627835782</v>
      </c>
      <c r="Y113" s="209">
        <f t="shared" ca="1" si="36"/>
        <v>0.37044351975464807</v>
      </c>
      <c r="Z113" s="286">
        <f ca="1">Z110-Z112</f>
        <v>5359.9636923195758</v>
      </c>
      <c r="AC113" s="194"/>
    </row>
    <row r="114" spans="1:29" x14ac:dyDescent="0.25">
      <c r="A114" s="204" t="str">
        <f>Economics!A36</f>
        <v>Newman 3</v>
      </c>
      <c r="B114" s="202">
        <f t="shared" ref="B114:Y114" si="37">B43</f>
        <v>0</v>
      </c>
      <c r="C114" s="202">
        <f t="shared" si="37"/>
        <v>0</v>
      </c>
      <c r="D114" s="202">
        <f t="shared" si="37"/>
        <v>0</v>
      </c>
      <c r="E114" s="202">
        <f>E43</f>
        <v>0</v>
      </c>
      <c r="F114" s="202">
        <f t="shared" si="37"/>
        <v>0</v>
      </c>
      <c r="G114" s="202">
        <f t="shared" si="37"/>
        <v>0</v>
      </c>
      <c r="H114" s="202">
        <f t="shared" si="37"/>
        <v>0</v>
      </c>
      <c r="I114" s="202">
        <f t="shared" si="37"/>
        <v>0</v>
      </c>
      <c r="J114" s="202">
        <f t="shared" si="37"/>
        <v>0</v>
      </c>
      <c r="K114" s="202">
        <f t="shared" si="37"/>
        <v>0</v>
      </c>
      <c r="L114" s="202">
        <f t="shared" si="37"/>
        <v>0</v>
      </c>
      <c r="M114" s="202">
        <f t="shared" si="37"/>
        <v>0</v>
      </c>
      <c r="N114" s="202">
        <f t="shared" si="37"/>
        <v>0</v>
      </c>
      <c r="O114" s="202">
        <f t="shared" si="37"/>
        <v>0</v>
      </c>
      <c r="P114" s="202">
        <f t="shared" si="37"/>
        <v>0</v>
      </c>
      <c r="Q114" s="202">
        <f t="shared" si="37"/>
        <v>0</v>
      </c>
      <c r="R114" s="202">
        <f t="shared" si="37"/>
        <v>0</v>
      </c>
      <c r="S114" s="202">
        <f t="shared" si="37"/>
        <v>0</v>
      </c>
      <c r="T114" s="202">
        <f t="shared" si="37"/>
        <v>0</v>
      </c>
      <c r="U114" s="202">
        <f t="shared" si="37"/>
        <v>0</v>
      </c>
      <c r="V114" s="202">
        <f t="shared" si="37"/>
        <v>0</v>
      </c>
      <c r="W114" s="202">
        <f t="shared" si="37"/>
        <v>0</v>
      </c>
      <c r="X114" s="202">
        <f t="shared" si="37"/>
        <v>0</v>
      </c>
      <c r="Y114" s="202">
        <f t="shared" si="37"/>
        <v>0</v>
      </c>
      <c r="Z114" s="245">
        <f>SUM(B114:Y114)</f>
        <v>0</v>
      </c>
      <c r="AA114" s="344" t="s">
        <v>180</v>
      </c>
    </row>
    <row r="115" spans="1:29" x14ac:dyDescent="0.25">
      <c r="A115" s="206">
        <f>Economics!$I36</f>
        <v>1.96</v>
      </c>
      <c r="B115" s="210">
        <f t="shared" ref="B115:Y115" ca="1" si="38">IndGencost(B114,OFFSET(HeatRateStart,1,MATCH($A114,HeatRateNames,0)-1,250,1),$A115)</f>
        <v>0</v>
      </c>
      <c r="C115" s="210">
        <f t="shared" ca="1" si="38"/>
        <v>0</v>
      </c>
      <c r="D115" s="210">
        <f t="shared" ca="1" si="38"/>
        <v>0</v>
      </c>
      <c r="E115" s="210">
        <f t="shared" ca="1" si="38"/>
        <v>0</v>
      </c>
      <c r="F115" s="210">
        <f t="shared" ca="1" si="38"/>
        <v>0</v>
      </c>
      <c r="G115" s="210">
        <f t="shared" ca="1" si="38"/>
        <v>0</v>
      </c>
      <c r="H115" s="210">
        <f t="shared" ca="1" si="38"/>
        <v>0</v>
      </c>
      <c r="I115" s="210">
        <f t="shared" ca="1" si="38"/>
        <v>0</v>
      </c>
      <c r="J115" s="210">
        <f t="shared" ca="1" si="38"/>
        <v>0</v>
      </c>
      <c r="K115" s="210">
        <f t="shared" ca="1" si="38"/>
        <v>0</v>
      </c>
      <c r="L115" s="210">
        <f t="shared" ca="1" si="38"/>
        <v>0</v>
      </c>
      <c r="M115" s="210">
        <f t="shared" ca="1" si="38"/>
        <v>0</v>
      </c>
      <c r="N115" s="210">
        <f t="shared" ca="1" si="38"/>
        <v>0</v>
      </c>
      <c r="O115" s="210">
        <f t="shared" ca="1" si="38"/>
        <v>0</v>
      </c>
      <c r="P115" s="210">
        <f t="shared" ca="1" si="38"/>
        <v>0</v>
      </c>
      <c r="Q115" s="210">
        <f t="shared" ca="1" si="38"/>
        <v>0</v>
      </c>
      <c r="R115" s="210">
        <f t="shared" ca="1" si="38"/>
        <v>0</v>
      </c>
      <c r="S115" s="210">
        <f t="shared" ca="1" si="38"/>
        <v>0</v>
      </c>
      <c r="T115" s="210">
        <f t="shared" ca="1" si="38"/>
        <v>0</v>
      </c>
      <c r="U115" s="210">
        <f t="shared" ca="1" si="38"/>
        <v>0</v>
      </c>
      <c r="V115" s="210">
        <f t="shared" ca="1" si="38"/>
        <v>0</v>
      </c>
      <c r="W115" s="210">
        <f t="shared" ca="1" si="38"/>
        <v>0</v>
      </c>
      <c r="X115" s="210">
        <f t="shared" ca="1" si="38"/>
        <v>0</v>
      </c>
      <c r="Y115" s="210">
        <f t="shared" ca="1" si="38"/>
        <v>0</v>
      </c>
      <c r="Z115" s="285">
        <f t="array" aca="1" ref="Z115" ca="1">SUM(B114:Y114*B115:Y115)</f>
        <v>0</v>
      </c>
      <c r="AA115" s="344" t="s">
        <v>175</v>
      </c>
    </row>
    <row r="116" spans="1:29" x14ac:dyDescent="0.25">
      <c r="A116" s="205" t="s">
        <v>181</v>
      </c>
      <c r="B116" s="207"/>
      <c r="C116" s="207"/>
      <c r="D116" s="207"/>
      <c r="E116" s="207"/>
      <c r="F116" s="207"/>
      <c r="G116" s="207"/>
      <c r="H116" s="207"/>
      <c r="I116" s="207"/>
      <c r="J116" s="207"/>
      <c r="K116" s="207"/>
      <c r="L116" s="207"/>
      <c r="M116" s="207"/>
      <c r="N116" s="207"/>
      <c r="O116" s="207"/>
      <c r="P116" s="207"/>
      <c r="Q116" s="207"/>
      <c r="R116" s="207"/>
      <c r="S116" s="207"/>
      <c r="T116" s="207"/>
      <c r="U116" s="207"/>
      <c r="V116" s="207"/>
      <c r="W116" s="207"/>
      <c r="X116" s="207"/>
      <c r="Y116" s="207"/>
      <c r="Z116" s="246">
        <f>SUM(B116:Y116)</f>
        <v>0</v>
      </c>
      <c r="AA116" s="287"/>
    </row>
    <row r="117" spans="1:29" x14ac:dyDescent="0.25">
      <c r="A117" s="203"/>
      <c r="B117" s="211">
        <f t="shared" ref="B117:Y117" ca="1" si="39">IndGencost(B116,OFFSET(HeatRateStart,1,MATCH($A114,HeatRateNames,0)-1,250,1),$A115)</f>
        <v>0</v>
      </c>
      <c r="C117" s="211">
        <f t="shared" ca="1" si="39"/>
        <v>0</v>
      </c>
      <c r="D117" s="211">
        <f t="shared" ca="1" si="39"/>
        <v>0</v>
      </c>
      <c r="E117" s="211">
        <f t="shared" ca="1" si="39"/>
        <v>0</v>
      </c>
      <c r="F117" s="211">
        <f t="shared" ca="1" si="39"/>
        <v>0</v>
      </c>
      <c r="G117" s="211">
        <f t="shared" ca="1" si="39"/>
        <v>0</v>
      </c>
      <c r="H117" s="211">
        <f t="shared" ca="1" si="39"/>
        <v>0</v>
      </c>
      <c r="I117" s="211">
        <f t="shared" ca="1" si="39"/>
        <v>0</v>
      </c>
      <c r="J117" s="211">
        <f t="shared" ca="1" si="39"/>
        <v>0</v>
      </c>
      <c r="K117" s="211">
        <f t="shared" ca="1" si="39"/>
        <v>0</v>
      </c>
      <c r="L117" s="211">
        <f t="shared" ca="1" si="39"/>
        <v>0</v>
      </c>
      <c r="M117" s="211">
        <f t="shared" ca="1" si="39"/>
        <v>0</v>
      </c>
      <c r="N117" s="211">
        <f t="shared" ca="1" si="39"/>
        <v>0</v>
      </c>
      <c r="O117" s="211">
        <f t="shared" ca="1" si="39"/>
        <v>0</v>
      </c>
      <c r="P117" s="211">
        <f t="shared" ca="1" si="39"/>
        <v>0</v>
      </c>
      <c r="Q117" s="211">
        <f t="shared" ca="1" si="39"/>
        <v>0</v>
      </c>
      <c r="R117" s="211">
        <f t="shared" ca="1" si="39"/>
        <v>0</v>
      </c>
      <c r="S117" s="211">
        <f t="shared" ca="1" si="39"/>
        <v>0</v>
      </c>
      <c r="T117" s="211">
        <f t="shared" ca="1" si="39"/>
        <v>0</v>
      </c>
      <c r="U117" s="211">
        <f t="shared" ca="1" si="39"/>
        <v>0</v>
      </c>
      <c r="V117" s="211">
        <f t="shared" ca="1" si="39"/>
        <v>0</v>
      </c>
      <c r="W117" s="211">
        <f t="shared" ca="1" si="39"/>
        <v>0</v>
      </c>
      <c r="X117" s="211">
        <f t="shared" ca="1" si="39"/>
        <v>0</v>
      </c>
      <c r="Y117" s="211">
        <f t="shared" ca="1" si="39"/>
        <v>0</v>
      </c>
      <c r="Z117" s="284">
        <f t="array" aca="1" ref="Z117" ca="1">SUM(B116:Y116*B117:Y117)</f>
        <v>0</v>
      </c>
      <c r="AA117" s="179"/>
    </row>
    <row r="118" spans="1:29" ht="13.8" thickBot="1" x14ac:dyDescent="0.3">
      <c r="A118" s="208" t="s">
        <v>173</v>
      </c>
      <c r="B118" s="209">
        <f t="shared" ref="B118:Y118" ca="1" si="40">B117-B115</f>
        <v>0</v>
      </c>
      <c r="C118" s="209">
        <f t="shared" ca="1" si="40"/>
        <v>0</v>
      </c>
      <c r="D118" s="209">
        <f t="shared" ca="1" si="40"/>
        <v>0</v>
      </c>
      <c r="E118" s="209">
        <f t="shared" ca="1" si="40"/>
        <v>0</v>
      </c>
      <c r="F118" s="209">
        <f t="shared" ca="1" si="40"/>
        <v>0</v>
      </c>
      <c r="G118" s="209">
        <f t="shared" ca="1" si="40"/>
        <v>0</v>
      </c>
      <c r="H118" s="209">
        <f t="shared" ca="1" si="40"/>
        <v>0</v>
      </c>
      <c r="I118" s="209">
        <f t="shared" ca="1" si="40"/>
        <v>0</v>
      </c>
      <c r="J118" s="209">
        <f t="shared" ca="1" si="40"/>
        <v>0</v>
      </c>
      <c r="K118" s="209">
        <f t="shared" ca="1" si="40"/>
        <v>0</v>
      </c>
      <c r="L118" s="209">
        <f t="shared" ca="1" si="40"/>
        <v>0</v>
      </c>
      <c r="M118" s="209">
        <f t="shared" ca="1" si="40"/>
        <v>0</v>
      </c>
      <c r="N118" s="209">
        <f t="shared" ca="1" si="40"/>
        <v>0</v>
      </c>
      <c r="O118" s="209">
        <f t="shared" ca="1" si="40"/>
        <v>0</v>
      </c>
      <c r="P118" s="209">
        <f t="shared" ca="1" si="40"/>
        <v>0</v>
      </c>
      <c r="Q118" s="209">
        <f t="shared" ca="1" si="40"/>
        <v>0</v>
      </c>
      <c r="R118" s="209">
        <f t="shared" ca="1" si="40"/>
        <v>0</v>
      </c>
      <c r="S118" s="209">
        <f t="shared" ca="1" si="40"/>
        <v>0</v>
      </c>
      <c r="T118" s="209">
        <f t="shared" ca="1" si="40"/>
        <v>0</v>
      </c>
      <c r="U118" s="209">
        <f t="shared" ca="1" si="40"/>
        <v>0</v>
      </c>
      <c r="V118" s="209">
        <f t="shared" ca="1" si="40"/>
        <v>0</v>
      </c>
      <c r="W118" s="209">
        <f t="shared" ca="1" si="40"/>
        <v>0</v>
      </c>
      <c r="X118" s="209">
        <f t="shared" ca="1" si="40"/>
        <v>0</v>
      </c>
      <c r="Y118" s="209">
        <f t="shared" ca="1" si="40"/>
        <v>0</v>
      </c>
      <c r="Z118" s="286">
        <f ca="1">Z115-Z117</f>
        <v>0</v>
      </c>
    </row>
    <row r="119" spans="1:29" x14ac:dyDescent="0.25">
      <c r="A119" s="204" t="str">
        <f>Economics!A37</f>
        <v>GT 1</v>
      </c>
      <c r="B119" s="202">
        <f t="shared" ref="B119:Y119" si="41">B44</f>
        <v>0</v>
      </c>
      <c r="C119" s="202">
        <f t="shared" si="41"/>
        <v>0</v>
      </c>
      <c r="D119" s="202">
        <f t="shared" si="41"/>
        <v>0</v>
      </c>
      <c r="E119" s="202">
        <f>E44</f>
        <v>0</v>
      </c>
      <c r="F119" s="202">
        <f t="shared" si="41"/>
        <v>0</v>
      </c>
      <c r="G119" s="202">
        <f t="shared" si="41"/>
        <v>0</v>
      </c>
      <c r="H119" s="202">
        <f t="shared" si="41"/>
        <v>0</v>
      </c>
      <c r="I119" s="202">
        <f t="shared" si="41"/>
        <v>0</v>
      </c>
      <c r="J119" s="202">
        <f t="shared" si="41"/>
        <v>0</v>
      </c>
      <c r="K119" s="202">
        <f t="shared" si="41"/>
        <v>0</v>
      </c>
      <c r="L119" s="202">
        <f t="shared" si="41"/>
        <v>0</v>
      </c>
      <c r="M119" s="202">
        <f t="shared" si="41"/>
        <v>0</v>
      </c>
      <c r="N119" s="202">
        <f t="shared" si="41"/>
        <v>0</v>
      </c>
      <c r="O119" s="202">
        <f t="shared" si="41"/>
        <v>0</v>
      </c>
      <c r="P119" s="202">
        <f t="shared" si="41"/>
        <v>0</v>
      </c>
      <c r="Q119" s="202">
        <f t="shared" si="41"/>
        <v>0</v>
      </c>
      <c r="R119" s="202">
        <f t="shared" si="41"/>
        <v>0</v>
      </c>
      <c r="S119" s="202">
        <f t="shared" si="41"/>
        <v>0</v>
      </c>
      <c r="T119" s="202">
        <f t="shared" si="41"/>
        <v>0</v>
      </c>
      <c r="U119" s="202">
        <f t="shared" si="41"/>
        <v>0</v>
      </c>
      <c r="V119" s="202">
        <f t="shared" si="41"/>
        <v>0</v>
      </c>
      <c r="W119" s="202">
        <f t="shared" si="41"/>
        <v>0</v>
      </c>
      <c r="X119" s="202">
        <f t="shared" si="41"/>
        <v>0</v>
      </c>
      <c r="Y119" s="202">
        <f t="shared" si="41"/>
        <v>0</v>
      </c>
      <c r="Z119" s="245">
        <f>SUM(B119:Y119)</f>
        <v>0</v>
      </c>
      <c r="AA119" s="344" t="s">
        <v>182</v>
      </c>
    </row>
    <row r="120" spans="1:29" x14ac:dyDescent="0.25">
      <c r="A120" s="206">
        <f>Economics!$I37</f>
        <v>1.96</v>
      </c>
      <c r="B120" s="210">
        <f t="shared" ref="B120:Y120" ca="1" si="42">IndGencost(B119,OFFSET(HeatRateStart,1,MATCH($A119,HeatRateNames,0)-1,250,1),$A120)</f>
        <v>0</v>
      </c>
      <c r="C120" s="210">
        <f t="shared" ca="1" si="42"/>
        <v>0</v>
      </c>
      <c r="D120" s="210">
        <f t="shared" ca="1" si="42"/>
        <v>0</v>
      </c>
      <c r="E120" s="210">
        <f t="shared" ca="1" si="42"/>
        <v>0</v>
      </c>
      <c r="F120" s="210">
        <f t="shared" ca="1" si="42"/>
        <v>0</v>
      </c>
      <c r="G120" s="210">
        <f t="shared" ca="1" si="42"/>
        <v>0</v>
      </c>
      <c r="H120" s="210">
        <f t="shared" ca="1" si="42"/>
        <v>0</v>
      </c>
      <c r="I120" s="210">
        <f t="shared" ca="1" si="42"/>
        <v>0</v>
      </c>
      <c r="J120" s="210">
        <f t="shared" ca="1" si="42"/>
        <v>0</v>
      </c>
      <c r="K120" s="210">
        <f t="shared" ca="1" si="42"/>
        <v>0</v>
      </c>
      <c r="L120" s="210">
        <f t="shared" ca="1" si="42"/>
        <v>0</v>
      </c>
      <c r="M120" s="210">
        <f t="shared" ca="1" si="42"/>
        <v>0</v>
      </c>
      <c r="N120" s="210">
        <f t="shared" ca="1" si="42"/>
        <v>0</v>
      </c>
      <c r="O120" s="210">
        <f t="shared" ca="1" si="42"/>
        <v>0</v>
      </c>
      <c r="P120" s="210">
        <f t="shared" ca="1" si="42"/>
        <v>0</v>
      </c>
      <c r="Q120" s="210">
        <f t="shared" ca="1" si="42"/>
        <v>0</v>
      </c>
      <c r="R120" s="210">
        <f t="shared" ca="1" si="42"/>
        <v>0</v>
      </c>
      <c r="S120" s="210">
        <f t="shared" ca="1" si="42"/>
        <v>0</v>
      </c>
      <c r="T120" s="210">
        <f t="shared" ca="1" si="42"/>
        <v>0</v>
      </c>
      <c r="U120" s="210">
        <f t="shared" ca="1" si="42"/>
        <v>0</v>
      </c>
      <c r="V120" s="210">
        <f t="shared" ca="1" si="42"/>
        <v>0</v>
      </c>
      <c r="W120" s="210">
        <f t="shared" ca="1" si="42"/>
        <v>0</v>
      </c>
      <c r="X120" s="210">
        <f t="shared" ca="1" si="42"/>
        <v>0</v>
      </c>
      <c r="Y120" s="210">
        <f t="shared" ca="1" si="42"/>
        <v>0</v>
      </c>
      <c r="Z120" s="285">
        <f t="array" aca="1" ref="Z120" ca="1">SUM(B119:Y119*B120:Y120)</f>
        <v>0</v>
      </c>
      <c r="AA120" s="344" t="s">
        <v>175</v>
      </c>
    </row>
    <row r="121" spans="1:29" x14ac:dyDescent="0.25">
      <c r="A121" s="205" t="s">
        <v>171</v>
      </c>
      <c r="B121" s="207">
        <f t="shared" ref="B121:Y121" si="43">B119</f>
        <v>0</v>
      </c>
      <c r="C121" s="207">
        <f t="shared" si="43"/>
        <v>0</v>
      </c>
      <c r="D121" s="207">
        <f t="shared" si="43"/>
        <v>0</v>
      </c>
      <c r="E121" s="207">
        <f t="shared" si="43"/>
        <v>0</v>
      </c>
      <c r="F121" s="207">
        <f t="shared" si="43"/>
        <v>0</v>
      </c>
      <c r="G121" s="207">
        <f t="shared" si="43"/>
        <v>0</v>
      </c>
      <c r="H121" s="207">
        <f t="shared" si="43"/>
        <v>0</v>
      </c>
      <c r="I121" s="207">
        <f t="shared" si="43"/>
        <v>0</v>
      </c>
      <c r="J121" s="207">
        <f t="shared" si="43"/>
        <v>0</v>
      </c>
      <c r="K121" s="207">
        <f t="shared" si="43"/>
        <v>0</v>
      </c>
      <c r="L121" s="207">
        <f t="shared" si="43"/>
        <v>0</v>
      </c>
      <c r="M121" s="207">
        <f t="shared" si="43"/>
        <v>0</v>
      </c>
      <c r="N121" s="207">
        <f t="shared" si="43"/>
        <v>0</v>
      </c>
      <c r="O121" s="207">
        <f t="shared" si="43"/>
        <v>0</v>
      </c>
      <c r="P121" s="207">
        <f t="shared" si="43"/>
        <v>0</v>
      </c>
      <c r="Q121" s="207">
        <f t="shared" si="43"/>
        <v>0</v>
      </c>
      <c r="R121" s="207">
        <f t="shared" si="43"/>
        <v>0</v>
      </c>
      <c r="S121" s="207">
        <f t="shared" si="43"/>
        <v>0</v>
      </c>
      <c r="T121" s="207">
        <f t="shared" si="43"/>
        <v>0</v>
      </c>
      <c r="U121" s="207">
        <f t="shared" si="43"/>
        <v>0</v>
      </c>
      <c r="V121" s="207">
        <f t="shared" si="43"/>
        <v>0</v>
      </c>
      <c r="W121" s="207">
        <f t="shared" si="43"/>
        <v>0</v>
      </c>
      <c r="X121" s="207">
        <f t="shared" si="43"/>
        <v>0</v>
      </c>
      <c r="Y121" s="207">
        <f t="shared" si="43"/>
        <v>0</v>
      </c>
      <c r="Z121" s="246">
        <f>SUM(B121:Y121)</f>
        <v>0</v>
      </c>
    </row>
    <row r="122" spans="1:29" x14ac:dyDescent="0.25">
      <c r="A122" s="203"/>
      <c r="B122" s="211">
        <f t="shared" ref="B122:Y122" ca="1" si="44">IndGencost(B121,OFFSET(HeatRateStart,1,MATCH($A119,HeatRateNames,0)-1,250,1),$A120)</f>
        <v>0</v>
      </c>
      <c r="C122" s="211">
        <f t="shared" ca="1" si="44"/>
        <v>0</v>
      </c>
      <c r="D122" s="211">
        <f t="shared" ca="1" si="44"/>
        <v>0</v>
      </c>
      <c r="E122" s="211">
        <f t="shared" ca="1" si="44"/>
        <v>0</v>
      </c>
      <c r="F122" s="211">
        <f t="shared" ca="1" si="44"/>
        <v>0</v>
      </c>
      <c r="G122" s="211">
        <f t="shared" ca="1" si="44"/>
        <v>0</v>
      </c>
      <c r="H122" s="211">
        <f t="shared" ca="1" si="44"/>
        <v>0</v>
      </c>
      <c r="I122" s="211">
        <f t="shared" ca="1" si="44"/>
        <v>0</v>
      </c>
      <c r="J122" s="211">
        <f t="shared" ca="1" si="44"/>
        <v>0</v>
      </c>
      <c r="K122" s="211">
        <f t="shared" ca="1" si="44"/>
        <v>0</v>
      </c>
      <c r="L122" s="211">
        <f t="shared" ca="1" si="44"/>
        <v>0</v>
      </c>
      <c r="M122" s="211">
        <f t="shared" ca="1" si="44"/>
        <v>0</v>
      </c>
      <c r="N122" s="211">
        <f t="shared" ca="1" si="44"/>
        <v>0</v>
      </c>
      <c r="O122" s="211">
        <f t="shared" ca="1" si="44"/>
        <v>0</v>
      </c>
      <c r="P122" s="211">
        <f t="shared" ca="1" si="44"/>
        <v>0</v>
      </c>
      <c r="Q122" s="211">
        <f t="shared" ca="1" si="44"/>
        <v>0</v>
      </c>
      <c r="R122" s="211">
        <f t="shared" ca="1" si="44"/>
        <v>0</v>
      </c>
      <c r="S122" s="211">
        <f t="shared" ca="1" si="44"/>
        <v>0</v>
      </c>
      <c r="T122" s="211">
        <f t="shared" ca="1" si="44"/>
        <v>0</v>
      </c>
      <c r="U122" s="211">
        <f t="shared" ca="1" si="44"/>
        <v>0</v>
      </c>
      <c r="V122" s="211">
        <f t="shared" ca="1" si="44"/>
        <v>0</v>
      </c>
      <c r="W122" s="211">
        <f t="shared" ca="1" si="44"/>
        <v>0</v>
      </c>
      <c r="X122" s="211">
        <f t="shared" ca="1" si="44"/>
        <v>0</v>
      </c>
      <c r="Y122" s="211">
        <f t="shared" ca="1" si="44"/>
        <v>0</v>
      </c>
      <c r="Z122" s="284">
        <f t="array" aca="1" ref="Z122" ca="1">SUM(B121:Y121*B122:Y122)</f>
        <v>0</v>
      </c>
    </row>
    <row r="123" spans="1:29" ht="13.8" thickBot="1" x14ac:dyDescent="0.3">
      <c r="A123" s="208" t="s">
        <v>173</v>
      </c>
      <c r="B123" s="209">
        <f t="shared" ref="B123:Y123" ca="1" si="45">B122-B120</f>
        <v>0</v>
      </c>
      <c r="C123" s="209">
        <f t="shared" ca="1" si="45"/>
        <v>0</v>
      </c>
      <c r="D123" s="209">
        <f t="shared" ca="1" si="45"/>
        <v>0</v>
      </c>
      <c r="E123" s="209">
        <f t="shared" ca="1" si="45"/>
        <v>0</v>
      </c>
      <c r="F123" s="209">
        <f t="shared" ca="1" si="45"/>
        <v>0</v>
      </c>
      <c r="G123" s="209">
        <f t="shared" ca="1" si="45"/>
        <v>0</v>
      </c>
      <c r="H123" s="209">
        <f t="shared" ca="1" si="45"/>
        <v>0</v>
      </c>
      <c r="I123" s="209">
        <f t="shared" ca="1" si="45"/>
        <v>0</v>
      </c>
      <c r="J123" s="209">
        <f t="shared" ca="1" si="45"/>
        <v>0</v>
      </c>
      <c r="K123" s="209">
        <f t="shared" ca="1" si="45"/>
        <v>0</v>
      </c>
      <c r="L123" s="209">
        <f t="shared" ca="1" si="45"/>
        <v>0</v>
      </c>
      <c r="M123" s="209">
        <f t="shared" ca="1" si="45"/>
        <v>0</v>
      </c>
      <c r="N123" s="209">
        <f t="shared" ca="1" si="45"/>
        <v>0</v>
      </c>
      <c r="O123" s="209">
        <f t="shared" ca="1" si="45"/>
        <v>0</v>
      </c>
      <c r="P123" s="209">
        <f t="shared" ca="1" si="45"/>
        <v>0</v>
      </c>
      <c r="Q123" s="209">
        <f t="shared" ca="1" si="45"/>
        <v>0</v>
      </c>
      <c r="R123" s="209">
        <f t="shared" ca="1" si="45"/>
        <v>0</v>
      </c>
      <c r="S123" s="209">
        <f t="shared" ca="1" si="45"/>
        <v>0</v>
      </c>
      <c r="T123" s="209">
        <f t="shared" ca="1" si="45"/>
        <v>0</v>
      </c>
      <c r="U123" s="209">
        <f t="shared" ca="1" si="45"/>
        <v>0</v>
      </c>
      <c r="V123" s="209">
        <f t="shared" ca="1" si="45"/>
        <v>0</v>
      </c>
      <c r="W123" s="209">
        <f t="shared" ca="1" si="45"/>
        <v>0</v>
      </c>
      <c r="X123" s="209">
        <f t="shared" ca="1" si="45"/>
        <v>0</v>
      </c>
      <c r="Y123" s="209">
        <f t="shared" ca="1" si="45"/>
        <v>0</v>
      </c>
      <c r="Z123" s="286">
        <f ca="1">Z120-Z122</f>
        <v>0</v>
      </c>
    </row>
    <row r="124" spans="1:29" x14ac:dyDescent="0.25">
      <c r="A124" s="204" t="str">
        <f>Economics!A38</f>
        <v>GT 2</v>
      </c>
      <c r="B124" s="202">
        <f t="shared" ref="B124:Y124" si="46">B45</f>
        <v>0</v>
      </c>
      <c r="C124" s="202">
        <f t="shared" si="46"/>
        <v>0</v>
      </c>
      <c r="D124" s="202">
        <f t="shared" si="46"/>
        <v>0</v>
      </c>
      <c r="E124" s="202">
        <f>E45</f>
        <v>0</v>
      </c>
      <c r="F124" s="202">
        <f t="shared" si="46"/>
        <v>0</v>
      </c>
      <c r="G124" s="202">
        <f t="shared" si="46"/>
        <v>0</v>
      </c>
      <c r="H124" s="202">
        <f t="shared" si="46"/>
        <v>0</v>
      </c>
      <c r="I124" s="202">
        <f t="shared" si="46"/>
        <v>0</v>
      </c>
      <c r="J124" s="202">
        <f t="shared" si="46"/>
        <v>0</v>
      </c>
      <c r="K124" s="202">
        <f t="shared" si="46"/>
        <v>0</v>
      </c>
      <c r="L124" s="202">
        <f t="shared" si="46"/>
        <v>0</v>
      </c>
      <c r="M124" s="202">
        <f t="shared" si="46"/>
        <v>0</v>
      </c>
      <c r="N124" s="202">
        <f t="shared" si="46"/>
        <v>0</v>
      </c>
      <c r="O124" s="202">
        <f t="shared" si="46"/>
        <v>0</v>
      </c>
      <c r="P124" s="202">
        <f t="shared" si="46"/>
        <v>0</v>
      </c>
      <c r="Q124" s="202">
        <f t="shared" si="46"/>
        <v>0</v>
      </c>
      <c r="R124" s="202">
        <f t="shared" si="46"/>
        <v>0</v>
      </c>
      <c r="S124" s="202">
        <f t="shared" si="46"/>
        <v>0</v>
      </c>
      <c r="T124" s="202">
        <f t="shared" si="46"/>
        <v>0</v>
      </c>
      <c r="U124" s="202">
        <f t="shared" si="46"/>
        <v>0</v>
      </c>
      <c r="V124" s="202">
        <f t="shared" si="46"/>
        <v>0</v>
      </c>
      <c r="W124" s="202">
        <f t="shared" si="46"/>
        <v>0</v>
      </c>
      <c r="X124" s="202">
        <f t="shared" si="46"/>
        <v>0</v>
      </c>
      <c r="Y124" s="202">
        <f t="shared" si="46"/>
        <v>0</v>
      </c>
      <c r="Z124" s="245">
        <f>SUM(B124:Y124)</f>
        <v>0</v>
      </c>
      <c r="AA124" s="344" t="s">
        <v>182</v>
      </c>
    </row>
    <row r="125" spans="1:29" x14ac:dyDescent="0.25">
      <c r="A125" s="206">
        <f>Economics!$I38</f>
        <v>1.96</v>
      </c>
      <c r="B125" s="210">
        <f t="shared" ref="B125:Y125" ca="1" si="47">IndGencost(B124,OFFSET(HeatRateStart,1,MATCH($A124,HeatRateNames,0)-1,250,1),$A125)</f>
        <v>0</v>
      </c>
      <c r="C125" s="210">
        <f t="shared" ca="1" si="47"/>
        <v>0</v>
      </c>
      <c r="D125" s="210">
        <f t="shared" ca="1" si="47"/>
        <v>0</v>
      </c>
      <c r="E125" s="210">
        <f t="shared" ca="1" si="47"/>
        <v>0</v>
      </c>
      <c r="F125" s="210">
        <f t="shared" ca="1" si="47"/>
        <v>0</v>
      </c>
      <c r="G125" s="210">
        <f t="shared" ca="1" si="47"/>
        <v>0</v>
      </c>
      <c r="H125" s="210">
        <f t="shared" ca="1" si="47"/>
        <v>0</v>
      </c>
      <c r="I125" s="210">
        <f t="shared" ca="1" si="47"/>
        <v>0</v>
      </c>
      <c r="J125" s="210">
        <f t="shared" ca="1" si="47"/>
        <v>0</v>
      </c>
      <c r="K125" s="210">
        <f t="shared" ca="1" si="47"/>
        <v>0</v>
      </c>
      <c r="L125" s="210">
        <f t="shared" ca="1" si="47"/>
        <v>0</v>
      </c>
      <c r="M125" s="210">
        <f t="shared" ca="1" si="47"/>
        <v>0</v>
      </c>
      <c r="N125" s="210">
        <f t="shared" ca="1" si="47"/>
        <v>0</v>
      </c>
      <c r="O125" s="210">
        <f t="shared" ca="1" si="47"/>
        <v>0</v>
      </c>
      <c r="P125" s="210">
        <f t="shared" ca="1" si="47"/>
        <v>0</v>
      </c>
      <c r="Q125" s="210">
        <f t="shared" ca="1" si="47"/>
        <v>0</v>
      </c>
      <c r="R125" s="210">
        <f t="shared" ca="1" si="47"/>
        <v>0</v>
      </c>
      <c r="S125" s="210">
        <f t="shared" ca="1" si="47"/>
        <v>0</v>
      </c>
      <c r="T125" s="210">
        <f t="shared" ca="1" si="47"/>
        <v>0</v>
      </c>
      <c r="U125" s="210">
        <f t="shared" ca="1" si="47"/>
        <v>0</v>
      </c>
      <c r="V125" s="210">
        <f t="shared" ca="1" si="47"/>
        <v>0</v>
      </c>
      <c r="W125" s="210">
        <f t="shared" ca="1" si="47"/>
        <v>0</v>
      </c>
      <c r="X125" s="210">
        <f t="shared" ca="1" si="47"/>
        <v>0</v>
      </c>
      <c r="Y125" s="210">
        <f t="shared" ca="1" si="47"/>
        <v>0</v>
      </c>
      <c r="Z125" s="285">
        <f t="array" aca="1" ref="Z125" ca="1">SUM(B124:Y124*B125:Y125)</f>
        <v>0</v>
      </c>
      <c r="AA125" s="344" t="s">
        <v>175</v>
      </c>
    </row>
    <row r="126" spans="1:29" x14ac:dyDescent="0.25">
      <c r="A126" s="205" t="s">
        <v>171</v>
      </c>
      <c r="B126" s="207">
        <f t="shared" ref="B126:Y126" si="48">B124</f>
        <v>0</v>
      </c>
      <c r="C126" s="207">
        <f t="shared" si="48"/>
        <v>0</v>
      </c>
      <c r="D126" s="207">
        <f t="shared" si="48"/>
        <v>0</v>
      </c>
      <c r="E126" s="207">
        <f t="shared" si="48"/>
        <v>0</v>
      </c>
      <c r="F126" s="207">
        <f t="shared" si="48"/>
        <v>0</v>
      </c>
      <c r="G126" s="207">
        <f t="shared" si="48"/>
        <v>0</v>
      </c>
      <c r="H126" s="207">
        <f t="shared" si="48"/>
        <v>0</v>
      </c>
      <c r="I126" s="207">
        <f t="shared" si="48"/>
        <v>0</v>
      </c>
      <c r="J126" s="207">
        <f t="shared" si="48"/>
        <v>0</v>
      </c>
      <c r="K126" s="207">
        <f t="shared" si="48"/>
        <v>0</v>
      </c>
      <c r="L126" s="207">
        <f t="shared" si="48"/>
        <v>0</v>
      </c>
      <c r="M126" s="207">
        <f t="shared" si="48"/>
        <v>0</v>
      </c>
      <c r="N126" s="207">
        <f t="shared" si="48"/>
        <v>0</v>
      </c>
      <c r="O126" s="207">
        <f t="shared" si="48"/>
        <v>0</v>
      </c>
      <c r="P126" s="207">
        <f t="shared" si="48"/>
        <v>0</v>
      </c>
      <c r="Q126" s="207">
        <f t="shared" si="48"/>
        <v>0</v>
      </c>
      <c r="R126" s="207">
        <f t="shared" si="48"/>
        <v>0</v>
      </c>
      <c r="S126" s="207">
        <f t="shared" si="48"/>
        <v>0</v>
      </c>
      <c r="T126" s="207">
        <f t="shared" si="48"/>
        <v>0</v>
      </c>
      <c r="U126" s="207">
        <f t="shared" si="48"/>
        <v>0</v>
      </c>
      <c r="V126" s="207">
        <f t="shared" si="48"/>
        <v>0</v>
      </c>
      <c r="W126" s="207">
        <f t="shared" si="48"/>
        <v>0</v>
      </c>
      <c r="X126" s="207">
        <f t="shared" si="48"/>
        <v>0</v>
      </c>
      <c r="Y126" s="207">
        <f t="shared" si="48"/>
        <v>0</v>
      </c>
      <c r="Z126" s="246">
        <f>SUM(B126:Y126)</f>
        <v>0</v>
      </c>
    </row>
    <row r="127" spans="1:29" x14ac:dyDescent="0.25">
      <c r="A127" s="203"/>
      <c r="B127" s="211">
        <f t="shared" ref="B127:Y127" ca="1" si="49">IndGencost(B126,OFFSET(HeatRateStart,1,MATCH($A124,HeatRateNames,0)-1,250,1),$A125)</f>
        <v>0</v>
      </c>
      <c r="C127" s="211">
        <f t="shared" ca="1" si="49"/>
        <v>0</v>
      </c>
      <c r="D127" s="211">
        <f t="shared" ca="1" si="49"/>
        <v>0</v>
      </c>
      <c r="E127" s="211">
        <f t="shared" ca="1" si="49"/>
        <v>0</v>
      </c>
      <c r="F127" s="211">
        <f t="shared" ca="1" si="49"/>
        <v>0</v>
      </c>
      <c r="G127" s="211">
        <f t="shared" ca="1" si="49"/>
        <v>0</v>
      </c>
      <c r="H127" s="211">
        <f t="shared" ca="1" si="49"/>
        <v>0</v>
      </c>
      <c r="I127" s="211">
        <f t="shared" ca="1" si="49"/>
        <v>0</v>
      </c>
      <c r="J127" s="211">
        <f t="shared" ca="1" si="49"/>
        <v>0</v>
      </c>
      <c r="K127" s="211">
        <f t="shared" ca="1" si="49"/>
        <v>0</v>
      </c>
      <c r="L127" s="211">
        <f t="shared" ca="1" si="49"/>
        <v>0</v>
      </c>
      <c r="M127" s="211">
        <f t="shared" ca="1" si="49"/>
        <v>0</v>
      </c>
      <c r="N127" s="211">
        <f t="shared" ca="1" si="49"/>
        <v>0</v>
      </c>
      <c r="O127" s="211">
        <f t="shared" ca="1" si="49"/>
        <v>0</v>
      </c>
      <c r="P127" s="211">
        <f t="shared" ca="1" si="49"/>
        <v>0</v>
      </c>
      <c r="Q127" s="211">
        <f t="shared" ca="1" si="49"/>
        <v>0</v>
      </c>
      <c r="R127" s="211">
        <f t="shared" ca="1" si="49"/>
        <v>0</v>
      </c>
      <c r="S127" s="211">
        <f t="shared" ca="1" si="49"/>
        <v>0</v>
      </c>
      <c r="T127" s="211">
        <f t="shared" ca="1" si="49"/>
        <v>0</v>
      </c>
      <c r="U127" s="211">
        <f t="shared" ca="1" si="49"/>
        <v>0</v>
      </c>
      <c r="V127" s="211">
        <f t="shared" ca="1" si="49"/>
        <v>0</v>
      </c>
      <c r="W127" s="211">
        <f t="shared" ca="1" si="49"/>
        <v>0</v>
      </c>
      <c r="X127" s="211">
        <f t="shared" ca="1" si="49"/>
        <v>0</v>
      </c>
      <c r="Y127" s="211">
        <f t="shared" ca="1" si="49"/>
        <v>0</v>
      </c>
      <c r="Z127" s="284">
        <f t="array" aca="1" ref="Z127" ca="1">SUM(B126:Y126*B127:Y127)</f>
        <v>0</v>
      </c>
    </row>
    <row r="128" spans="1:29" ht="13.8" thickBot="1" x14ac:dyDescent="0.3">
      <c r="A128" s="208" t="s">
        <v>173</v>
      </c>
      <c r="B128" s="209">
        <f t="shared" ref="B128:Y128" ca="1" si="50">B127-B125</f>
        <v>0</v>
      </c>
      <c r="C128" s="209">
        <f t="shared" ca="1" si="50"/>
        <v>0</v>
      </c>
      <c r="D128" s="209">
        <f t="shared" ca="1" si="50"/>
        <v>0</v>
      </c>
      <c r="E128" s="209">
        <f t="shared" ca="1" si="50"/>
        <v>0</v>
      </c>
      <c r="F128" s="209">
        <f t="shared" ca="1" si="50"/>
        <v>0</v>
      </c>
      <c r="G128" s="209">
        <f t="shared" ca="1" si="50"/>
        <v>0</v>
      </c>
      <c r="H128" s="209">
        <f t="shared" ca="1" si="50"/>
        <v>0</v>
      </c>
      <c r="I128" s="209">
        <f t="shared" ca="1" si="50"/>
        <v>0</v>
      </c>
      <c r="J128" s="209">
        <f t="shared" ca="1" si="50"/>
        <v>0</v>
      </c>
      <c r="K128" s="209">
        <f t="shared" ca="1" si="50"/>
        <v>0</v>
      </c>
      <c r="L128" s="209">
        <f t="shared" ca="1" si="50"/>
        <v>0</v>
      </c>
      <c r="M128" s="209">
        <f t="shared" ca="1" si="50"/>
        <v>0</v>
      </c>
      <c r="N128" s="209">
        <f t="shared" ca="1" si="50"/>
        <v>0</v>
      </c>
      <c r="O128" s="209">
        <f t="shared" ca="1" si="50"/>
        <v>0</v>
      </c>
      <c r="P128" s="209">
        <f t="shared" ca="1" si="50"/>
        <v>0</v>
      </c>
      <c r="Q128" s="209">
        <f t="shared" ca="1" si="50"/>
        <v>0</v>
      </c>
      <c r="R128" s="209">
        <f t="shared" ca="1" si="50"/>
        <v>0</v>
      </c>
      <c r="S128" s="209">
        <f t="shared" ca="1" si="50"/>
        <v>0</v>
      </c>
      <c r="T128" s="209">
        <f t="shared" ca="1" si="50"/>
        <v>0</v>
      </c>
      <c r="U128" s="209">
        <f t="shared" ca="1" si="50"/>
        <v>0</v>
      </c>
      <c r="V128" s="209">
        <f t="shared" ca="1" si="50"/>
        <v>0</v>
      </c>
      <c r="W128" s="209">
        <f t="shared" ca="1" si="50"/>
        <v>0</v>
      </c>
      <c r="X128" s="209">
        <f t="shared" ca="1" si="50"/>
        <v>0</v>
      </c>
      <c r="Y128" s="209">
        <f t="shared" ca="1" si="50"/>
        <v>0</v>
      </c>
      <c r="Z128" s="286">
        <f ca="1">Z125-Z127</f>
        <v>0</v>
      </c>
    </row>
    <row r="129" spans="1:27" x14ac:dyDescent="0.25">
      <c r="A129" s="204" t="str">
        <f>Economics!A39</f>
        <v>GT1+ST1</v>
      </c>
      <c r="B129" s="202">
        <f t="shared" ref="B129:Y129" si="51">B46</f>
        <v>0</v>
      </c>
      <c r="C129" s="202">
        <f t="shared" si="51"/>
        <v>0</v>
      </c>
      <c r="D129" s="202">
        <f t="shared" si="51"/>
        <v>0</v>
      </c>
      <c r="E129" s="202">
        <f>E46</f>
        <v>0</v>
      </c>
      <c r="F129" s="202">
        <f t="shared" si="51"/>
        <v>0</v>
      </c>
      <c r="G129" s="202">
        <f t="shared" si="51"/>
        <v>0</v>
      </c>
      <c r="H129" s="202">
        <f t="shared" si="51"/>
        <v>0</v>
      </c>
      <c r="I129" s="202">
        <f t="shared" si="51"/>
        <v>0</v>
      </c>
      <c r="J129" s="202">
        <f t="shared" si="51"/>
        <v>0</v>
      </c>
      <c r="K129" s="202">
        <f t="shared" si="51"/>
        <v>0</v>
      </c>
      <c r="L129" s="202">
        <f t="shared" si="51"/>
        <v>0</v>
      </c>
      <c r="M129" s="202">
        <f t="shared" si="51"/>
        <v>0</v>
      </c>
      <c r="N129" s="202">
        <f t="shared" si="51"/>
        <v>0</v>
      </c>
      <c r="O129" s="202">
        <f t="shared" si="51"/>
        <v>0</v>
      </c>
      <c r="P129" s="202">
        <f t="shared" si="51"/>
        <v>0</v>
      </c>
      <c r="Q129" s="202">
        <f t="shared" si="51"/>
        <v>0</v>
      </c>
      <c r="R129" s="202">
        <f t="shared" si="51"/>
        <v>0</v>
      </c>
      <c r="S129" s="202">
        <f t="shared" si="51"/>
        <v>0</v>
      </c>
      <c r="T129" s="202">
        <f t="shared" si="51"/>
        <v>0</v>
      </c>
      <c r="U129" s="202">
        <f t="shared" si="51"/>
        <v>0</v>
      </c>
      <c r="V129" s="202">
        <f t="shared" si="51"/>
        <v>0</v>
      </c>
      <c r="W129" s="202">
        <f t="shared" si="51"/>
        <v>0</v>
      </c>
      <c r="X129" s="202">
        <f t="shared" si="51"/>
        <v>0</v>
      </c>
      <c r="Y129" s="202">
        <f t="shared" si="51"/>
        <v>0</v>
      </c>
      <c r="Z129" s="245">
        <f>SUM(B129:Y129)</f>
        <v>0</v>
      </c>
      <c r="AA129" s="344" t="s">
        <v>182</v>
      </c>
    </row>
    <row r="130" spans="1:27" x14ac:dyDescent="0.25">
      <c r="A130" s="206">
        <f>Economics!$I39</f>
        <v>1.96</v>
      </c>
      <c r="B130" s="210">
        <f t="shared" ref="B130:Y130" ca="1" si="52">IndGencost(B129,OFFSET(HeatRateStart,1,MATCH($A129,HeatRateNames,0)-1,250,1),$A130)</f>
        <v>0</v>
      </c>
      <c r="C130" s="210">
        <f t="shared" ca="1" si="52"/>
        <v>0</v>
      </c>
      <c r="D130" s="210">
        <f t="shared" ca="1" si="52"/>
        <v>0</v>
      </c>
      <c r="E130" s="210">
        <f t="shared" ca="1" si="52"/>
        <v>0</v>
      </c>
      <c r="F130" s="210">
        <f t="shared" ca="1" si="52"/>
        <v>0</v>
      </c>
      <c r="G130" s="210">
        <f t="shared" ca="1" si="52"/>
        <v>0</v>
      </c>
      <c r="H130" s="210">
        <f t="shared" ca="1" si="52"/>
        <v>0</v>
      </c>
      <c r="I130" s="210">
        <f t="shared" ca="1" si="52"/>
        <v>0</v>
      </c>
      <c r="J130" s="210">
        <f t="shared" ca="1" si="52"/>
        <v>0</v>
      </c>
      <c r="K130" s="210">
        <f t="shared" ca="1" si="52"/>
        <v>0</v>
      </c>
      <c r="L130" s="210">
        <f t="shared" ca="1" si="52"/>
        <v>0</v>
      </c>
      <c r="M130" s="210">
        <f t="shared" ca="1" si="52"/>
        <v>0</v>
      </c>
      <c r="N130" s="210">
        <f t="shared" ca="1" si="52"/>
        <v>0</v>
      </c>
      <c r="O130" s="210">
        <f t="shared" ca="1" si="52"/>
        <v>0</v>
      </c>
      <c r="P130" s="210">
        <f t="shared" ca="1" si="52"/>
        <v>0</v>
      </c>
      <c r="Q130" s="210">
        <f t="shared" ca="1" si="52"/>
        <v>0</v>
      </c>
      <c r="R130" s="210">
        <f t="shared" ca="1" si="52"/>
        <v>0</v>
      </c>
      <c r="S130" s="210">
        <f t="shared" ca="1" si="52"/>
        <v>0</v>
      </c>
      <c r="T130" s="210">
        <f t="shared" ca="1" si="52"/>
        <v>0</v>
      </c>
      <c r="U130" s="210">
        <f t="shared" ca="1" si="52"/>
        <v>0</v>
      </c>
      <c r="V130" s="210">
        <f t="shared" ca="1" si="52"/>
        <v>0</v>
      </c>
      <c r="W130" s="210">
        <f t="shared" ca="1" si="52"/>
        <v>0</v>
      </c>
      <c r="X130" s="210">
        <f t="shared" ca="1" si="52"/>
        <v>0</v>
      </c>
      <c r="Y130" s="210">
        <f t="shared" ca="1" si="52"/>
        <v>0</v>
      </c>
      <c r="Z130" s="285">
        <f t="array" aca="1" ref="Z130" ca="1">SUM(B129:Y129*B130:Y130)</f>
        <v>0</v>
      </c>
      <c r="AA130" s="344" t="s">
        <v>175</v>
      </c>
    </row>
    <row r="131" spans="1:27" x14ac:dyDescent="0.25">
      <c r="A131" s="205" t="s">
        <v>183</v>
      </c>
      <c r="B131" s="207"/>
      <c r="C131" s="207"/>
      <c r="D131" s="207"/>
      <c r="E131" s="207"/>
      <c r="F131" s="207"/>
      <c r="G131" s="207"/>
      <c r="H131" s="207"/>
      <c r="I131" s="207"/>
      <c r="J131" s="207"/>
      <c r="K131" s="207"/>
      <c r="L131" s="207"/>
      <c r="M131" s="207"/>
      <c r="N131" s="207"/>
      <c r="O131" s="207"/>
      <c r="P131" s="207"/>
      <c r="Q131" s="207"/>
      <c r="R131" s="207"/>
      <c r="S131" s="207"/>
      <c r="T131" s="207"/>
      <c r="U131" s="207"/>
      <c r="V131" s="207"/>
      <c r="W131" s="207"/>
      <c r="X131" s="207"/>
      <c r="Y131" s="207"/>
      <c r="Z131" s="246">
        <f>SUM(B131:Y131)</f>
        <v>0</v>
      </c>
    </row>
    <row r="132" spans="1:27" x14ac:dyDescent="0.25">
      <c r="A132" s="203"/>
      <c r="B132" s="211">
        <f t="shared" ref="B132:Y132" ca="1" si="53">IndGencost(B131,OFFSET(HeatRateStart,1,MATCH($A129,HeatRateNames,0)-1,250,1),$A130)</f>
        <v>0</v>
      </c>
      <c r="C132" s="211">
        <f t="shared" ca="1" si="53"/>
        <v>0</v>
      </c>
      <c r="D132" s="211">
        <f t="shared" ca="1" si="53"/>
        <v>0</v>
      </c>
      <c r="E132" s="211">
        <f t="shared" ca="1" si="53"/>
        <v>0</v>
      </c>
      <c r="F132" s="211">
        <f t="shared" ca="1" si="53"/>
        <v>0</v>
      </c>
      <c r="G132" s="211">
        <f t="shared" ca="1" si="53"/>
        <v>0</v>
      </c>
      <c r="H132" s="211">
        <f t="shared" ca="1" si="53"/>
        <v>0</v>
      </c>
      <c r="I132" s="211">
        <f t="shared" ca="1" si="53"/>
        <v>0</v>
      </c>
      <c r="J132" s="211">
        <f t="shared" ca="1" si="53"/>
        <v>0</v>
      </c>
      <c r="K132" s="211">
        <f t="shared" ca="1" si="53"/>
        <v>0</v>
      </c>
      <c r="L132" s="211">
        <f t="shared" ca="1" si="53"/>
        <v>0</v>
      </c>
      <c r="M132" s="211">
        <f t="shared" ca="1" si="53"/>
        <v>0</v>
      </c>
      <c r="N132" s="211">
        <f t="shared" ca="1" si="53"/>
        <v>0</v>
      </c>
      <c r="O132" s="211">
        <f t="shared" ca="1" si="53"/>
        <v>0</v>
      </c>
      <c r="P132" s="211">
        <f t="shared" ca="1" si="53"/>
        <v>0</v>
      </c>
      <c r="Q132" s="211">
        <f t="shared" ca="1" si="53"/>
        <v>0</v>
      </c>
      <c r="R132" s="211">
        <f t="shared" ca="1" si="53"/>
        <v>0</v>
      </c>
      <c r="S132" s="211">
        <f t="shared" ca="1" si="53"/>
        <v>0</v>
      </c>
      <c r="T132" s="211">
        <f t="shared" ca="1" si="53"/>
        <v>0</v>
      </c>
      <c r="U132" s="211">
        <f t="shared" ca="1" si="53"/>
        <v>0</v>
      </c>
      <c r="V132" s="211">
        <f t="shared" ca="1" si="53"/>
        <v>0</v>
      </c>
      <c r="W132" s="211">
        <f t="shared" ca="1" si="53"/>
        <v>0</v>
      </c>
      <c r="X132" s="211">
        <f t="shared" ca="1" si="53"/>
        <v>0</v>
      </c>
      <c r="Y132" s="211">
        <f t="shared" ca="1" si="53"/>
        <v>0</v>
      </c>
      <c r="Z132" s="284">
        <f t="array" aca="1" ref="Z132" ca="1">SUM(B131:Y131*B132:Y132)</f>
        <v>0</v>
      </c>
    </row>
    <row r="133" spans="1:27" ht="13.8" thickBot="1" x14ac:dyDescent="0.3">
      <c r="A133" s="208" t="s">
        <v>173</v>
      </c>
      <c r="B133" s="209">
        <f t="shared" ref="B133:Y133" ca="1" si="54">B132-B130</f>
        <v>0</v>
      </c>
      <c r="C133" s="209">
        <f t="shared" ca="1" si="54"/>
        <v>0</v>
      </c>
      <c r="D133" s="209">
        <f t="shared" ca="1" si="54"/>
        <v>0</v>
      </c>
      <c r="E133" s="209">
        <f t="shared" ca="1" si="54"/>
        <v>0</v>
      </c>
      <c r="F133" s="209">
        <f t="shared" ca="1" si="54"/>
        <v>0</v>
      </c>
      <c r="G133" s="209">
        <f t="shared" ca="1" si="54"/>
        <v>0</v>
      </c>
      <c r="H133" s="209">
        <f t="shared" ca="1" si="54"/>
        <v>0</v>
      </c>
      <c r="I133" s="209">
        <f t="shared" ca="1" si="54"/>
        <v>0</v>
      </c>
      <c r="J133" s="209">
        <f t="shared" ca="1" si="54"/>
        <v>0</v>
      </c>
      <c r="K133" s="209">
        <f t="shared" ca="1" si="54"/>
        <v>0</v>
      </c>
      <c r="L133" s="209">
        <f t="shared" ca="1" si="54"/>
        <v>0</v>
      </c>
      <c r="M133" s="209">
        <f t="shared" ca="1" si="54"/>
        <v>0</v>
      </c>
      <c r="N133" s="209">
        <f t="shared" ca="1" si="54"/>
        <v>0</v>
      </c>
      <c r="O133" s="209">
        <f t="shared" ca="1" si="54"/>
        <v>0</v>
      </c>
      <c r="P133" s="209">
        <f t="shared" ca="1" si="54"/>
        <v>0</v>
      </c>
      <c r="Q133" s="209">
        <f t="shared" ca="1" si="54"/>
        <v>0</v>
      </c>
      <c r="R133" s="209">
        <f t="shared" ca="1" si="54"/>
        <v>0</v>
      </c>
      <c r="S133" s="209">
        <f t="shared" ca="1" si="54"/>
        <v>0</v>
      </c>
      <c r="T133" s="209">
        <f t="shared" ca="1" si="54"/>
        <v>0</v>
      </c>
      <c r="U133" s="209">
        <f t="shared" ca="1" si="54"/>
        <v>0</v>
      </c>
      <c r="V133" s="209">
        <f t="shared" ca="1" si="54"/>
        <v>0</v>
      </c>
      <c r="W133" s="209">
        <f t="shared" ca="1" si="54"/>
        <v>0</v>
      </c>
      <c r="X133" s="209">
        <f t="shared" ca="1" si="54"/>
        <v>0</v>
      </c>
      <c r="Y133" s="209">
        <f t="shared" ca="1" si="54"/>
        <v>0</v>
      </c>
      <c r="Z133" s="286">
        <f ca="1">Z130-Z132</f>
        <v>0</v>
      </c>
    </row>
    <row r="134" spans="1:27" x14ac:dyDescent="0.25">
      <c r="A134" s="204" t="str">
        <f>Economics!A40</f>
        <v>GT2+ST1</v>
      </c>
      <c r="B134" s="202">
        <f t="shared" ref="B134:Y134" si="55">B47</f>
        <v>0</v>
      </c>
      <c r="C134" s="202">
        <f t="shared" si="55"/>
        <v>0</v>
      </c>
      <c r="D134" s="202">
        <f t="shared" si="55"/>
        <v>0</v>
      </c>
      <c r="E134" s="202">
        <f>E47</f>
        <v>0</v>
      </c>
      <c r="F134" s="202">
        <f t="shared" si="55"/>
        <v>0</v>
      </c>
      <c r="G134" s="202">
        <f t="shared" si="55"/>
        <v>0</v>
      </c>
      <c r="H134" s="202">
        <f t="shared" si="55"/>
        <v>0</v>
      </c>
      <c r="I134" s="202">
        <f t="shared" si="55"/>
        <v>0</v>
      </c>
      <c r="J134" s="202">
        <f t="shared" si="55"/>
        <v>0</v>
      </c>
      <c r="K134" s="202">
        <f t="shared" si="55"/>
        <v>0</v>
      </c>
      <c r="L134" s="202">
        <f t="shared" si="55"/>
        <v>0</v>
      </c>
      <c r="M134" s="202">
        <f t="shared" si="55"/>
        <v>0</v>
      </c>
      <c r="N134" s="202">
        <f t="shared" si="55"/>
        <v>0</v>
      </c>
      <c r="O134" s="202">
        <f t="shared" si="55"/>
        <v>0</v>
      </c>
      <c r="P134" s="202">
        <f t="shared" si="55"/>
        <v>0</v>
      </c>
      <c r="Q134" s="202">
        <f t="shared" si="55"/>
        <v>0</v>
      </c>
      <c r="R134" s="202">
        <f t="shared" si="55"/>
        <v>0</v>
      </c>
      <c r="S134" s="202">
        <f t="shared" si="55"/>
        <v>0</v>
      </c>
      <c r="T134" s="202">
        <f t="shared" si="55"/>
        <v>0</v>
      </c>
      <c r="U134" s="202">
        <f t="shared" si="55"/>
        <v>0</v>
      </c>
      <c r="V134" s="202">
        <f t="shared" si="55"/>
        <v>0</v>
      </c>
      <c r="W134" s="202">
        <f t="shared" si="55"/>
        <v>0</v>
      </c>
      <c r="X134" s="202">
        <f t="shared" si="55"/>
        <v>0</v>
      </c>
      <c r="Y134" s="202">
        <f t="shared" si="55"/>
        <v>0</v>
      </c>
      <c r="Z134" s="245">
        <f>SUM(B134:Y134)</f>
        <v>0</v>
      </c>
      <c r="AA134" s="344" t="s">
        <v>182</v>
      </c>
    </row>
    <row r="135" spans="1:27" x14ac:dyDescent="0.25">
      <c r="A135" s="206">
        <f>Economics!$I40</f>
        <v>1.96</v>
      </c>
      <c r="B135" s="210">
        <f t="shared" ref="B135:Y135" ca="1" si="56">IndGencost(B134,OFFSET(HeatRateStart,1,MATCH($A134,HeatRateNames,0)-1,250,1),$A135)</f>
        <v>0</v>
      </c>
      <c r="C135" s="210">
        <f t="shared" ca="1" si="56"/>
        <v>0</v>
      </c>
      <c r="D135" s="210">
        <f t="shared" ca="1" si="56"/>
        <v>0</v>
      </c>
      <c r="E135" s="210">
        <f t="shared" ca="1" si="56"/>
        <v>0</v>
      </c>
      <c r="F135" s="210">
        <f t="shared" ca="1" si="56"/>
        <v>0</v>
      </c>
      <c r="G135" s="210">
        <f t="shared" ca="1" si="56"/>
        <v>0</v>
      </c>
      <c r="H135" s="210">
        <f t="shared" ca="1" si="56"/>
        <v>0</v>
      </c>
      <c r="I135" s="210">
        <f t="shared" ca="1" si="56"/>
        <v>0</v>
      </c>
      <c r="J135" s="210">
        <f t="shared" ca="1" si="56"/>
        <v>0</v>
      </c>
      <c r="K135" s="210">
        <f t="shared" ca="1" si="56"/>
        <v>0</v>
      </c>
      <c r="L135" s="210">
        <f t="shared" ca="1" si="56"/>
        <v>0</v>
      </c>
      <c r="M135" s="210">
        <f t="shared" ca="1" si="56"/>
        <v>0</v>
      </c>
      <c r="N135" s="210">
        <f t="shared" ca="1" si="56"/>
        <v>0</v>
      </c>
      <c r="O135" s="210">
        <f t="shared" ca="1" si="56"/>
        <v>0</v>
      </c>
      <c r="P135" s="210">
        <f t="shared" ca="1" si="56"/>
        <v>0</v>
      </c>
      <c r="Q135" s="210">
        <f t="shared" ca="1" si="56"/>
        <v>0</v>
      </c>
      <c r="R135" s="210">
        <f t="shared" ca="1" si="56"/>
        <v>0</v>
      </c>
      <c r="S135" s="210">
        <f t="shared" ca="1" si="56"/>
        <v>0</v>
      </c>
      <c r="T135" s="210">
        <f t="shared" ca="1" si="56"/>
        <v>0</v>
      </c>
      <c r="U135" s="210">
        <f t="shared" ca="1" si="56"/>
        <v>0</v>
      </c>
      <c r="V135" s="210">
        <f t="shared" ca="1" si="56"/>
        <v>0</v>
      </c>
      <c r="W135" s="210">
        <f t="shared" ca="1" si="56"/>
        <v>0</v>
      </c>
      <c r="X135" s="210">
        <f t="shared" ca="1" si="56"/>
        <v>0</v>
      </c>
      <c r="Y135" s="210">
        <f t="shared" ca="1" si="56"/>
        <v>0</v>
      </c>
      <c r="Z135" s="285">
        <f t="array" aca="1" ref="Z135" ca="1">SUM(B134:Y134*B135:Y135)</f>
        <v>0</v>
      </c>
      <c r="AA135" s="344" t="s">
        <v>175</v>
      </c>
    </row>
    <row r="136" spans="1:27" x14ac:dyDescent="0.25">
      <c r="A136" s="205" t="s">
        <v>171</v>
      </c>
      <c r="B136" s="207">
        <f t="shared" ref="B136:Y136" si="57">B134</f>
        <v>0</v>
      </c>
      <c r="C136" s="207">
        <f t="shared" si="57"/>
        <v>0</v>
      </c>
      <c r="D136" s="207">
        <f t="shared" si="57"/>
        <v>0</v>
      </c>
      <c r="E136" s="207">
        <f t="shared" si="57"/>
        <v>0</v>
      </c>
      <c r="F136" s="207">
        <f t="shared" si="57"/>
        <v>0</v>
      </c>
      <c r="G136" s="207">
        <f t="shared" si="57"/>
        <v>0</v>
      </c>
      <c r="H136" s="207">
        <f t="shared" si="57"/>
        <v>0</v>
      </c>
      <c r="I136" s="207">
        <f t="shared" si="57"/>
        <v>0</v>
      </c>
      <c r="J136" s="207">
        <f t="shared" si="57"/>
        <v>0</v>
      </c>
      <c r="K136" s="207">
        <f t="shared" si="57"/>
        <v>0</v>
      </c>
      <c r="L136" s="207">
        <f t="shared" si="57"/>
        <v>0</v>
      </c>
      <c r="M136" s="207">
        <f t="shared" si="57"/>
        <v>0</v>
      </c>
      <c r="N136" s="207">
        <f t="shared" si="57"/>
        <v>0</v>
      </c>
      <c r="O136" s="207">
        <f t="shared" si="57"/>
        <v>0</v>
      </c>
      <c r="P136" s="207">
        <f t="shared" si="57"/>
        <v>0</v>
      </c>
      <c r="Q136" s="207">
        <f t="shared" si="57"/>
        <v>0</v>
      </c>
      <c r="R136" s="207">
        <f t="shared" si="57"/>
        <v>0</v>
      </c>
      <c r="S136" s="207">
        <f t="shared" si="57"/>
        <v>0</v>
      </c>
      <c r="T136" s="207">
        <f t="shared" si="57"/>
        <v>0</v>
      </c>
      <c r="U136" s="207">
        <f t="shared" si="57"/>
        <v>0</v>
      </c>
      <c r="V136" s="207">
        <f t="shared" si="57"/>
        <v>0</v>
      </c>
      <c r="W136" s="207">
        <f t="shared" si="57"/>
        <v>0</v>
      </c>
      <c r="X136" s="207">
        <f t="shared" si="57"/>
        <v>0</v>
      </c>
      <c r="Y136" s="207">
        <f t="shared" si="57"/>
        <v>0</v>
      </c>
      <c r="Z136" s="246">
        <f>SUM(B136:Y136)</f>
        <v>0</v>
      </c>
    </row>
    <row r="137" spans="1:27" x14ac:dyDescent="0.25">
      <c r="A137" s="203"/>
      <c r="B137" s="211">
        <f ca="1">IndGencost(B136,OFFSET(HeatRateStart,1,MATCH($A134,HeatRateNames,0)-1,250,1),$A135)</f>
        <v>0</v>
      </c>
      <c r="C137" s="211">
        <f ca="1">IndGencost(C136,OFFSET(HeatRateStart,1,MATCH($A134,HeatRateNames,0)-1,250,1),$A135)</f>
        <v>0</v>
      </c>
      <c r="D137" s="211"/>
      <c r="E137" s="211">
        <f t="shared" ref="E137:Y137" ca="1" si="58">IndGencost(E136,OFFSET(HeatRateStart,1,MATCH($A134,HeatRateNames,0)-1,250,1),$A135)</f>
        <v>0</v>
      </c>
      <c r="F137" s="211">
        <f t="shared" ca="1" si="58"/>
        <v>0</v>
      </c>
      <c r="G137" s="211">
        <f t="shared" ca="1" si="58"/>
        <v>0</v>
      </c>
      <c r="H137" s="211">
        <f t="shared" ca="1" si="58"/>
        <v>0</v>
      </c>
      <c r="I137" s="211">
        <f t="shared" ca="1" si="58"/>
        <v>0</v>
      </c>
      <c r="J137" s="211">
        <f t="shared" ca="1" si="58"/>
        <v>0</v>
      </c>
      <c r="K137" s="211">
        <f t="shared" ca="1" si="58"/>
        <v>0</v>
      </c>
      <c r="L137" s="211">
        <f t="shared" ca="1" si="58"/>
        <v>0</v>
      </c>
      <c r="M137" s="211">
        <f t="shared" ca="1" si="58"/>
        <v>0</v>
      </c>
      <c r="N137" s="211">
        <f t="shared" ca="1" si="58"/>
        <v>0</v>
      </c>
      <c r="O137" s="211">
        <f t="shared" ca="1" si="58"/>
        <v>0</v>
      </c>
      <c r="P137" s="211">
        <f t="shared" ca="1" si="58"/>
        <v>0</v>
      </c>
      <c r="Q137" s="211">
        <f t="shared" ca="1" si="58"/>
        <v>0</v>
      </c>
      <c r="R137" s="211">
        <f t="shared" ca="1" si="58"/>
        <v>0</v>
      </c>
      <c r="S137" s="211">
        <f t="shared" ca="1" si="58"/>
        <v>0</v>
      </c>
      <c r="T137" s="211">
        <f t="shared" ca="1" si="58"/>
        <v>0</v>
      </c>
      <c r="U137" s="211">
        <f t="shared" ca="1" si="58"/>
        <v>0</v>
      </c>
      <c r="V137" s="211">
        <f t="shared" ca="1" si="58"/>
        <v>0</v>
      </c>
      <c r="W137" s="211">
        <f t="shared" ca="1" si="58"/>
        <v>0</v>
      </c>
      <c r="X137" s="211">
        <f t="shared" ca="1" si="58"/>
        <v>0</v>
      </c>
      <c r="Y137" s="211">
        <f t="shared" ca="1" si="58"/>
        <v>0</v>
      </c>
      <c r="Z137" s="284">
        <f t="array" aca="1" ref="Z137" ca="1">SUM(B136:Y136*B137:Y137)</f>
        <v>0</v>
      </c>
    </row>
    <row r="138" spans="1:27" ht="13.8" thickBot="1" x14ac:dyDescent="0.3">
      <c r="A138" s="208" t="s">
        <v>173</v>
      </c>
      <c r="B138" s="209">
        <f t="shared" ref="B138:Y138" ca="1" si="59">B137-B135</f>
        <v>0</v>
      </c>
      <c r="C138" s="209">
        <f t="shared" ca="1" si="59"/>
        <v>0</v>
      </c>
      <c r="D138" s="209">
        <f t="shared" ca="1" si="59"/>
        <v>0</v>
      </c>
      <c r="E138" s="209">
        <f t="shared" ca="1" si="59"/>
        <v>0</v>
      </c>
      <c r="F138" s="209">
        <f t="shared" ca="1" si="59"/>
        <v>0</v>
      </c>
      <c r="G138" s="209">
        <f t="shared" ca="1" si="59"/>
        <v>0</v>
      </c>
      <c r="H138" s="209">
        <f t="shared" ca="1" si="59"/>
        <v>0</v>
      </c>
      <c r="I138" s="209">
        <f t="shared" ca="1" si="59"/>
        <v>0</v>
      </c>
      <c r="J138" s="209">
        <f t="shared" ca="1" si="59"/>
        <v>0</v>
      </c>
      <c r="K138" s="209">
        <f t="shared" ca="1" si="59"/>
        <v>0</v>
      </c>
      <c r="L138" s="209">
        <f t="shared" ca="1" si="59"/>
        <v>0</v>
      </c>
      <c r="M138" s="209">
        <f t="shared" ca="1" si="59"/>
        <v>0</v>
      </c>
      <c r="N138" s="209">
        <f t="shared" ca="1" si="59"/>
        <v>0</v>
      </c>
      <c r="O138" s="209">
        <f t="shared" ca="1" si="59"/>
        <v>0</v>
      </c>
      <c r="P138" s="209">
        <f t="shared" ca="1" si="59"/>
        <v>0</v>
      </c>
      <c r="Q138" s="209">
        <f t="shared" ca="1" si="59"/>
        <v>0</v>
      </c>
      <c r="R138" s="209">
        <f t="shared" ca="1" si="59"/>
        <v>0</v>
      </c>
      <c r="S138" s="209">
        <f t="shared" ca="1" si="59"/>
        <v>0</v>
      </c>
      <c r="T138" s="209">
        <f t="shared" ca="1" si="59"/>
        <v>0</v>
      </c>
      <c r="U138" s="209">
        <f t="shared" ca="1" si="59"/>
        <v>0</v>
      </c>
      <c r="V138" s="209">
        <f t="shared" ca="1" si="59"/>
        <v>0</v>
      </c>
      <c r="W138" s="209">
        <f t="shared" ca="1" si="59"/>
        <v>0</v>
      </c>
      <c r="X138" s="209">
        <f t="shared" ca="1" si="59"/>
        <v>0</v>
      </c>
      <c r="Y138" s="209">
        <f t="shared" ca="1" si="59"/>
        <v>0</v>
      </c>
      <c r="Z138" s="286">
        <f ca="1">Z135-Z137</f>
        <v>0</v>
      </c>
    </row>
    <row r="139" spans="1:27" x14ac:dyDescent="0.25">
      <c r="A139" s="204" t="str">
        <f>Economics!A41</f>
        <v>Newman 4</v>
      </c>
      <c r="B139" s="202">
        <f t="shared" ref="B139:Y139" si="60">B48</f>
        <v>131</v>
      </c>
      <c r="C139" s="202">
        <f t="shared" si="60"/>
        <v>153</v>
      </c>
      <c r="D139" s="202">
        <f t="shared" si="60"/>
        <v>134</v>
      </c>
      <c r="E139" s="202">
        <f t="shared" si="60"/>
        <v>112</v>
      </c>
      <c r="F139" s="202">
        <f t="shared" si="60"/>
        <v>113</v>
      </c>
      <c r="G139" s="202">
        <f t="shared" si="60"/>
        <v>164</v>
      </c>
      <c r="H139" s="202">
        <f t="shared" si="60"/>
        <v>158</v>
      </c>
      <c r="I139" s="202">
        <f t="shared" si="60"/>
        <v>140</v>
      </c>
      <c r="J139" s="202">
        <f t="shared" si="60"/>
        <v>184</v>
      </c>
      <c r="K139" s="202">
        <f t="shared" si="60"/>
        <v>195</v>
      </c>
      <c r="L139" s="202">
        <f t="shared" si="60"/>
        <v>193</v>
      </c>
      <c r="M139" s="202">
        <f t="shared" si="60"/>
        <v>163</v>
      </c>
      <c r="N139" s="202">
        <f t="shared" si="60"/>
        <v>161</v>
      </c>
      <c r="O139" s="202">
        <f t="shared" si="60"/>
        <v>146</v>
      </c>
      <c r="P139" s="202">
        <f t="shared" si="60"/>
        <v>141</v>
      </c>
      <c r="Q139" s="202">
        <f t="shared" si="60"/>
        <v>134</v>
      </c>
      <c r="R139" s="202">
        <f t="shared" si="60"/>
        <v>202</v>
      </c>
      <c r="S139" s="202">
        <f t="shared" si="60"/>
        <v>198</v>
      </c>
      <c r="T139" s="202">
        <f t="shared" si="60"/>
        <v>205</v>
      </c>
      <c r="U139" s="202">
        <f t="shared" si="60"/>
        <v>200</v>
      </c>
      <c r="V139" s="202">
        <f t="shared" si="60"/>
        <v>205</v>
      </c>
      <c r="W139" s="202">
        <f t="shared" si="60"/>
        <v>207</v>
      </c>
      <c r="X139" s="202">
        <f t="shared" si="60"/>
        <v>126</v>
      </c>
      <c r="Y139" s="202">
        <f t="shared" si="60"/>
        <v>142</v>
      </c>
      <c r="Z139" s="245">
        <f>SUM(B139:Y139)</f>
        <v>3907</v>
      </c>
      <c r="AA139" s="344" t="s">
        <v>182</v>
      </c>
    </row>
    <row r="140" spans="1:27" x14ac:dyDescent="0.25">
      <c r="A140" s="206">
        <f>Economics!$I41</f>
        <v>1.96</v>
      </c>
      <c r="B140" s="210">
        <f t="shared" ref="B140:Y140" ca="1" si="61">IndGencost(B139,OFFSET(HeatRateStart,1,MATCH($A139,HeatRateNames,0)-1,250,1),$A140)</f>
        <v>19.499991568790456</v>
      </c>
      <c r="C140" s="210">
        <f t="shared" ca="1" si="61"/>
        <v>18.809243398667665</v>
      </c>
      <c r="D140" s="210">
        <f t="shared" ca="1" si="61"/>
        <v>19.386353640177248</v>
      </c>
      <c r="E140" s="210">
        <f t="shared" ca="1" si="61"/>
        <v>20.414495645322035</v>
      </c>
      <c r="F140" s="210">
        <f t="shared" ca="1" si="61"/>
        <v>20.356416550404049</v>
      </c>
      <c r="G140" s="210">
        <f t="shared" ca="1" si="61"/>
        <v>18.5650506904975</v>
      </c>
      <c r="H140" s="210">
        <f t="shared" ca="1" si="61"/>
        <v>18.69131358186014</v>
      </c>
      <c r="I140" s="210">
        <f t="shared" ca="1" si="61"/>
        <v>19.179209933279992</v>
      </c>
      <c r="J140" s="210">
        <f t="shared" ca="1" si="61"/>
        <v>18.244101908471531</v>
      </c>
      <c r="K140" s="210">
        <f t="shared" ca="1" si="61"/>
        <v>18.120675690370323</v>
      </c>
      <c r="L140" s="210">
        <f t="shared" ca="1" si="61"/>
        <v>18.140735251234229</v>
      </c>
      <c r="M140" s="210">
        <f t="shared" ca="1" si="61"/>
        <v>18.585009874758171</v>
      </c>
      <c r="N140" s="210">
        <f t="shared" ca="1" si="61"/>
        <v>18.62620554782136</v>
      </c>
      <c r="O140" s="210">
        <f t="shared" ca="1" si="61"/>
        <v>18.996151264676072</v>
      </c>
      <c r="P140" s="210">
        <f t="shared" ca="1" si="61"/>
        <v>19.147110618570142</v>
      </c>
      <c r="Q140" s="210">
        <f t="shared" ca="1" si="61"/>
        <v>19.386353640177248</v>
      </c>
      <c r="R140" s="210">
        <f t="shared" ca="1" si="61"/>
        <v>18.058059954508845</v>
      </c>
      <c r="S140" s="210">
        <f t="shared" ca="1" si="61"/>
        <v>18.092430662310107</v>
      </c>
      <c r="T140" s="210">
        <f t="shared" ca="1" si="61"/>
        <v>18.034628579539888</v>
      </c>
      <c r="U140" s="210">
        <f t="shared" ca="1" si="61"/>
        <v>18.074787151784896</v>
      </c>
      <c r="V140" s="210">
        <f t="shared" ca="1" si="61"/>
        <v>18.034628579539888</v>
      </c>
      <c r="W140" s="210">
        <f t="shared" ca="1" si="61"/>
        <v>18.020076533067904</v>
      </c>
      <c r="X140" s="210">
        <f t="shared" ca="1" si="61"/>
        <v>19.705957787531947</v>
      </c>
      <c r="Y140" s="210">
        <f t="shared" ca="1" si="61"/>
        <v>19.115665028775627</v>
      </c>
      <c r="Z140" s="285">
        <f t="array" aca="1" ref="Z140" ca="1">SUM(B139:Y139*B140:Y140)</f>
        <v>72957.220029873468</v>
      </c>
      <c r="AA140" s="344" t="s">
        <v>175</v>
      </c>
    </row>
    <row r="141" spans="1:27" x14ac:dyDescent="0.25">
      <c r="A141" s="205" t="s">
        <v>184</v>
      </c>
      <c r="B141" s="207">
        <v>115</v>
      </c>
      <c r="C141" s="207">
        <v>115</v>
      </c>
      <c r="D141" s="207">
        <v>135</v>
      </c>
      <c r="E141" s="207">
        <v>135</v>
      </c>
      <c r="F141" s="207">
        <v>135</v>
      </c>
      <c r="G141" s="207">
        <v>135</v>
      </c>
      <c r="H141" s="207">
        <v>130</v>
      </c>
      <c r="I141" s="207">
        <v>115</v>
      </c>
      <c r="J141" s="207">
        <v>115</v>
      </c>
      <c r="K141" s="207">
        <v>115</v>
      </c>
      <c r="L141" s="207">
        <v>115</v>
      </c>
      <c r="M141" s="207">
        <v>115</v>
      </c>
      <c r="N141" s="207">
        <v>115</v>
      </c>
      <c r="O141" s="207">
        <v>115</v>
      </c>
      <c r="P141" s="207">
        <v>115</v>
      </c>
      <c r="Q141" s="207">
        <v>115</v>
      </c>
      <c r="R141" s="207">
        <v>115</v>
      </c>
      <c r="S141" s="207">
        <v>115</v>
      </c>
      <c r="T141" s="207">
        <v>185</v>
      </c>
      <c r="U141" s="207">
        <v>185</v>
      </c>
      <c r="V141" s="207">
        <v>170</v>
      </c>
      <c r="W141" s="207">
        <v>165</v>
      </c>
      <c r="X141" s="207">
        <v>145</v>
      </c>
      <c r="Y141" s="207">
        <v>145</v>
      </c>
      <c r="Z141" s="246">
        <f>SUM(B141:Y141)</f>
        <v>3160</v>
      </c>
      <c r="AA141" s="287"/>
    </row>
    <row r="142" spans="1:27" x14ac:dyDescent="0.25">
      <c r="A142" s="203"/>
      <c r="B142" s="211">
        <f t="shared" ref="B142:Y142" ca="1" si="62">IndGencost(B141,OFFSET(HeatRateStart,1,MATCH($A139,HeatRateNames,0)-1,250,1),$A140)</f>
        <v>20.244035451830499</v>
      </c>
      <c r="C142" s="211">
        <f t="shared" ca="1" si="62"/>
        <v>20.244035451830499</v>
      </c>
      <c r="D142" s="211">
        <f t="shared" ca="1" si="62"/>
        <v>19.350020833271106</v>
      </c>
      <c r="E142" s="211">
        <f t="shared" ca="1" si="62"/>
        <v>19.350020833271106</v>
      </c>
      <c r="F142" s="211">
        <f t="shared" ca="1" si="62"/>
        <v>19.350020833271106</v>
      </c>
      <c r="G142" s="211">
        <f t="shared" ca="1" si="62"/>
        <v>19.350020833271106</v>
      </c>
      <c r="H142" s="211">
        <f t="shared" ca="1" si="62"/>
        <v>19.539476861830234</v>
      </c>
      <c r="I142" s="211">
        <f t="shared" ca="1" si="62"/>
        <v>20.244035451830499</v>
      </c>
      <c r="J142" s="211">
        <f t="shared" ca="1" si="62"/>
        <v>20.244035451830499</v>
      </c>
      <c r="K142" s="211">
        <f t="shared" ca="1" si="62"/>
        <v>20.244035451830499</v>
      </c>
      <c r="L142" s="211">
        <f t="shared" ca="1" si="62"/>
        <v>20.244035451830499</v>
      </c>
      <c r="M142" s="211">
        <f t="shared" ca="1" si="62"/>
        <v>20.244035451830499</v>
      </c>
      <c r="N142" s="211">
        <f t="shared" ca="1" si="62"/>
        <v>20.244035451830499</v>
      </c>
      <c r="O142" s="211">
        <f t="shared" ca="1" si="62"/>
        <v>20.244035451830499</v>
      </c>
      <c r="P142" s="211">
        <f t="shared" ca="1" si="62"/>
        <v>20.244035451830499</v>
      </c>
      <c r="Q142" s="211">
        <f t="shared" ca="1" si="62"/>
        <v>20.244035451830499</v>
      </c>
      <c r="R142" s="211">
        <f t="shared" ca="1" si="62"/>
        <v>20.244035451830499</v>
      </c>
      <c r="S142" s="211">
        <f t="shared" ca="1" si="62"/>
        <v>20.244035451830499</v>
      </c>
      <c r="T142" s="211">
        <f t="shared" ca="1" si="62"/>
        <v>18.231501034024166</v>
      </c>
      <c r="U142" s="211">
        <f t="shared" ca="1" si="62"/>
        <v>18.231501034024166</v>
      </c>
      <c r="V142" s="211">
        <f t="shared" ca="1" si="62"/>
        <v>18.453763362690225</v>
      </c>
      <c r="W142" s="211">
        <f t="shared" ca="1" si="62"/>
        <v>18.545506952764576</v>
      </c>
      <c r="X142" s="211">
        <f t="shared" ca="1" si="62"/>
        <v>19.025115355453305</v>
      </c>
      <c r="Y142" s="211">
        <f t="shared" ca="1" si="62"/>
        <v>19.025115355453305</v>
      </c>
      <c r="Z142" s="284">
        <f t="array" aca="1" ref="Z142" ca="1">SUM(B141:Y141*B142:Y142)</f>
        <v>61714.063497024828</v>
      </c>
    </row>
    <row r="143" spans="1:27" ht="13.8" thickBot="1" x14ac:dyDescent="0.3">
      <c r="A143" s="208" t="s">
        <v>173</v>
      </c>
      <c r="B143" s="209">
        <f t="shared" ref="B143:Y143" ca="1" si="63">B142-B140</f>
        <v>0.74404388304004243</v>
      </c>
      <c r="C143" s="209">
        <f t="shared" ca="1" si="63"/>
        <v>1.434792053162834</v>
      </c>
      <c r="D143" s="209">
        <f t="shared" ca="1" si="63"/>
        <v>-3.6332806906141712E-2</v>
      </c>
      <c r="E143" s="209">
        <f t="shared" ca="1" si="63"/>
        <v>-1.0644748120509284</v>
      </c>
      <c r="F143" s="209">
        <f t="shared" ca="1" si="63"/>
        <v>-1.0063957171329427</v>
      </c>
      <c r="G143" s="209">
        <f t="shared" ca="1" si="63"/>
        <v>0.78497014277360577</v>
      </c>
      <c r="H143" s="209">
        <f t="shared" ca="1" si="63"/>
        <v>0.84816327997009466</v>
      </c>
      <c r="I143" s="209">
        <f t="shared" ca="1" si="63"/>
        <v>1.0648255185505064</v>
      </c>
      <c r="J143" s="209">
        <f t="shared" ca="1" si="63"/>
        <v>1.9999335433589671</v>
      </c>
      <c r="K143" s="209">
        <f t="shared" ca="1" si="63"/>
        <v>2.1233597614601756</v>
      </c>
      <c r="L143" s="209">
        <f t="shared" ca="1" si="63"/>
        <v>2.1033002005962693</v>
      </c>
      <c r="M143" s="209">
        <f t="shared" ca="1" si="63"/>
        <v>1.6590255770723275</v>
      </c>
      <c r="N143" s="209">
        <f t="shared" ca="1" si="63"/>
        <v>1.6178299040091382</v>
      </c>
      <c r="O143" s="209">
        <f t="shared" ca="1" si="63"/>
        <v>1.2478841871544262</v>
      </c>
      <c r="P143" s="209">
        <f t="shared" ca="1" si="63"/>
        <v>1.0969248332603563</v>
      </c>
      <c r="Q143" s="209">
        <f t="shared" ca="1" si="63"/>
        <v>0.85768181165325075</v>
      </c>
      <c r="R143" s="209">
        <f t="shared" ca="1" si="63"/>
        <v>2.1859754973216532</v>
      </c>
      <c r="S143" s="209">
        <f t="shared" ca="1" si="63"/>
        <v>2.1516047895203911</v>
      </c>
      <c r="T143" s="209">
        <f t="shared" ca="1" si="63"/>
        <v>0.19687245448427859</v>
      </c>
      <c r="U143" s="209">
        <f t="shared" ca="1" si="63"/>
        <v>0.15671388223926996</v>
      </c>
      <c r="V143" s="209">
        <f t="shared" ca="1" si="63"/>
        <v>0.41913478315033714</v>
      </c>
      <c r="W143" s="209">
        <f t="shared" ca="1" si="63"/>
        <v>0.52543041969667215</v>
      </c>
      <c r="X143" s="209">
        <f t="shared" ca="1" si="63"/>
        <v>-0.68084243207864148</v>
      </c>
      <c r="Y143" s="209">
        <f t="shared" ca="1" si="63"/>
        <v>-9.0549673322321667E-2</v>
      </c>
      <c r="Z143" s="286">
        <f ca="1">Z140-Z142</f>
        <v>11243.156532848639</v>
      </c>
    </row>
    <row r="144" spans="1:27" x14ac:dyDescent="0.25">
      <c r="A144" s="204" t="str">
        <f>Economics!A42</f>
        <v>Copper</v>
      </c>
      <c r="B144" s="202">
        <f t="shared" ref="B144:T144" si="64">B49</f>
        <v>0</v>
      </c>
      <c r="C144" s="202">
        <f t="shared" si="64"/>
        <v>0</v>
      </c>
      <c r="D144" s="202">
        <f t="shared" si="64"/>
        <v>0</v>
      </c>
      <c r="E144" s="202">
        <f t="shared" si="64"/>
        <v>0</v>
      </c>
      <c r="F144" s="202">
        <f t="shared" si="64"/>
        <v>0</v>
      </c>
      <c r="G144" s="202">
        <f t="shared" si="64"/>
        <v>0</v>
      </c>
      <c r="H144" s="202">
        <f t="shared" si="64"/>
        <v>0</v>
      </c>
      <c r="I144" s="202">
        <f t="shared" si="64"/>
        <v>0</v>
      </c>
      <c r="J144" s="202">
        <f t="shared" si="64"/>
        <v>0</v>
      </c>
      <c r="K144" s="202">
        <f t="shared" si="64"/>
        <v>0</v>
      </c>
      <c r="L144" s="202">
        <f t="shared" si="64"/>
        <v>0</v>
      </c>
      <c r="M144" s="202">
        <f t="shared" si="64"/>
        <v>0</v>
      </c>
      <c r="N144" s="202">
        <f t="shared" si="64"/>
        <v>0</v>
      </c>
      <c r="O144" s="202">
        <f t="shared" si="64"/>
        <v>0</v>
      </c>
      <c r="P144" s="202">
        <f t="shared" si="64"/>
        <v>0</v>
      </c>
      <c r="Q144" s="202">
        <f t="shared" si="64"/>
        <v>0</v>
      </c>
      <c r="R144" s="202">
        <f t="shared" si="64"/>
        <v>0</v>
      </c>
      <c r="S144" s="202">
        <f t="shared" si="64"/>
        <v>0</v>
      </c>
      <c r="T144" s="202">
        <f t="shared" si="64"/>
        <v>0</v>
      </c>
      <c r="U144" s="202">
        <v>0</v>
      </c>
      <c r="V144" s="202">
        <v>0</v>
      </c>
      <c r="W144" s="202">
        <v>0</v>
      </c>
      <c r="X144" s="202">
        <f>X49</f>
        <v>0</v>
      </c>
      <c r="Y144" s="202">
        <f>Y49</f>
        <v>0</v>
      </c>
      <c r="Z144" s="245">
        <f>SUM(B144:Y144)</f>
        <v>0</v>
      </c>
      <c r="AA144" s="344" t="s">
        <v>178</v>
      </c>
    </row>
    <row r="145" spans="1:27" x14ac:dyDescent="0.25">
      <c r="A145" s="206">
        <f>Economics!$I41</f>
        <v>1.96</v>
      </c>
      <c r="B145" s="210">
        <f t="shared" ref="B145:Y145" ca="1" si="65">IndGencost(B144,OFFSET(HeatRateStart,1,MATCH($A144,HeatRateNames,0)-1,250,1),$A145)</f>
        <v>0</v>
      </c>
      <c r="C145" s="210">
        <f t="shared" ca="1" si="65"/>
        <v>0</v>
      </c>
      <c r="D145" s="210">
        <f t="shared" ca="1" si="65"/>
        <v>0</v>
      </c>
      <c r="E145" s="210">
        <f t="shared" ca="1" si="65"/>
        <v>0</v>
      </c>
      <c r="F145" s="210">
        <f t="shared" ca="1" si="65"/>
        <v>0</v>
      </c>
      <c r="G145" s="210">
        <f t="shared" ca="1" si="65"/>
        <v>0</v>
      </c>
      <c r="H145" s="210">
        <f t="shared" ca="1" si="65"/>
        <v>0</v>
      </c>
      <c r="I145" s="210">
        <f t="shared" ca="1" si="65"/>
        <v>0</v>
      </c>
      <c r="J145" s="210">
        <f t="shared" ca="1" si="65"/>
        <v>0</v>
      </c>
      <c r="K145" s="210">
        <f t="shared" ca="1" si="65"/>
        <v>0</v>
      </c>
      <c r="L145" s="210">
        <f t="shared" ca="1" si="65"/>
        <v>0</v>
      </c>
      <c r="M145" s="210">
        <f t="shared" ca="1" si="65"/>
        <v>0</v>
      </c>
      <c r="N145" s="210">
        <f t="shared" ca="1" si="65"/>
        <v>0</v>
      </c>
      <c r="O145" s="210">
        <f t="shared" ca="1" si="65"/>
        <v>0</v>
      </c>
      <c r="P145" s="210">
        <f t="shared" ca="1" si="65"/>
        <v>0</v>
      </c>
      <c r="Q145" s="210">
        <f t="shared" ca="1" si="65"/>
        <v>0</v>
      </c>
      <c r="R145" s="210">
        <f t="shared" ca="1" si="65"/>
        <v>0</v>
      </c>
      <c r="S145" s="210">
        <f t="shared" ca="1" si="65"/>
        <v>0</v>
      </c>
      <c r="T145" s="210">
        <f t="shared" ca="1" si="65"/>
        <v>0</v>
      </c>
      <c r="U145" s="210">
        <f t="shared" ca="1" si="65"/>
        <v>0</v>
      </c>
      <c r="V145" s="210">
        <f t="shared" ca="1" si="65"/>
        <v>0</v>
      </c>
      <c r="W145" s="210">
        <f t="shared" ca="1" si="65"/>
        <v>0</v>
      </c>
      <c r="X145" s="210">
        <f t="shared" ca="1" si="65"/>
        <v>0</v>
      </c>
      <c r="Y145" s="210">
        <f t="shared" ca="1" si="65"/>
        <v>0</v>
      </c>
      <c r="Z145" s="285">
        <f t="array" aca="1" ref="Z145" ca="1">SUM(B144:Y144*B145:Y145)</f>
        <v>0</v>
      </c>
      <c r="AA145" s="344" t="s">
        <v>175</v>
      </c>
    </row>
    <row r="146" spans="1:27" x14ac:dyDescent="0.25">
      <c r="A146" s="205" t="s">
        <v>185</v>
      </c>
      <c r="B146" s="207">
        <v>0</v>
      </c>
      <c r="C146" s="207">
        <f t="shared" ref="C146:T146" si="66">C144</f>
        <v>0</v>
      </c>
      <c r="D146" s="207">
        <f t="shared" si="66"/>
        <v>0</v>
      </c>
      <c r="E146" s="207">
        <f t="shared" si="66"/>
        <v>0</v>
      </c>
      <c r="F146" s="207">
        <f t="shared" si="66"/>
        <v>0</v>
      </c>
      <c r="G146" s="207">
        <f t="shared" si="66"/>
        <v>0</v>
      </c>
      <c r="H146" s="207">
        <f t="shared" si="66"/>
        <v>0</v>
      </c>
      <c r="I146" s="207">
        <f t="shared" si="66"/>
        <v>0</v>
      </c>
      <c r="J146" s="207">
        <f t="shared" si="66"/>
        <v>0</v>
      </c>
      <c r="K146" s="207">
        <f t="shared" si="66"/>
        <v>0</v>
      </c>
      <c r="L146" s="207">
        <f t="shared" si="66"/>
        <v>0</v>
      </c>
      <c r="M146" s="207">
        <f t="shared" si="66"/>
        <v>0</v>
      </c>
      <c r="N146" s="207">
        <f t="shared" si="66"/>
        <v>0</v>
      </c>
      <c r="O146" s="207">
        <f t="shared" si="66"/>
        <v>0</v>
      </c>
      <c r="P146" s="207">
        <f t="shared" si="66"/>
        <v>0</v>
      </c>
      <c r="Q146" s="207">
        <f t="shared" si="66"/>
        <v>0</v>
      </c>
      <c r="R146" s="207">
        <f t="shared" si="66"/>
        <v>0</v>
      </c>
      <c r="S146" s="207">
        <f t="shared" si="66"/>
        <v>0</v>
      </c>
      <c r="T146" s="207">
        <f t="shared" si="66"/>
        <v>0</v>
      </c>
      <c r="U146" s="207"/>
      <c r="V146" s="207"/>
      <c r="W146" s="207"/>
      <c r="X146" s="207">
        <f>X144</f>
        <v>0</v>
      </c>
      <c r="Y146" s="207">
        <f>Y144</f>
        <v>0</v>
      </c>
      <c r="Z146" s="246">
        <f>SUM(B146:Y146)</f>
        <v>0</v>
      </c>
    </row>
    <row r="147" spans="1:27" x14ac:dyDescent="0.25">
      <c r="A147" s="203"/>
      <c r="B147" s="211">
        <f t="shared" ref="B147:Y147" ca="1" si="67">IndGencost(B146,OFFSET(HeatRateStart,1,MATCH($A144,HeatRateNames,0)-1,250,1),$A145)</f>
        <v>0</v>
      </c>
      <c r="C147" s="211">
        <f t="shared" ca="1" si="67"/>
        <v>0</v>
      </c>
      <c r="D147" s="211">
        <f t="shared" ca="1" si="67"/>
        <v>0</v>
      </c>
      <c r="E147" s="211">
        <f t="shared" ca="1" si="67"/>
        <v>0</v>
      </c>
      <c r="F147" s="211">
        <f t="shared" ca="1" si="67"/>
        <v>0</v>
      </c>
      <c r="G147" s="211">
        <f t="shared" ca="1" si="67"/>
        <v>0</v>
      </c>
      <c r="H147" s="211">
        <f t="shared" ca="1" si="67"/>
        <v>0</v>
      </c>
      <c r="I147" s="211">
        <f t="shared" ca="1" si="67"/>
        <v>0</v>
      </c>
      <c r="J147" s="211">
        <f t="shared" ca="1" si="67"/>
        <v>0</v>
      </c>
      <c r="K147" s="211">
        <f t="shared" ca="1" si="67"/>
        <v>0</v>
      </c>
      <c r="L147" s="211">
        <f t="shared" ca="1" si="67"/>
        <v>0</v>
      </c>
      <c r="M147" s="211">
        <f t="shared" ca="1" si="67"/>
        <v>0</v>
      </c>
      <c r="N147" s="211">
        <f t="shared" ca="1" si="67"/>
        <v>0</v>
      </c>
      <c r="O147" s="211">
        <f t="shared" ca="1" si="67"/>
        <v>0</v>
      </c>
      <c r="P147" s="211">
        <f t="shared" ca="1" si="67"/>
        <v>0</v>
      </c>
      <c r="Q147" s="211">
        <f t="shared" ca="1" si="67"/>
        <v>0</v>
      </c>
      <c r="R147" s="211">
        <f t="shared" ca="1" si="67"/>
        <v>0</v>
      </c>
      <c r="S147" s="211">
        <f t="shared" ca="1" si="67"/>
        <v>0</v>
      </c>
      <c r="T147" s="211">
        <f t="shared" ca="1" si="67"/>
        <v>0</v>
      </c>
      <c r="U147" s="211">
        <f t="shared" ca="1" si="67"/>
        <v>0</v>
      </c>
      <c r="V147" s="211">
        <f t="shared" ca="1" si="67"/>
        <v>0</v>
      </c>
      <c r="W147" s="211">
        <f t="shared" ca="1" si="67"/>
        <v>0</v>
      </c>
      <c r="X147" s="211">
        <f t="shared" ca="1" si="67"/>
        <v>0</v>
      </c>
      <c r="Y147" s="211">
        <f t="shared" ca="1" si="67"/>
        <v>0</v>
      </c>
      <c r="Z147" s="284">
        <f t="array" aca="1" ref="Z147" ca="1">SUM(B146:Y146*B147:Y147)</f>
        <v>0</v>
      </c>
    </row>
    <row r="148" spans="1:27" ht="13.8" thickBot="1" x14ac:dyDescent="0.3">
      <c r="A148" s="208" t="s">
        <v>173</v>
      </c>
      <c r="B148" s="209">
        <f t="shared" ref="B148:Y148" ca="1" si="68">B147-B145</f>
        <v>0</v>
      </c>
      <c r="C148" s="209">
        <f t="shared" ca="1" si="68"/>
        <v>0</v>
      </c>
      <c r="D148" s="209">
        <f t="shared" ca="1" si="68"/>
        <v>0</v>
      </c>
      <c r="E148" s="209">
        <f t="shared" ca="1" si="68"/>
        <v>0</v>
      </c>
      <c r="F148" s="209">
        <f t="shared" ca="1" si="68"/>
        <v>0</v>
      </c>
      <c r="G148" s="209">
        <f t="shared" ca="1" si="68"/>
        <v>0</v>
      </c>
      <c r="H148" s="209">
        <f t="shared" ca="1" si="68"/>
        <v>0</v>
      </c>
      <c r="I148" s="209">
        <f t="shared" ca="1" si="68"/>
        <v>0</v>
      </c>
      <c r="J148" s="209">
        <f t="shared" ca="1" si="68"/>
        <v>0</v>
      </c>
      <c r="K148" s="209">
        <f t="shared" ca="1" si="68"/>
        <v>0</v>
      </c>
      <c r="L148" s="209">
        <f t="shared" ca="1" si="68"/>
        <v>0</v>
      </c>
      <c r="M148" s="209">
        <f t="shared" ca="1" si="68"/>
        <v>0</v>
      </c>
      <c r="N148" s="209">
        <f t="shared" ca="1" si="68"/>
        <v>0</v>
      </c>
      <c r="O148" s="209">
        <f t="shared" ca="1" si="68"/>
        <v>0</v>
      </c>
      <c r="P148" s="209">
        <f t="shared" ca="1" si="68"/>
        <v>0</v>
      </c>
      <c r="Q148" s="209">
        <f t="shared" ca="1" si="68"/>
        <v>0</v>
      </c>
      <c r="R148" s="209">
        <f t="shared" ca="1" si="68"/>
        <v>0</v>
      </c>
      <c r="S148" s="209">
        <f t="shared" ca="1" si="68"/>
        <v>0</v>
      </c>
      <c r="T148" s="209">
        <f t="shared" ca="1" si="68"/>
        <v>0</v>
      </c>
      <c r="U148" s="209">
        <f t="shared" ca="1" si="68"/>
        <v>0</v>
      </c>
      <c r="V148" s="209">
        <f t="shared" ca="1" si="68"/>
        <v>0</v>
      </c>
      <c r="W148" s="209">
        <f t="shared" ca="1" si="68"/>
        <v>0</v>
      </c>
      <c r="X148" s="209">
        <f t="shared" ca="1" si="68"/>
        <v>0</v>
      </c>
      <c r="Y148" s="209">
        <f t="shared" ca="1" si="68"/>
        <v>0</v>
      </c>
      <c r="Z148" s="286">
        <f ca="1">Z145-Z147</f>
        <v>0</v>
      </c>
    </row>
    <row r="149" spans="1:27" x14ac:dyDescent="0.25">
      <c r="A149" s="204" t="str">
        <f>Economics!A43</f>
        <v>Rio Grande 6</v>
      </c>
      <c r="B149" s="202">
        <f t="shared" ref="B149:Y149" si="69">B50</f>
        <v>0</v>
      </c>
      <c r="C149" s="202">
        <f t="shared" si="69"/>
        <v>0</v>
      </c>
      <c r="D149" s="202">
        <f t="shared" si="69"/>
        <v>0</v>
      </c>
      <c r="E149" s="202">
        <f t="shared" si="69"/>
        <v>0</v>
      </c>
      <c r="F149" s="202">
        <f t="shared" si="69"/>
        <v>0</v>
      </c>
      <c r="G149" s="202">
        <f t="shared" si="69"/>
        <v>0</v>
      </c>
      <c r="H149" s="202">
        <f t="shared" si="69"/>
        <v>0</v>
      </c>
      <c r="I149" s="202">
        <f t="shared" si="69"/>
        <v>0</v>
      </c>
      <c r="J149" s="202">
        <f t="shared" si="69"/>
        <v>0</v>
      </c>
      <c r="K149" s="202">
        <f t="shared" si="69"/>
        <v>0</v>
      </c>
      <c r="L149" s="202">
        <f t="shared" si="69"/>
        <v>0</v>
      </c>
      <c r="M149" s="202">
        <f t="shared" si="69"/>
        <v>0</v>
      </c>
      <c r="N149" s="202">
        <f t="shared" si="69"/>
        <v>0</v>
      </c>
      <c r="O149" s="202">
        <f t="shared" si="69"/>
        <v>0</v>
      </c>
      <c r="P149" s="202">
        <f t="shared" si="69"/>
        <v>0</v>
      </c>
      <c r="Q149" s="202">
        <f t="shared" si="69"/>
        <v>0</v>
      </c>
      <c r="R149" s="202">
        <f t="shared" si="69"/>
        <v>0</v>
      </c>
      <c r="S149" s="202">
        <f t="shared" si="69"/>
        <v>0</v>
      </c>
      <c r="T149" s="202">
        <f t="shared" si="69"/>
        <v>0</v>
      </c>
      <c r="U149" s="202">
        <f t="shared" si="69"/>
        <v>0</v>
      </c>
      <c r="V149" s="202">
        <f t="shared" si="69"/>
        <v>0</v>
      </c>
      <c r="W149" s="202">
        <f t="shared" si="69"/>
        <v>0</v>
      </c>
      <c r="X149" s="202">
        <f t="shared" si="69"/>
        <v>0</v>
      </c>
      <c r="Y149" s="202">
        <f t="shared" si="69"/>
        <v>0</v>
      </c>
      <c r="Z149" s="245">
        <f>SUM(B149:Y149)</f>
        <v>0</v>
      </c>
      <c r="AA149" s="344" t="s">
        <v>186</v>
      </c>
    </row>
    <row r="150" spans="1:27" x14ac:dyDescent="0.25">
      <c r="A150" s="206">
        <f>Economics!$I43</f>
        <v>2.09</v>
      </c>
      <c r="B150" s="210">
        <f t="shared" ref="B150:Y150" ca="1" si="70">IndGencost(B149,OFFSET(HeatRateStart,1,MATCH($A149,HeatRateNames,0)-1,250,1),$A150)</f>
        <v>0</v>
      </c>
      <c r="C150" s="210">
        <f t="shared" ca="1" si="70"/>
        <v>0</v>
      </c>
      <c r="D150" s="210">
        <f t="shared" ca="1" si="70"/>
        <v>0</v>
      </c>
      <c r="E150" s="210">
        <f t="shared" ca="1" si="70"/>
        <v>0</v>
      </c>
      <c r="F150" s="210">
        <f t="shared" ca="1" si="70"/>
        <v>0</v>
      </c>
      <c r="G150" s="210">
        <f t="shared" ca="1" si="70"/>
        <v>0</v>
      </c>
      <c r="H150" s="210">
        <f t="shared" ca="1" si="70"/>
        <v>0</v>
      </c>
      <c r="I150" s="210">
        <f t="shared" ca="1" si="70"/>
        <v>0</v>
      </c>
      <c r="J150" s="210">
        <f t="shared" ca="1" si="70"/>
        <v>0</v>
      </c>
      <c r="K150" s="210">
        <f t="shared" ca="1" si="70"/>
        <v>0</v>
      </c>
      <c r="L150" s="210">
        <f t="shared" ca="1" si="70"/>
        <v>0</v>
      </c>
      <c r="M150" s="210">
        <f t="shared" ca="1" si="70"/>
        <v>0</v>
      </c>
      <c r="N150" s="210">
        <f t="shared" ca="1" si="70"/>
        <v>0</v>
      </c>
      <c r="O150" s="210">
        <f t="shared" ca="1" si="70"/>
        <v>0</v>
      </c>
      <c r="P150" s="210">
        <f t="shared" ca="1" si="70"/>
        <v>0</v>
      </c>
      <c r="Q150" s="210">
        <f t="shared" ca="1" si="70"/>
        <v>0</v>
      </c>
      <c r="R150" s="210">
        <f t="shared" ca="1" si="70"/>
        <v>0</v>
      </c>
      <c r="S150" s="210">
        <f t="shared" ca="1" si="70"/>
        <v>0</v>
      </c>
      <c r="T150" s="210">
        <f t="shared" ca="1" si="70"/>
        <v>0</v>
      </c>
      <c r="U150" s="210">
        <f t="shared" ca="1" si="70"/>
        <v>0</v>
      </c>
      <c r="V150" s="210">
        <f t="shared" ca="1" si="70"/>
        <v>0</v>
      </c>
      <c r="W150" s="210">
        <f t="shared" ca="1" si="70"/>
        <v>0</v>
      </c>
      <c r="X150" s="210">
        <f t="shared" ca="1" si="70"/>
        <v>0</v>
      </c>
      <c r="Y150" s="210">
        <f t="shared" ca="1" si="70"/>
        <v>0</v>
      </c>
      <c r="Z150" s="285">
        <f t="array" aca="1" ref="Z150" ca="1">SUM(B149:Y149*B150:Y150)</f>
        <v>0</v>
      </c>
      <c r="AA150" s="344" t="s">
        <v>175</v>
      </c>
    </row>
    <row r="151" spans="1:27" x14ac:dyDescent="0.25">
      <c r="A151" s="205" t="s">
        <v>187</v>
      </c>
      <c r="B151" s="207"/>
      <c r="C151" s="207"/>
      <c r="D151" s="207"/>
      <c r="E151" s="207"/>
      <c r="F151" s="207"/>
      <c r="G151" s="207"/>
      <c r="H151" s="207"/>
      <c r="I151" s="207"/>
      <c r="J151" s="207"/>
      <c r="K151" s="207"/>
      <c r="L151" s="207"/>
      <c r="M151" s="207"/>
      <c r="N151" s="207"/>
      <c r="O151" s="207"/>
      <c r="P151" s="207"/>
      <c r="Q151" s="207"/>
      <c r="R151" s="207"/>
      <c r="S151" s="207"/>
      <c r="T151" s="207"/>
      <c r="U151" s="207"/>
      <c r="V151" s="207"/>
      <c r="W151" s="207"/>
      <c r="X151" s="207"/>
      <c r="Y151" s="207"/>
      <c r="Z151" s="246">
        <f>SUM(B151:Y151)</f>
        <v>0</v>
      </c>
      <c r="AA151" s="287"/>
    </row>
    <row r="152" spans="1:27" x14ac:dyDescent="0.25">
      <c r="A152" s="203"/>
      <c r="B152" s="211">
        <f t="shared" ref="B152:Y152" ca="1" si="71">IndGencost(B151,OFFSET(HeatRateStart,1,MATCH($A149,HeatRateNames,0)-1,250,1),$A150)</f>
        <v>0</v>
      </c>
      <c r="C152" s="211">
        <f t="shared" ca="1" si="71"/>
        <v>0</v>
      </c>
      <c r="D152" s="211">
        <f t="shared" ca="1" si="71"/>
        <v>0</v>
      </c>
      <c r="E152" s="211">
        <f t="shared" ca="1" si="71"/>
        <v>0</v>
      </c>
      <c r="F152" s="211">
        <f t="shared" ca="1" si="71"/>
        <v>0</v>
      </c>
      <c r="G152" s="211">
        <f t="shared" ca="1" si="71"/>
        <v>0</v>
      </c>
      <c r="H152" s="211">
        <f t="shared" ca="1" si="71"/>
        <v>0</v>
      </c>
      <c r="I152" s="211">
        <f t="shared" ca="1" si="71"/>
        <v>0</v>
      </c>
      <c r="J152" s="211">
        <f t="shared" ca="1" si="71"/>
        <v>0</v>
      </c>
      <c r="K152" s="211">
        <f t="shared" ca="1" si="71"/>
        <v>0</v>
      </c>
      <c r="L152" s="211">
        <f t="shared" ca="1" si="71"/>
        <v>0</v>
      </c>
      <c r="M152" s="211">
        <f t="shared" ca="1" si="71"/>
        <v>0</v>
      </c>
      <c r="N152" s="211">
        <f t="shared" ca="1" si="71"/>
        <v>0</v>
      </c>
      <c r="O152" s="211">
        <f t="shared" ca="1" si="71"/>
        <v>0</v>
      </c>
      <c r="P152" s="211">
        <f t="shared" ca="1" si="71"/>
        <v>0</v>
      </c>
      <c r="Q152" s="211">
        <f t="shared" ca="1" si="71"/>
        <v>0</v>
      </c>
      <c r="R152" s="211">
        <f t="shared" ca="1" si="71"/>
        <v>0</v>
      </c>
      <c r="S152" s="211">
        <f t="shared" ca="1" si="71"/>
        <v>0</v>
      </c>
      <c r="T152" s="211">
        <f t="shared" ca="1" si="71"/>
        <v>0</v>
      </c>
      <c r="U152" s="211">
        <f t="shared" ca="1" si="71"/>
        <v>0</v>
      </c>
      <c r="V152" s="211">
        <f t="shared" ca="1" si="71"/>
        <v>0</v>
      </c>
      <c r="W152" s="211">
        <f t="shared" ca="1" si="71"/>
        <v>0</v>
      </c>
      <c r="X152" s="211">
        <f t="shared" ca="1" si="71"/>
        <v>0</v>
      </c>
      <c r="Y152" s="211">
        <f t="shared" ca="1" si="71"/>
        <v>0</v>
      </c>
      <c r="Z152" s="284">
        <f t="array" aca="1" ref="Z152" ca="1">SUM(B151:Y151*B152:Y152)</f>
        <v>0</v>
      </c>
      <c r="AA152" s="287"/>
    </row>
    <row r="153" spans="1:27" ht="13.8" thickBot="1" x14ac:dyDescent="0.3">
      <c r="A153" s="208" t="s">
        <v>173</v>
      </c>
      <c r="B153" s="209">
        <f t="shared" ref="B153:Y153" ca="1" si="72">B152-B150</f>
        <v>0</v>
      </c>
      <c r="C153" s="209">
        <f t="shared" ca="1" si="72"/>
        <v>0</v>
      </c>
      <c r="D153" s="209">
        <f t="shared" ca="1" si="72"/>
        <v>0</v>
      </c>
      <c r="E153" s="209">
        <f t="shared" ca="1" si="72"/>
        <v>0</v>
      </c>
      <c r="F153" s="209">
        <f t="shared" ca="1" si="72"/>
        <v>0</v>
      </c>
      <c r="G153" s="209">
        <f t="shared" ca="1" si="72"/>
        <v>0</v>
      </c>
      <c r="H153" s="209">
        <f t="shared" ca="1" si="72"/>
        <v>0</v>
      </c>
      <c r="I153" s="209">
        <f t="shared" ca="1" si="72"/>
        <v>0</v>
      </c>
      <c r="J153" s="209">
        <f t="shared" ca="1" si="72"/>
        <v>0</v>
      </c>
      <c r="K153" s="209">
        <f t="shared" ca="1" si="72"/>
        <v>0</v>
      </c>
      <c r="L153" s="209">
        <f t="shared" ca="1" si="72"/>
        <v>0</v>
      </c>
      <c r="M153" s="209">
        <f t="shared" ca="1" si="72"/>
        <v>0</v>
      </c>
      <c r="N153" s="209">
        <f t="shared" ca="1" si="72"/>
        <v>0</v>
      </c>
      <c r="O153" s="209">
        <f t="shared" ca="1" si="72"/>
        <v>0</v>
      </c>
      <c r="P153" s="209">
        <f t="shared" ca="1" si="72"/>
        <v>0</v>
      </c>
      <c r="Q153" s="209">
        <f t="shared" ca="1" si="72"/>
        <v>0</v>
      </c>
      <c r="R153" s="209">
        <f t="shared" ca="1" si="72"/>
        <v>0</v>
      </c>
      <c r="S153" s="209">
        <f t="shared" ca="1" si="72"/>
        <v>0</v>
      </c>
      <c r="T153" s="209">
        <f t="shared" ca="1" si="72"/>
        <v>0</v>
      </c>
      <c r="U153" s="209">
        <f t="shared" ca="1" si="72"/>
        <v>0</v>
      </c>
      <c r="V153" s="209">
        <f t="shared" ca="1" si="72"/>
        <v>0</v>
      </c>
      <c r="W153" s="209">
        <f t="shared" ca="1" si="72"/>
        <v>0</v>
      </c>
      <c r="X153" s="209">
        <f t="shared" ca="1" si="72"/>
        <v>0</v>
      </c>
      <c r="Y153" s="209">
        <f t="shared" ca="1" si="72"/>
        <v>0</v>
      </c>
      <c r="Z153" s="286">
        <f ca="1">Z150-Z152</f>
        <v>0</v>
      </c>
    </row>
    <row r="154" spans="1:27" x14ac:dyDescent="0.25">
      <c r="A154" s="204" t="str">
        <f>Economics!A44</f>
        <v>Rio Grande 7</v>
      </c>
      <c r="B154" s="202">
        <f t="shared" ref="B154:Y154" si="73">B51</f>
        <v>32</v>
      </c>
      <c r="C154" s="202">
        <f t="shared" si="73"/>
        <v>32</v>
      </c>
      <c r="D154" s="202">
        <f t="shared" si="73"/>
        <v>32</v>
      </c>
      <c r="E154" s="202">
        <f t="shared" si="73"/>
        <v>32</v>
      </c>
      <c r="F154" s="202">
        <f t="shared" si="73"/>
        <v>32</v>
      </c>
      <c r="G154" s="202">
        <f t="shared" si="73"/>
        <v>32</v>
      </c>
      <c r="H154" s="202">
        <f t="shared" si="73"/>
        <v>32</v>
      </c>
      <c r="I154" s="202">
        <f t="shared" si="73"/>
        <v>32</v>
      </c>
      <c r="J154" s="202">
        <f t="shared" si="73"/>
        <v>32</v>
      </c>
      <c r="K154" s="202">
        <f t="shared" si="73"/>
        <v>32</v>
      </c>
      <c r="L154" s="202">
        <f t="shared" si="73"/>
        <v>32</v>
      </c>
      <c r="M154" s="202">
        <f t="shared" si="73"/>
        <v>31</v>
      </c>
      <c r="N154" s="202">
        <f t="shared" si="73"/>
        <v>31</v>
      </c>
      <c r="O154" s="202">
        <f t="shared" si="73"/>
        <v>31</v>
      </c>
      <c r="P154" s="202">
        <f t="shared" si="73"/>
        <v>31</v>
      </c>
      <c r="Q154" s="202">
        <f t="shared" si="73"/>
        <v>31</v>
      </c>
      <c r="R154" s="202">
        <f t="shared" si="73"/>
        <v>31</v>
      </c>
      <c r="S154" s="202">
        <f t="shared" si="73"/>
        <v>32</v>
      </c>
      <c r="T154" s="202">
        <f t="shared" si="73"/>
        <v>32</v>
      </c>
      <c r="U154" s="202">
        <f t="shared" si="73"/>
        <v>31</v>
      </c>
      <c r="V154" s="202">
        <f t="shared" si="73"/>
        <v>32</v>
      </c>
      <c r="W154" s="202">
        <f t="shared" si="73"/>
        <v>32</v>
      </c>
      <c r="X154" s="202">
        <f t="shared" si="73"/>
        <v>32</v>
      </c>
      <c r="Y154" s="202">
        <f t="shared" si="73"/>
        <v>32</v>
      </c>
      <c r="Z154" s="245">
        <f>SUM(B154:Y154)</f>
        <v>761</v>
      </c>
      <c r="AA154" s="344" t="s">
        <v>186</v>
      </c>
    </row>
    <row r="155" spans="1:27" x14ac:dyDescent="0.25">
      <c r="A155" s="206">
        <f>Economics!$I44</f>
        <v>2.09</v>
      </c>
      <c r="B155" s="210">
        <f t="shared" ref="B155:Y155" ca="1" si="74">IndGencost(B154,OFFSET(HeatRateStart,1,MATCH($A154,HeatRateNames,0)-1,250,1),$A155)</f>
        <v>22.22988594207823</v>
      </c>
      <c r="C155" s="210">
        <f t="shared" ca="1" si="74"/>
        <v>22.22988594207823</v>
      </c>
      <c r="D155" s="210">
        <f t="shared" ca="1" si="74"/>
        <v>22.22988594207823</v>
      </c>
      <c r="E155" s="210">
        <f t="shared" ca="1" si="74"/>
        <v>22.22988594207823</v>
      </c>
      <c r="F155" s="210">
        <f t="shared" ca="1" si="74"/>
        <v>22.22988594207823</v>
      </c>
      <c r="G155" s="210">
        <f t="shared" ca="1" si="74"/>
        <v>22.22988594207823</v>
      </c>
      <c r="H155" s="210">
        <f t="shared" ca="1" si="74"/>
        <v>22.22988594207823</v>
      </c>
      <c r="I155" s="210">
        <f t="shared" ca="1" si="74"/>
        <v>22.22988594207823</v>
      </c>
      <c r="J155" s="210">
        <f t="shared" ca="1" si="74"/>
        <v>22.22988594207823</v>
      </c>
      <c r="K155" s="210">
        <f t="shared" ca="1" si="74"/>
        <v>22.22988594207823</v>
      </c>
      <c r="L155" s="210">
        <f t="shared" ca="1" si="74"/>
        <v>22.22988594207823</v>
      </c>
      <c r="M155" s="210">
        <f t="shared" ca="1" si="74"/>
        <v>22.25214184551908</v>
      </c>
      <c r="N155" s="210">
        <f t="shared" ca="1" si="74"/>
        <v>22.25214184551908</v>
      </c>
      <c r="O155" s="210">
        <f t="shared" ca="1" si="74"/>
        <v>22.25214184551908</v>
      </c>
      <c r="P155" s="210">
        <f t="shared" ca="1" si="74"/>
        <v>22.25214184551908</v>
      </c>
      <c r="Q155" s="210">
        <f t="shared" ca="1" si="74"/>
        <v>22.25214184551908</v>
      </c>
      <c r="R155" s="210">
        <f t="shared" ca="1" si="74"/>
        <v>22.25214184551908</v>
      </c>
      <c r="S155" s="210">
        <f t="shared" ca="1" si="74"/>
        <v>22.22988594207823</v>
      </c>
      <c r="T155" s="210">
        <f t="shared" ca="1" si="74"/>
        <v>22.22988594207823</v>
      </c>
      <c r="U155" s="210">
        <f t="shared" ca="1" si="74"/>
        <v>22.25214184551908</v>
      </c>
      <c r="V155" s="210">
        <f t="shared" ca="1" si="74"/>
        <v>22.22988594207823</v>
      </c>
      <c r="W155" s="210">
        <f t="shared" ca="1" si="74"/>
        <v>22.22988594207823</v>
      </c>
      <c r="X155" s="210">
        <f t="shared" ca="1" si="74"/>
        <v>22.22988594207823</v>
      </c>
      <c r="Y155" s="210">
        <f t="shared" ca="1" si="74"/>
        <v>22.22988594207823</v>
      </c>
      <c r="Z155" s="285">
        <f t="array" aca="1" ref="Z155" ca="1">SUM(B154:Y154*B155:Y155)</f>
        <v>16921.772732968202</v>
      </c>
      <c r="AA155" s="344" t="s">
        <v>175</v>
      </c>
    </row>
    <row r="156" spans="1:27" x14ac:dyDescent="0.25">
      <c r="A156" s="205" t="s">
        <v>188</v>
      </c>
      <c r="B156" s="207">
        <v>0</v>
      </c>
      <c r="C156" s="207">
        <v>0</v>
      </c>
      <c r="D156" s="207">
        <v>0</v>
      </c>
      <c r="E156" s="207">
        <v>0</v>
      </c>
      <c r="F156" s="207">
        <v>0</v>
      </c>
      <c r="G156" s="207">
        <v>0</v>
      </c>
      <c r="H156" s="207">
        <v>0</v>
      </c>
      <c r="I156" s="207">
        <v>0</v>
      </c>
      <c r="J156" s="207">
        <v>0</v>
      </c>
      <c r="K156" s="207">
        <v>0</v>
      </c>
      <c r="L156" s="207">
        <v>0</v>
      </c>
      <c r="M156" s="207">
        <v>0</v>
      </c>
      <c r="N156" s="207">
        <v>0</v>
      </c>
      <c r="O156" s="207">
        <v>0</v>
      </c>
      <c r="P156" s="207">
        <v>0</v>
      </c>
      <c r="Q156" s="207">
        <v>0</v>
      </c>
      <c r="R156" s="207">
        <v>0</v>
      </c>
      <c r="S156" s="207">
        <v>0</v>
      </c>
      <c r="T156" s="207">
        <v>0</v>
      </c>
      <c r="U156" s="207">
        <v>0</v>
      </c>
      <c r="V156" s="207">
        <v>0</v>
      </c>
      <c r="W156" s="207">
        <v>0</v>
      </c>
      <c r="X156" s="207">
        <v>0</v>
      </c>
      <c r="Y156" s="207">
        <v>0</v>
      </c>
      <c r="Z156" s="246">
        <f>SUM(B156:Y156)</f>
        <v>0</v>
      </c>
      <c r="AA156" s="287"/>
    </row>
    <row r="157" spans="1:27" x14ac:dyDescent="0.25">
      <c r="A157" s="203"/>
      <c r="B157" s="211">
        <f t="shared" ref="B157:Y157" ca="1" si="75">IndGencost(B156,OFFSET(HeatRateStart,1,MATCH($A154,HeatRateNames,0)-1,250,1),$A155)</f>
        <v>0</v>
      </c>
      <c r="C157" s="211">
        <f t="shared" ca="1" si="75"/>
        <v>0</v>
      </c>
      <c r="D157" s="211">
        <f t="shared" ca="1" si="75"/>
        <v>0</v>
      </c>
      <c r="E157" s="211">
        <f t="shared" ca="1" si="75"/>
        <v>0</v>
      </c>
      <c r="F157" s="211">
        <f t="shared" ca="1" si="75"/>
        <v>0</v>
      </c>
      <c r="G157" s="211">
        <f t="shared" ca="1" si="75"/>
        <v>0</v>
      </c>
      <c r="H157" s="211">
        <f t="shared" ca="1" si="75"/>
        <v>0</v>
      </c>
      <c r="I157" s="211">
        <f t="shared" ca="1" si="75"/>
        <v>0</v>
      </c>
      <c r="J157" s="211">
        <f t="shared" ca="1" si="75"/>
        <v>0</v>
      </c>
      <c r="K157" s="211">
        <f t="shared" ca="1" si="75"/>
        <v>0</v>
      </c>
      <c r="L157" s="211">
        <f t="shared" ca="1" si="75"/>
        <v>0</v>
      </c>
      <c r="M157" s="211">
        <f t="shared" ca="1" si="75"/>
        <v>0</v>
      </c>
      <c r="N157" s="211">
        <f t="shared" ca="1" si="75"/>
        <v>0</v>
      </c>
      <c r="O157" s="211">
        <f t="shared" ca="1" si="75"/>
        <v>0</v>
      </c>
      <c r="P157" s="211">
        <f t="shared" ca="1" si="75"/>
        <v>0</v>
      </c>
      <c r="Q157" s="211">
        <f t="shared" ca="1" si="75"/>
        <v>0</v>
      </c>
      <c r="R157" s="211">
        <f t="shared" ca="1" si="75"/>
        <v>0</v>
      </c>
      <c r="S157" s="211">
        <f t="shared" ca="1" si="75"/>
        <v>0</v>
      </c>
      <c r="T157" s="211">
        <f t="shared" ca="1" si="75"/>
        <v>0</v>
      </c>
      <c r="U157" s="211">
        <f t="shared" ca="1" si="75"/>
        <v>0</v>
      </c>
      <c r="V157" s="211">
        <f t="shared" ca="1" si="75"/>
        <v>0</v>
      </c>
      <c r="W157" s="211">
        <f t="shared" ca="1" si="75"/>
        <v>0</v>
      </c>
      <c r="X157" s="211">
        <f t="shared" ca="1" si="75"/>
        <v>0</v>
      </c>
      <c r="Y157" s="211">
        <f t="shared" ca="1" si="75"/>
        <v>0</v>
      </c>
      <c r="Z157" s="284">
        <f t="array" aca="1" ref="Z157" ca="1">SUM(B156:Y156*B157:Y157)</f>
        <v>0</v>
      </c>
    </row>
    <row r="158" spans="1:27" ht="13.8" thickBot="1" x14ac:dyDescent="0.3">
      <c r="A158" s="208" t="s">
        <v>173</v>
      </c>
      <c r="B158" s="209">
        <f t="shared" ref="B158:Y158" ca="1" si="76">B157-B155</f>
        <v>-22.22988594207823</v>
      </c>
      <c r="C158" s="209">
        <f t="shared" ca="1" si="76"/>
        <v>-22.22988594207823</v>
      </c>
      <c r="D158" s="209">
        <f t="shared" ca="1" si="76"/>
        <v>-22.22988594207823</v>
      </c>
      <c r="E158" s="209">
        <f t="shared" ca="1" si="76"/>
        <v>-22.22988594207823</v>
      </c>
      <c r="F158" s="209">
        <f t="shared" ca="1" si="76"/>
        <v>-22.22988594207823</v>
      </c>
      <c r="G158" s="209">
        <f t="shared" ca="1" si="76"/>
        <v>-22.22988594207823</v>
      </c>
      <c r="H158" s="209">
        <f t="shared" ca="1" si="76"/>
        <v>-22.22988594207823</v>
      </c>
      <c r="I158" s="209">
        <f t="shared" ca="1" si="76"/>
        <v>-22.22988594207823</v>
      </c>
      <c r="J158" s="209">
        <f t="shared" ca="1" si="76"/>
        <v>-22.22988594207823</v>
      </c>
      <c r="K158" s="209">
        <f t="shared" ca="1" si="76"/>
        <v>-22.22988594207823</v>
      </c>
      <c r="L158" s="209">
        <f t="shared" ca="1" si="76"/>
        <v>-22.22988594207823</v>
      </c>
      <c r="M158" s="209">
        <f t="shared" ca="1" si="76"/>
        <v>-22.25214184551908</v>
      </c>
      <c r="N158" s="209">
        <f t="shared" ca="1" si="76"/>
        <v>-22.25214184551908</v>
      </c>
      <c r="O158" s="209">
        <f t="shared" ca="1" si="76"/>
        <v>-22.25214184551908</v>
      </c>
      <c r="P158" s="209">
        <f t="shared" ca="1" si="76"/>
        <v>-22.25214184551908</v>
      </c>
      <c r="Q158" s="209">
        <f t="shared" ca="1" si="76"/>
        <v>-22.25214184551908</v>
      </c>
      <c r="R158" s="209">
        <f t="shared" ca="1" si="76"/>
        <v>-22.25214184551908</v>
      </c>
      <c r="S158" s="209">
        <f t="shared" ca="1" si="76"/>
        <v>-22.22988594207823</v>
      </c>
      <c r="T158" s="209">
        <f t="shared" ca="1" si="76"/>
        <v>-22.22988594207823</v>
      </c>
      <c r="U158" s="209">
        <f t="shared" ca="1" si="76"/>
        <v>-22.25214184551908</v>
      </c>
      <c r="V158" s="209">
        <f t="shared" ca="1" si="76"/>
        <v>-22.22988594207823</v>
      </c>
      <c r="W158" s="209">
        <f t="shared" ca="1" si="76"/>
        <v>-22.22988594207823</v>
      </c>
      <c r="X158" s="209">
        <f t="shared" ca="1" si="76"/>
        <v>-22.22988594207823</v>
      </c>
      <c r="Y158" s="209">
        <f t="shared" ca="1" si="76"/>
        <v>-22.22988594207823</v>
      </c>
      <c r="Z158" s="286">
        <f ca="1">Z155-Z157</f>
        <v>16921.772732968202</v>
      </c>
    </row>
    <row r="159" spans="1:27" x14ac:dyDescent="0.25">
      <c r="A159" s="204" t="str">
        <f>Economics!A45</f>
        <v>Rio Grande 8</v>
      </c>
      <c r="B159" s="202">
        <f t="shared" ref="B159:Y159" si="77">B52</f>
        <v>0</v>
      </c>
      <c r="C159" s="202">
        <f t="shared" si="77"/>
        <v>0</v>
      </c>
      <c r="D159" s="202">
        <f t="shared" si="77"/>
        <v>0</v>
      </c>
      <c r="E159" s="202">
        <f t="shared" si="77"/>
        <v>0</v>
      </c>
      <c r="F159" s="202">
        <f t="shared" si="77"/>
        <v>0</v>
      </c>
      <c r="G159" s="202">
        <f t="shared" si="77"/>
        <v>0</v>
      </c>
      <c r="H159" s="202">
        <f t="shared" si="77"/>
        <v>0</v>
      </c>
      <c r="I159" s="202">
        <f t="shared" si="77"/>
        <v>0</v>
      </c>
      <c r="J159" s="202">
        <f t="shared" si="77"/>
        <v>0</v>
      </c>
      <c r="K159" s="202">
        <f t="shared" si="77"/>
        <v>0</v>
      </c>
      <c r="L159" s="202">
        <f t="shared" si="77"/>
        <v>0</v>
      </c>
      <c r="M159" s="202">
        <f t="shared" si="77"/>
        <v>0</v>
      </c>
      <c r="N159" s="202">
        <f t="shared" si="77"/>
        <v>0</v>
      </c>
      <c r="O159" s="202">
        <f t="shared" si="77"/>
        <v>0</v>
      </c>
      <c r="P159" s="202">
        <f t="shared" si="77"/>
        <v>0</v>
      </c>
      <c r="Q159" s="202">
        <f t="shared" si="77"/>
        <v>0</v>
      </c>
      <c r="R159" s="202">
        <f t="shared" si="77"/>
        <v>0</v>
      </c>
      <c r="S159" s="202">
        <f t="shared" si="77"/>
        <v>0</v>
      </c>
      <c r="T159" s="202">
        <f t="shared" si="77"/>
        <v>0</v>
      </c>
      <c r="U159" s="202">
        <f t="shared" si="77"/>
        <v>0</v>
      </c>
      <c r="V159" s="202">
        <f t="shared" si="77"/>
        <v>0</v>
      </c>
      <c r="W159" s="202">
        <f t="shared" si="77"/>
        <v>0</v>
      </c>
      <c r="X159" s="202">
        <f t="shared" si="77"/>
        <v>0</v>
      </c>
      <c r="Y159" s="202">
        <f t="shared" si="77"/>
        <v>0</v>
      </c>
      <c r="Z159" s="245">
        <f>SUM(B159:Y159)</f>
        <v>0</v>
      </c>
      <c r="AA159" s="344" t="s">
        <v>186</v>
      </c>
    </row>
    <row r="160" spans="1:27" x14ac:dyDescent="0.25">
      <c r="A160" s="206">
        <f>Economics!$I45</f>
        <v>2.09</v>
      </c>
      <c r="B160" s="210">
        <f t="shared" ref="B160:Y160" ca="1" si="78">IndGencost(B159,OFFSET(HeatRateStart,1,MATCH($A159,HeatRateNames,0)-1,250,1),$A160)</f>
        <v>0</v>
      </c>
      <c r="C160" s="210">
        <f t="shared" ca="1" si="78"/>
        <v>0</v>
      </c>
      <c r="D160" s="210">
        <f t="shared" ca="1" si="78"/>
        <v>0</v>
      </c>
      <c r="E160" s="210">
        <f t="shared" ca="1" si="78"/>
        <v>0</v>
      </c>
      <c r="F160" s="210">
        <f t="shared" ca="1" si="78"/>
        <v>0</v>
      </c>
      <c r="G160" s="210">
        <f t="shared" ca="1" si="78"/>
        <v>0</v>
      </c>
      <c r="H160" s="210">
        <f t="shared" ca="1" si="78"/>
        <v>0</v>
      </c>
      <c r="I160" s="210">
        <f t="shared" ca="1" si="78"/>
        <v>0</v>
      </c>
      <c r="J160" s="210">
        <f t="shared" ca="1" si="78"/>
        <v>0</v>
      </c>
      <c r="K160" s="210">
        <f t="shared" ca="1" si="78"/>
        <v>0</v>
      </c>
      <c r="L160" s="210">
        <f t="shared" ca="1" si="78"/>
        <v>0</v>
      </c>
      <c r="M160" s="210">
        <f t="shared" ca="1" si="78"/>
        <v>0</v>
      </c>
      <c r="N160" s="210">
        <f t="shared" ca="1" si="78"/>
        <v>0</v>
      </c>
      <c r="O160" s="210">
        <f t="shared" ca="1" si="78"/>
        <v>0</v>
      </c>
      <c r="P160" s="210">
        <f t="shared" ca="1" si="78"/>
        <v>0</v>
      </c>
      <c r="Q160" s="210">
        <f t="shared" ca="1" si="78"/>
        <v>0</v>
      </c>
      <c r="R160" s="210">
        <f t="shared" ca="1" si="78"/>
        <v>0</v>
      </c>
      <c r="S160" s="210">
        <f t="shared" ca="1" si="78"/>
        <v>0</v>
      </c>
      <c r="T160" s="210">
        <f t="shared" ca="1" si="78"/>
        <v>0</v>
      </c>
      <c r="U160" s="210">
        <f t="shared" ca="1" si="78"/>
        <v>0</v>
      </c>
      <c r="V160" s="210">
        <f t="shared" ca="1" si="78"/>
        <v>0</v>
      </c>
      <c r="W160" s="210">
        <f t="shared" ca="1" si="78"/>
        <v>0</v>
      </c>
      <c r="X160" s="210">
        <f t="shared" ca="1" si="78"/>
        <v>0</v>
      </c>
      <c r="Y160" s="210">
        <f t="shared" ca="1" si="78"/>
        <v>0</v>
      </c>
      <c r="Z160" s="285">
        <f t="array" aca="1" ref="Z160" ca="1">SUM(B159:Y159*B160:Y160)</f>
        <v>0</v>
      </c>
      <c r="AA160" s="344" t="s">
        <v>175</v>
      </c>
    </row>
    <row r="161" spans="1:27" x14ac:dyDescent="0.25">
      <c r="A161" s="205" t="s">
        <v>189</v>
      </c>
      <c r="B161" s="207">
        <v>56</v>
      </c>
      <c r="C161" s="207">
        <v>56</v>
      </c>
      <c r="D161" s="207">
        <v>56</v>
      </c>
      <c r="E161" s="207">
        <v>56</v>
      </c>
      <c r="F161" s="207">
        <v>65</v>
      </c>
      <c r="G161" s="207">
        <v>75</v>
      </c>
      <c r="H161" s="207">
        <v>56</v>
      </c>
      <c r="I161" s="207">
        <v>56</v>
      </c>
      <c r="J161" s="207">
        <v>56</v>
      </c>
      <c r="K161" s="207">
        <v>56</v>
      </c>
      <c r="L161" s="207">
        <v>56</v>
      </c>
      <c r="M161" s="207">
        <v>56</v>
      </c>
      <c r="N161" s="207">
        <v>56</v>
      </c>
      <c r="O161" s="207">
        <v>56</v>
      </c>
      <c r="P161" s="207">
        <v>56</v>
      </c>
      <c r="Q161" s="207">
        <v>56</v>
      </c>
      <c r="R161" s="207">
        <v>56</v>
      </c>
      <c r="S161" s="207">
        <v>56</v>
      </c>
      <c r="T161" s="207">
        <v>85</v>
      </c>
      <c r="U161" s="207">
        <v>110</v>
      </c>
      <c r="V161" s="207">
        <v>90</v>
      </c>
      <c r="W161" s="207">
        <v>65</v>
      </c>
      <c r="X161" s="207">
        <v>56</v>
      </c>
      <c r="Y161" s="207">
        <v>56</v>
      </c>
      <c r="Z161" s="246">
        <f>SUM(B161:Y161)</f>
        <v>1498</v>
      </c>
      <c r="AA161" s="287"/>
    </row>
    <row r="162" spans="1:27" x14ac:dyDescent="0.25">
      <c r="A162" s="203"/>
      <c r="B162" s="211">
        <f t="shared" ref="B162:Y162" ca="1" si="79">IndGencost(B161,OFFSET(HeatRateStart,1,MATCH($A159,HeatRateNames,0)-1,250,1),$A160)</f>
        <v>21.521102330471788</v>
      </c>
      <c r="C162" s="211">
        <f t="shared" ca="1" si="79"/>
        <v>21.521102330471788</v>
      </c>
      <c r="D162" s="211">
        <f t="shared" ca="1" si="79"/>
        <v>21.521102330471788</v>
      </c>
      <c r="E162" s="211">
        <f t="shared" ca="1" si="79"/>
        <v>21.521102330471788</v>
      </c>
      <c r="F162" s="211">
        <f t="shared" ca="1" si="79"/>
        <v>21.309076432585719</v>
      </c>
      <c r="G162" s="211">
        <f t="shared" ca="1" si="79"/>
        <v>21.209946128964422</v>
      </c>
      <c r="H162" s="211">
        <f t="shared" ca="1" si="79"/>
        <v>21.521102330471788</v>
      </c>
      <c r="I162" s="211">
        <f t="shared" ca="1" si="79"/>
        <v>21.521102330471788</v>
      </c>
      <c r="J162" s="211">
        <f t="shared" ca="1" si="79"/>
        <v>21.521102330471788</v>
      </c>
      <c r="K162" s="211">
        <f t="shared" ca="1" si="79"/>
        <v>21.521102330471788</v>
      </c>
      <c r="L162" s="211">
        <f t="shared" ca="1" si="79"/>
        <v>21.521102330471788</v>
      </c>
      <c r="M162" s="211">
        <f t="shared" ca="1" si="79"/>
        <v>21.521102330471788</v>
      </c>
      <c r="N162" s="211">
        <f t="shared" ca="1" si="79"/>
        <v>21.521102330471788</v>
      </c>
      <c r="O162" s="211">
        <f t="shared" ca="1" si="79"/>
        <v>21.521102330471788</v>
      </c>
      <c r="P162" s="211">
        <f t="shared" ca="1" si="79"/>
        <v>21.521102330471788</v>
      </c>
      <c r="Q162" s="211">
        <f t="shared" ca="1" si="79"/>
        <v>21.521102330471788</v>
      </c>
      <c r="R162" s="211">
        <f t="shared" ca="1" si="79"/>
        <v>21.521102330471788</v>
      </c>
      <c r="S162" s="211">
        <f t="shared" ca="1" si="79"/>
        <v>21.521102330471788</v>
      </c>
      <c r="T162" s="211">
        <f t="shared" ca="1" si="79"/>
        <v>21.205446482090391</v>
      </c>
      <c r="U162" s="211">
        <f t="shared" ca="1" si="79"/>
        <v>21.438839119564399</v>
      </c>
      <c r="V162" s="211">
        <f t="shared" ca="1" si="79"/>
        <v>21.228825794855755</v>
      </c>
      <c r="W162" s="211">
        <f t="shared" ca="1" si="79"/>
        <v>21.309076432585719</v>
      </c>
      <c r="X162" s="211">
        <f t="shared" ca="1" si="79"/>
        <v>21.521102330471788</v>
      </c>
      <c r="Y162" s="211">
        <f t="shared" ca="1" si="79"/>
        <v>21.521102330471788</v>
      </c>
      <c r="Z162" s="284">
        <f t="array" aca="1" ref="Z162" ca="1">SUM(B161:Y161*B162:Y162)</f>
        <v>32125.526620690824</v>
      </c>
    </row>
    <row r="163" spans="1:27" ht="13.8" thickBot="1" x14ac:dyDescent="0.3">
      <c r="A163" s="208" t="s">
        <v>173</v>
      </c>
      <c r="B163" s="209">
        <f t="shared" ref="B163:Y163" ca="1" si="80">B162-B160</f>
        <v>21.521102330471788</v>
      </c>
      <c r="C163" s="209">
        <f t="shared" ca="1" si="80"/>
        <v>21.521102330471788</v>
      </c>
      <c r="D163" s="209">
        <f t="shared" ca="1" si="80"/>
        <v>21.521102330471788</v>
      </c>
      <c r="E163" s="209">
        <f t="shared" ca="1" si="80"/>
        <v>21.521102330471788</v>
      </c>
      <c r="F163" s="209">
        <f t="shared" ca="1" si="80"/>
        <v>21.309076432585719</v>
      </c>
      <c r="G163" s="209">
        <f t="shared" ca="1" si="80"/>
        <v>21.209946128964422</v>
      </c>
      <c r="H163" s="209">
        <f t="shared" ca="1" si="80"/>
        <v>21.521102330471788</v>
      </c>
      <c r="I163" s="209">
        <f t="shared" ca="1" si="80"/>
        <v>21.521102330471788</v>
      </c>
      <c r="J163" s="209">
        <f t="shared" ca="1" si="80"/>
        <v>21.521102330471788</v>
      </c>
      <c r="K163" s="209">
        <f t="shared" ca="1" si="80"/>
        <v>21.521102330471788</v>
      </c>
      <c r="L163" s="209">
        <f t="shared" ca="1" si="80"/>
        <v>21.521102330471788</v>
      </c>
      <c r="M163" s="209">
        <f t="shared" ca="1" si="80"/>
        <v>21.521102330471788</v>
      </c>
      <c r="N163" s="209">
        <f t="shared" ca="1" si="80"/>
        <v>21.521102330471788</v>
      </c>
      <c r="O163" s="209">
        <f t="shared" ca="1" si="80"/>
        <v>21.521102330471788</v>
      </c>
      <c r="P163" s="209">
        <f t="shared" ca="1" si="80"/>
        <v>21.521102330471788</v>
      </c>
      <c r="Q163" s="209">
        <f t="shared" ca="1" si="80"/>
        <v>21.521102330471788</v>
      </c>
      <c r="R163" s="209">
        <f t="shared" ca="1" si="80"/>
        <v>21.521102330471788</v>
      </c>
      <c r="S163" s="209">
        <f t="shared" ca="1" si="80"/>
        <v>21.521102330471788</v>
      </c>
      <c r="T163" s="209">
        <f t="shared" ca="1" si="80"/>
        <v>21.205446482090391</v>
      </c>
      <c r="U163" s="209">
        <f t="shared" ca="1" si="80"/>
        <v>21.438839119564399</v>
      </c>
      <c r="V163" s="209">
        <f t="shared" ca="1" si="80"/>
        <v>21.228825794855755</v>
      </c>
      <c r="W163" s="209">
        <f t="shared" ca="1" si="80"/>
        <v>21.309076432585719</v>
      </c>
      <c r="X163" s="209">
        <f t="shared" ca="1" si="80"/>
        <v>21.521102330471788</v>
      </c>
      <c r="Y163" s="209">
        <f t="shared" ca="1" si="80"/>
        <v>21.521102330471788</v>
      </c>
      <c r="Z163" s="286">
        <f ca="1">Z160-Z162</f>
        <v>-32125.526620690824</v>
      </c>
      <c r="AA163" s="288"/>
    </row>
    <row r="164" spans="1:27" s="295" customFormat="1" x14ac:dyDescent="0.25">
      <c r="A164" s="328" t="s">
        <v>190</v>
      </c>
      <c r="B164" s="329">
        <f t="shared" ref="B164:Y164" si="81">B159+B154+B149+B144+B139+B134+B129+B124+B119+B114+B109+B104+B101+B98+B95+B92+B89</f>
        <v>902</v>
      </c>
      <c r="C164" s="329">
        <f t="shared" si="81"/>
        <v>926</v>
      </c>
      <c r="D164" s="329">
        <f t="shared" si="81"/>
        <v>934</v>
      </c>
      <c r="E164" s="329">
        <f t="shared" si="81"/>
        <v>921</v>
      </c>
      <c r="F164" s="329">
        <f t="shared" si="81"/>
        <v>925</v>
      </c>
      <c r="G164" s="329">
        <f t="shared" si="81"/>
        <v>971</v>
      </c>
      <c r="H164" s="329">
        <f t="shared" si="81"/>
        <v>963</v>
      </c>
      <c r="I164" s="329">
        <f t="shared" si="81"/>
        <v>944</v>
      </c>
      <c r="J164" s="329">
        <f t="shared" si="81"/>
        <v>989</v>
      </c>
      <c r="K164" s="329">
        <f t="shared" si="81"/>
        <v>1030</v>
      </c>
      <c r="L164" s="329">
        <f t="shared" si="81"/>
        <v>1005</v>
      </c>
      <c r="M164" s="329" t="e">
        <f t="shared" si="81"/>
        <v>#REF!</v>
      </c>
      <c r="N164" s="329">
        <f t="shared" si="81"/>
        <v>965</v>
      </c>
      <c r="O164" s="329">
        <f t="shared" si="81"/>
        <v>949</v>
      </c>
      <c r="P164" s="329">
        <f t="shared" si="81"/>
        <v>944</v>
      </c>
      <c r="Q164" s="329">
        <f t="shared" si="81"/>
        <v>935</v>
      </c>
      <c r="R164" s="329">
        <f t="shared" si="81"/>
        <v>1004</v>
      </c>
      <c r="S164" s="329">
        <f t="shared" si="81"/>
        <v>997</v>
      </c>
      <c r="T164" s="329">
        <f t="shared" si="81"/>
        <v>1027</v>
      </c>
      <c r="U164" s="329">
        <f t="shared" si="81"/>
        <v>1033</v>
      </c>
      <c r="V164" s="329">
        <f t="shared" si="81"/>
        <v>1006</v>
      </c>
      <c r="W164" s="329">
        <f t="shared" si="81"/>
        <v>1027</v>
      </c>
      <c r="X164" s="329">
        <f t="shared" si="81"/>
        <v>925</v>
      </c>
      <c r="Y164" s="330">
        <f t="shared" si="81"/>
        <v>942</v>
      </c>
      <c r="Z164" s="296"/>
      <c r="AA164" s="294"/>
    </row>
    <row r="165" spans="1:27" s="295" customFormat="1" ht="13.5" customHeight="1" thickBot="1" x14ac:dyDescent="0.3">
      <c r="A165" s="331" t="s">
        <v>191</v>
      </c>
      <c r="B165" s="332">
        <f t="shared" ref="B165:Y165" si="82">B161+B156+B151+B146+B141+B136+B131+B126+B121+B116+B111+B106+B102+B99+B96+B93+B90</f>
        <v>979</v>
      </c>
      <c r="C165" s="332">
        <f t="shared" si="82"/>
        <v>878</v>
      </c>
      <c r="D165" s="332">
        <f t="shared" si="82"/>
        <v>848</v>
      </c>
      <c r="E165" s="332">
        <f t="shared" si="82"/>
        <v>848</v>
      </c>
      <c r="F165" s="332">
        <f t="shared" si="82"/>
        <v>858</v>
      </c>
      <c r="G165" s="332">
        <f t="shared" si="82"/>
        <v>868</v>
      </c>
      <c r="H165" s="332">
        <f t="shared" si="82"/>
        <v>894</v>
      </c>
      <c r="I165" s="332">
        <f t="shared" si="82"/>
        <v>879</v>
      </c>
      <c r="J165" s="332">
        <f t="shared" si="82"/>
        <v>879</v>
      </c>
      <c r="K165" s="332">
        <f t="shared" si="82"/>
        <v>879</v>
      </c>
      <c r="L165" s="332">
        <f t="shared" si="82"/>
        <v>930</v>
      </c>
      <c r="M165" s="332">
        <f t="shared" si="82"/>
        <v>930</v>
      </c>
      <c r="N165" s="332">
        <f t="shared" si="82"/>
        <v>930</v>
      </c>
      <c r="O165" s="332">
        <f t="shared" si="82"/>
        <v>930</v>
      </c>
      <c r="P165" s="332">
        <f t="shared" si="82"/>
        <v>930</v>
      </c>
      <c r="Q165" s="332">
        <f t="shared" si="82"/>
        <v>930</v>
      </c>
      <c r="R165" s="332">
        <f t="shared" si="82"/>
        <v>930</v>
      </c>
      <c r="S165" s="332">
        <f t="shared" si="82"/>
        <v>930</v>
      </c>
      <c r="T165" s="332">
        <f t="shared" si="82"/>
        <v>1029</v>
      </c>
      <c r="U165" s="332">
        <f t="shared" si="82"/>
        <v>1054</v>
      </c>
      <c r="V165" s="332">
        <f t="shared" si="82"/>
        <v>968</v>
      </c>
      <c r="W165" s="332">
        <f t="shared" si="82"/>
        <v>938</v>
      </c>
      <c r="X165" s="332">
        <f t="shared" si="82"/>
        <v>909</v>
      </c>
      <c r="Y165" s="333">
        <f t="shared" si="82"/>
        <v>909</v>
      </c>
      <c r="Z165" s="297"/>
      <c r="AA165" s="194" t="e">
        <f ca="1">Z163+Z158+Z153+Z148+Z143+Z138+Z133+Z128+Z123+Z118+Z113+Z108+Z103+Z100+Z97+Z94+Z91</f>
        <v>#REF!</v>
      </c>
    </row>
    <row r="166" spans="1:27" x14ac:dyDescent="0.25">
      <c r="A166" s="356" t="s">
        <v>192</v>
      </c>
      <c r="B166" s="357">
        <f t="shared" ref="B166:Y166" si="83">B165-B164</f>
        <v>77</v>
      </c>
      <c r="C166" s="357">
        <f t="shared" si="83"/>
        <v>-48</v>
      </c>
      <c r="D166" s="357">
        <f t="shared" si="83"/>
        <v>-86</v>
      </c>
      <c r="E166" s="357">
        <f t="shared" si="83"/>
        <v>-73</v>
      </c>
      <c r="F166" s="357">
        <f t="shared" si="83"/>
        <v>-67</v>
      </c>
      <c r="G166" s="357">
        <f t="shared" si="83"/>
        <v>-103</v>
      </c>
      <c r="H166" s="357">
        <f t="shared" si="83"/>
        <v>-69</v>
      </c>
      <c r="I166" s="357">
        <f t="shared" si="83"/>
        <v>-65</v>
      </c>
      <c r="J166" s="357">
        <f t="shared" si="83"/>
        <v>-110</v>
      </c>
      <c r="K166" s="357">
        <f t="shared" si="83"/>
        <v>-151</v>
      </c>
      <c r="L166" s="357">
        <f t="shared" si="83"/>
        <v>-75</v>
      </c>
      <c r="M166" s="357" t="e">
        <f t="shared" si="83"/>
        <v>#REF!</v>
      </c>
      <c r="N166" s="357">
        <f t="shared" si="83"/>
        <v>-35</v>
      </c>
      <c r="O166" s="357">
        <f t="shared" si="83"/>
        <v>-19</v>
      </c>
      <c r="P166" s="357">
        <f t="shared" si="83"/>
        <v>-14</v>
      </c>
      <c r="Q166" s="357">
        <f t="shared" si="83"/>
        <v>-5</v>
      </c>
      <c r="R166" s="357">
        <f t="shared" si="83"/>
        <v>-74</v>
      </c>
      <c r="S166" s="357">
        <f t="shared" si="83"/>
        <v>-67</v>
      </c>
      <c r="T166" s="357">
        <f t="shared" si="83"/>
        <v>2</v>
      </c>
      <c r="U166" s="357">
        <f t="shared" si="83"/>
        <v>21</v>
      </c>
      <c r="V166" s="357">
        <f t="shared" si="83"/>
        <v>-38</v>
      </c>
      <c r="W166" s="357">
        <f t="shared" si="83"/>
        <v>-89</v>
      </c>
      <c r="X166" s="357">
        <f t="shared" si="83"/>
        <v>-16</v>
      </c>
      <c r="Y166" s="358">
        <f t="shared" si="83"/>
        <v>-33</v>
      </c>
      <c r="Z166" s="362" t="e">
        <f>SUM(B166:Y166)</f>
        <v>#REF!</v>
      </c>
    </row>
    <row r="167" spans="1:27" s="351" customFormat="1" ht="32.25" customHeight="1" thickBot="1" x14ac:dyDescent="0.3">
      <c r="A167" s="359" t="s">
        <v>193</v>
      </c>
      <c r="B167" s="360">
        <f t="shared" ref="B167:Y167" ca="1" si="84">B58</f>
        <v>29</v>
      </c>
      <c r="C167" s="360">
        <f t="shared" ca="1" si="84"/>
        <v>-11</v>
      </c>
      <c r="D167" s="360">
        <f t="shared" ca="1" si="84"/>
        <v>10</v>
      </c>
      <c r="E167" s="360">
        <f t="shared" ca="1" si="84"/>
        <v>-7</v>
      </c>
      <c r="F167" s="360">
        <f t="shared" ca="1" si="84"/>
        <v>1</v>
      </c>
      <c r="G167" s="360">
        <f t="shared" ca="1" si="84"/>
        <v>-10</v>
      </c>
      <c r="H167" s="360">
        <f t="shared" ca="1" si="84"/>
        <v>-9</v>
      </c>
      <c r="I167" s="360">
        <f t="shared" ca="1" si="84"/>
        <v>-10</v>
      </c>
      <c r="J167" s="360">
        <f t="shared" ca="1" si="84"/>
        <v>-7</v>
      </c>
      <c r="K167" s="360">
        <f t="shared" ca="1" si="84"/>
        <v>-1</v>
      </c>
      <c r="L167" s="360">
        <f t="shared" ca="1" si="84"/>
        <v>-10</v>
      </c>
      <c r="M167" s="360">
        <f t="shared" ca="1" si="84"/>
        <v>-1</v>
      </c>
      <c r="N167" s="360">
        <f t="shared" ca="1" si="84"/>
        <v>-9</v>
      </c>
      <c r="O167" s="360">
        <f t="shared" ca="1" si="84"/>
        <v>-10</v>
      </c>
      <c r="P167" s="360">
        <f t="shared" ca="1" si="84"/>
        <v>3</v>
      </c>
      <c r="Q167" s="360">
        <f t="shared" ca="1" si="84"/>
        <v>-6</v>
      </c>
      <c r="R167" s="360">
        <f t="shared" ca="1" si="84"/>
        <v>16</v>
      </c>
      <c r="S167" s="360">
        <f t="shared" ca="1" si="84"/>
        <v>-8</v>
      </c>
      <c r="T167" s="360">
        <f t="shared" ca="1" si="84"/>
        <v>-5</v>
      </c>
      <c r="U167" s="360">
        <f t="shared" ca="1" si="84"/>
        <v>-9</v>
      </c>
      <c r="V167" s="360">
        <f t="shared" ca="1" si="84"/>
        <v>-4</v>
      </c>
      <c r="W167" s="360">
        <f t="shared" ca="1" si="84"/>
        <v>-3</v>
      </c>
      <c r="X167" s="360">
        <f t="shared" ca="1" si="84"/>
        <v>-9</v>
      </c>
      <c r="Y167" s="361">
        <f t="shared" ca="1" si="84"/>
        <v>11</v>
      </c>
      <c r="Z167" s="349">
        <f ca="1">SUM(B167:Y167)</f>
        <v>-59</v>
      </c>
      <c r="AA167" s="350"/>
    </row>
    <row r="168" spans="1:27" ht="13.8" hidden="1" thickBot="1" x14ac:dyDescent="0.3">
      <c r="A168" s="352" t="s">
        <v>194</v>
      </c>
      <c r="B168" s="353">
        <f t="shared" ref="B168:Y168" ca="1" si="85">B167+B166</f>
        <v>106</v>
      </c>
      <c r="C168" s="353">
        <f t="shared" ca="1" si="85"/>
        <v>-59</v>
      </c>
      <c r="D168" s="353">
        <f t="shared" ca="1" si="85"/>
        <v>-76</v>
      </c>
      <c r="E168" s="353">
        <f t="shared" ca="1" si="85"/>
        <v>-80</v>
      </c>
      <c r="F168" s="353">
        <f t="shared" ca="1" si="85"/>
        <v>-66</v>
      </c>
      <c r="G168" s="353">
        <f t="shared" ca="1" si="85"/>
        <v>-113</v>
      </c>
      <c r="H168" s="353">
        <f t="shared" ca="1" si="85"/>
        <v>-78</v>
      </c>
      <c r="I168" s="353">
        <f t="shared" ca="1" si="85"/>
        <v>-75</v>
      </c>
      <c r="J168" s="353">
        <f t="shared" ca="1" si="85"/>
        <v>-117</v>
      </c>
      <c r="K168" s="353">
        <f t="shared" ca="1" si="85"/>
        <v>-152</v>
      </c>
      <c r="L168" s="353">
        <f t="shared" ca="1" si="85"/>
        <v>-85</v>
      </c>
      <c r="M168" s="353" t="e">
        <f t="shared" ca="1" si="85"/>
        <v>#REF!</v>
      </c>
      <c r="N168" s="353">
        <f t="shared" ca="1" si="85"/>
        <v>-44</v>
      </c>
      <c r="O168" s="353">
        <f t="shared" ca="1" si="85"/>
        <v>-29</v>
      </c>
      <c r="P168" s="353">
        <f t="shared" ca="1" si="85"/>
        <v>-11</v>
      </c>
      <c r="Q168" s="353">
        <f t="shared" ca="1" si="85"/>
        <v>-11</v>
      </c>
      <c r="R168" s="353">
        <f t="shared" ca="1" si="85"/>
        <v>-58</v>
      </c>
      <c r="S168" s="353">
        <f t="shared" ca="1" si="85"/>
        <v>-75</v>
      </c>
      <c r="T168" s="353">
        <f t="shared" ca="1" si="85"/>
        <v>-3</v>
      </c>
      <c r="U168" s="353">
        <f t="shared" ca="1" si="85"/>
        <v>12</v>
      </c>
      <c r="V168" s="353">
        <f t="shared" ca="1" si="85"/>
        <v>-42</v>
      </c>
      <c r="W168" s="353">
        <f t="shared" ca="1" si="85"/>
        <v>-92</v>
      </c>
      <c r="X168" s="353">
        <f t="shared" ca="1" si="85"/>
        <v>-25</v>
      </c>
      <c r="Y168" s="353">
        <f t="shared" ca="1" si="85"/>
        <v>-22</v>
      </c>
      <c r="Z168" s="354" t="e">
        <f ca="1">SUM(B168:Y168)</f>
        <v>#REF!</v>
      </c>
    </row>
    <row r="169" spans="1:27" ht="13.8" thickBot="1" x14ac:dyDescent="0.3">
      <c r="A169" s="355"/>
      <c r="B169" s="300"/>
      <c r="C169" s="300"/>
      <c r="D169" s="300"/>
      <c r="E169" s="300"/>
      <c r="F169" s="300"/>
      <c r="G169" s="300"/>
      <c r="H169" s="300"/>
      <c r="I169" s="300"/>
      <c r="J169" s="300"/>
      <c r="K169" s="300"/>
      <c r="L169" s="300"/>
      <c r="M169" s="300"/>
      <c r="N169" s="300"/>
      <c r="O169" s="300"/>
      <c r="P169" s="300"/>
      <c r="Q169" s="300"/>
      <c r="R169" s="300"/>
      <c r="S169" s="300"/>
      <c r="T169" s="300"/>
      <c r="U169" s="300"/>
      <c r="V169" s="300"/>
      <c r="W169" s="300"/>
      <c r="X169" s="300"/>
      <c r="Y169" s="300"/>
      <c r="Z169" s="354" t="e">
        <f ca="1">Z166+Z167</f>
        <v>#REF!</v>
      </c>
      <c r="AA169" s="194" t="s">
        <v>195</v>
      </c>
    </row>
    <row r="170" spans="1:27" ht="43.5" customHeight="1" thickBot="1" x14ac:dyDescent="0.3">
      <c r="A170" s="338" t="s">
        <v>196</v>
      </c>
      <c r="B170" s="339"/>
      <c r="C170" s="340"/>
      <c r="D170" s="340"/>
      <c r="E170" s="340"/>
      <c r="F170" s="340"/>
      <c r="G170" s="340"/>
      <c r="H170" s="341"/>
      <c r="I170" s="341"/>
      <c r="J170" s="341"/>
      <c r="K170" s="341"/>
      <c r="L170" s="341"/>
      <c r="M170" s="341"/>
      <c r="N170" s="341"/>
      <c r="O170" s="341"/>
      <c r="P170" s="341"/>
      <c r="Q170" s="341"/>
      <c r="R170" s="341"/>
      <c r="S170" s="341"/>
      <c r="T170" s="341"/>
      <c r="U170" s="341"/>
      <c r="V170" s="341"/>
      <c r="W170" s="341"/>
      <c r="X170" s="341"/>
      <c r="Y170" s="341"/>
      <c r="Z170" s="327"/>
    </row>
    <row r="171" spans="1:27" ht="28.5" customHeight="1" x14ac:dyDescent="0.25">
      <c r="A171" s="363" t="s">
        <v>197</v>
      </c>
      <c r="B171" s="364">
        <f t="shared" ref="B171:Y171" si="86">((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184</v>
      </c>
      <c r="C171" s="364">
        <f t="shared" si="86"/>
        <v>160</v>
      </c>
      <c r="D171" s="364">
        <f t="shared" si="86"/>
        <v>152</v>
      </c>
      <c r="E171" s="364">
        <f t="shared" si="86"/>
        <v>152</v>
      </c>
      <c r="F171" s="364">
        <f t="shared" si="86"/>
        <v>149</v>
      </c>
      <c r="G171" s="364">
        <f t="shared" si="86"/>
        <v>115</v>
      </c>
      <c r="H171" s="364">
        <f t="shared" si="86"/>
        <v>123</v>
      </c>
      <c r="I171" s="364">
        <f t="shared" si="86"/>
        <v>142</v>
      </c>
      <c r="J171" s="364">
        <f t="shared" si="86"/>
        <v>97</v>
      </c>
      <c r="K171" s="364">
        <f t="shared" si="86"/>
        <v>56</v>
      </c>
      <c r="L171" s="364">
        <f t="shared" si="86"/>
        <v>81</v>
      </c>
      <c r="M171" s="364">
        <f t="shared" si="86"/>
        <v>112</v>
      </c>
      <c r="N171" s="364">
        <f t="shared" si="86"/>
        <v>121</v>
      </c>
      <c r="O171" s="364">
        <f t="shared" si="86"/>
        <v>137</v>
      </c>
      <c r="P171" s="364">
        <f t="shared" si="86"/>
        <v>142</v>
      </c>
      <c r="Q171" s="364">
        <f t="shared" si="86"/>
        <v>151</v>
      </c>
      <c r="R171" s="364">
        <f t="shared" si="86"/>
        <v>82</v>
      </c>
      <c r="S171" s="364">
        <f t="shared" si="86"/>
        <v>89</v>
      </c>
      <c r="T171" s="364">
        <f t="shared" si="86"/>
        <v>59</v>
      </c>
      <c r="U171" s="364">
        <f t="shared" si="86"/>
        <v>53</v>
      </c>
      <c r="V171" s="364">
        <f t="shared" si="86"/>
        <v>80</v>
      </c>
      <c r="W171" s="364">
        <f t="shared" si="86"/>
        <v>59</v>
      </c>
      <c r="X171" s="364">
        <f t="shared" si="86"/>
        <v>161</v>
      </c>
      <c r="Y171" s="365">
        <f t="shared" si="86"/>
        <v>144</v>
      </c>
      <c r="Z171" s="295"/>
    </row>
    <row r="172" spans="1:27" ht="28.5" customHeight="1" thickBot="1" x14ac:dyDescent="0.3">
      <c r="A172" s="366" t="s">
        <v>198</v>
      </c>
      <c r="B172" s="367">
        <f t="shared" ref="B172:Y172" si="87">((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67">
        <f t="shared" si="87"/>
        <v>230</v>
      </c>
      <c r="D172" s="367">
        <f t="shared" si="87"/>
        <v>270</v>
      </c>
      <c r="E172" s="367">
        <f t="shared" si="87"/>
        <v>270</v>
      </c>
      <c r="F172" s="367">
        <f t="shared" si="87"/>
        <v>269</v>
      </c>
      <c r="G172" s="367">
        <f t="shared" si="87"/>
        <v>269</v>
      </c>
      <c r="H172" s="367">
        <f t="shared" si="87"/>
        <v>224</v>
      </c>
      <c r="I172" s="367">
        <f t="shared" si="87"/>
        <v>229</v>
      </c>
      <c r="J172" s="367">
        <f t="shared" si="87"/>
        <v>229</v>
      </c>
      <c r="K172" s="367">
        <f t="shared" si="87"/>
        <v>229</v>
      </c>
      <c r="L172" s="367">
        <f t="shared" si="87"/>
        <v>178</v>
      </c>
      <c r="M172" s="367">
        <f t="shared" si="87"/>
        <v>178</v>
      </c>
      <c r="N172" s="367">
        <f t="shared" si="87"/>
        <v>178</v>
      </c>
      <c r="O172" s="367">
        <f t="shared" si="87"/>
        <v>178</v>
      </c>
      <c r="P172" s="367">
        <f t="shared" si="87"/>
        <v>178</v>
      </c>
      <c r="Q172" s="367">
        <f t="shared" si="87"/>
        <v>178</v>
      </c>
      <c r="R172" s="367">
        <f t="shared" si="87"/>
        <v>178</v>
      </c>
      <c r="S172" s="367">
        <f t="shared" si="87"/>
        <v>178</v>
      </c>
      <c r="T172" s="367">
        <f t="shared" si="87"/>
        <v>118</v>
      </c>
      <c r="U172" s="367">
        <f t="shared" si="87"/>
        <v>118</v>
      </c>
      <c r="V172" s="367">
        <f t="shared" si="87"/>
        <v>184</v>
      </c>
      <c r="W172" s="367">
        <f t="shared" si="87"/>
        <v>189</v>
      </c>
      <c r="X172" s="367">
        <f t="shared" si="87"/>
        <v>209</v>
      </c>
      <c r="Y172" s="368">
        <f t="shared" si="87"/>
        <v>209</v>
      </c>
      <c r="Z172" s="295"/>
    </row>
    <row r="173" spans="1:27" hidden="1" x14ac:dyDescent="0.25">
      <c r="A173" s="337" t="s">
        <v>199</v>
      </c>
      <c r="B173" s="299" t="e">
        <f ca="1">B23+B24+#REF!</f>
        <v>#REF!</v>
      </c>
      <c r="C173" s="299" t="e">
        <f>C23+C24+#REF!</f>
        <v>#REF!</v>
      </c>
      <c r="D173" s="299" t="e">
        <f>D23+D24+#REF!</f>
        <v>#REF!</v>
      </c>
      <c r="E173" s="299" t="e">
        <f>E23+E24+#REF!</f>
        <v>#REF!</v>
      </c>
      <c r="F173" s="299" t="e">
        <f>F23+F24+#REF!</f>
        <v>#REF!</v>
      </c>
      <c r="G173" s="299" t="e">
        <f>G23+G24+#REF!</f>
        <v>#REF!</v>
      </c>
      <c r="H173" s="299" t="e">
        <f>H23+H24+#REF!</f>
        <v>#REF!</v>
      </c>
      <c r="I173" s="299" t="e">
        <f>I23+I24+#REF!</f>
        <v>#REF!</v>
      </c>
      <c r="J173" s="299" t="e">
        <f>J23+J24+#REF!</f>
        <v>#REF!</v>
      </c>
      <c r="K173" s="299" t="e">
        <f>K23+K24+#REF!</f>
        <v>#REF!</v>
      </c>
      <c r="L173" s="299" t="e">
        <f>L23+L24+#REF!</f>
        <v>#REF!</v>
      </c>
      <c r="M173" s="299" t="e">
        <f>M23+M24+#REF!</f>
        <v>#REF!</v>
      </c>
      <c r="N173" s="299" t="e">
        <f>N23+N24+#REF!</f>
        <v>#REF!</v>
      </c>
      <c r="O173" s="299" t="e">
        <f>O23+O24+#REF!</f>
        <v>#REF!</v>
      </c>
      <c r="P173" s="299" t="e">
        <f>P23+P24+#REF!</f>
        <v>#REF!</v>
      </c>
      <c r="Q173" s="299" t="e">
        <f>Q23+Q24+#REF!</f>
        <v>#REF!</v>
      </c>
      <c r="R173" s="299" t="e">
        <f>R23+R24+#REF!</f>
        <v>#REF!</v>
      </c>
      <c r="S173" s="299" t="e">
        <f>S23+S24+#REF!</f>
        <v>#REF!</v>
      </c>
      <c r="T173" s="299" t="e">
        <f>T23+T24+#REF!</f>
        <v>#REF!</v>
      </c>
      <c r="U173" s="299" t="e">
        <f>U23+U24+#REF!</f>
        <v>#REF!</v>
      </c>
      <c r="V173" s="299" t="e">
        <f>V23+V24+#REF!</f>
        <v>#REF!</v>
      </c>
      <c r="W173" s="299" t="e">
        <f>W23+W24+#REF!</f>
        <v>#REF!</v>
      </c>
      <c r="X173" s="299" t="e">
        <f>X23+X24+#REF!</f>
        <v>#REF!</v>
      </c>
      <c r="Y173" s="342" t="e">
        <f>Y23+Y24+#REF!</f>
        <v>#REF!</v>
      </c>
      <c r="Z173" s="297"/>
    </row>
    <row r="174" spans="1:27" x14ac:dyDescent="0.25">
      <c r="B174" s="299"/>
      <c r="C174" s="300"/>
      <c r="D174" s="300"/>
      <c r="E174" s="300"/>
      <c r="F174" s="300"/>
      <c r="G174" s="300"/>
      <c r="H174" s="300"/>
      <c r="I174" s="300"/>
      <c r="J174" s="300"/>
      <c r="K174" s="300"/>
      <c r="L174" s="300"/>
      <c r="M174" s="300"/>
      <c r="N174" s="300"/>
      <c r="O174" s="300"/>
      <c r="P174" s="300"/>
      <c r="Q174" s="300"/>
      <c r="R174" s="300"/>
      <c r="S174" s="300"/>
      <c r="T174" s="300"/>
      <c r="U174" s="300"/>
      <c r="V174" s="300"/>
      <c r="W174" s="300"/>
      <c r="X174" s="300"/>
      <c r="Y174" s="300"/>
      <c r="Z174" s="295"/>
    </row>
    <row r="175" spans="1:27" x14ac:dyDescent="0.25">
      <c r="B175" s="301" t="s">
        <v>200</v>
      </c>
      <c r="C175" s="302"/>
      <c r="D175" s="302"/>
      <c r="E175" s="302"/>
      <c r="F175" s="302"/>
      <c r="G175" s="303"/>
      <c r="H175" s="334" t="s">
        <v>201</v>
      </c>
      <c r="I175" s="335"/>
      <c r="J175" s="335"/>
      <c r="K175" s="336" t="e">
        <f ca="1">Z88</f>
        <v>#REF!</v>
      </c>
      <c r="L175" s="304"/>
      <c r="M175" s="304"/>
      <c r="N175" s="304"/>
      <c r="O175" s="304"/>
      <c r="P175" s="305"/>
      <c r="AA175"/>
    </row>
    <row r="176" spans="1:27" x14ac:dyDescent="0.25">
      <c r="B176" s="290" t="s">
        <v>202</v>
      </c>
      <c r="C176" s="177"/>
      <c r="D176" s="177"/>
      <c r="E176" s="177"/>
      <c r="F176" s="177"/>
      <c r="G176" s="177"/>
      <c r="H176" s="346" t="s">
        <v>203</v>
      </c>
      <c r="I176" s="347"/>
      <c r="J176" s="347"/>
      <c r="K176" s="348">
        <v>524</v>
      </c>
      <c r="L176" s="177" t="s">
        <v>204</v>
      </c>
      <c r="M176" s="177"/>
      <c r="N176" s="177"/>
      <c r="O176" s="177"/>
      <c r="P176" s="289"/>
    </row>
    <row r="177" spans="2:26" x14ac:dyDescent="0.25">
      <c r="B177" s="290" t="s">
        <v>205</v>
      </c>
      <c r="C177" s="177"/>
      <c r="D177" s="177"/>
      <c r="E177" s="177"/>
      <c r="F177" s="177"/>
      <c r="G177" s="177"/>
      <c r="H177" s="177"/>
      <c r="I177" s="177"/>
      <c r="J177" s="177"/>
      <c r="K177" s="177"/>
      <c r="L177" s="177"/>
      <c r="M177" s="177"/>
      <c r="N177" s="177"/>
      <c r="O177" s="177"/>
      <c r="P177" s="289"/>
    </row>
    <row r="178" spans="2:26" x14ac:dyDescent="0.25">
      <c r="B178" s="290" t="s">
        <v>206</v>
      </c>
      <c r="C178" s="177"/>
      <c r="D178" s="177"/>
      <c r="E178" s="177"/>
      <c r="F178" s="177"/>
      <c r="G178" s="177"/>
      <c r="H178" s="177"/>
      <c r="I178" s="177"/>
      <c r="J178" s="177"/>
      <c r="K178" s="177"/>
      <c r="L178" s="177"/>
      <c r="M178" s="177"/>
      <c r="N178" s="177"/>
      <c r="O178" s="177"/>
      <c r="P178" s="289"/>
    </row>
    <row r="179" spans="2:26" x14ac:dyDescent="0.25">
      <c r="B179" s="290" t="s">
        <v>207</v>
      </c>
      <c r="C179" s="177"/>
      <c r="D179" s="177"/>
      <c r="E179" s="177"/>
      <c r="F179" s="177"/>
      <c r="G179" s="177"/>
      <c r="H179" s="177"/>
      <c r="I179" s="177"/>
      <c r="J179" s="177"/>
      <c r="K179" s="177"/>
      <c r="L179" s="177"/>
      <c r="M179" s="177"/>
      <c r="N179" s="177"/>
      <c r="O179" s="177"/>
      <c r="P179" s="289"/>
    </row>
    <row r="180" spans="2:26" x14ac:dyDescent="0.25">
      <c r="B180" s="369" t="s">
        <v>208</v>
      </c>
      <c r="C180" s="177"/>
      <c r="D180" s="177"/>
      <c r="E180" s="177"/>
      <c r="F180" s="177"/>
      <c r="G180" s="177"/>
      <c r="H180" s="177"/>
      <c r="I180" s="177"/>
      <c r="J180" s="177"/>
      <c r="K180" s="177"/>
      <c r="L180" s="177"/>
      <c r="M180" s="177"/>
      <c r="N180" s="177"/>
      <c r="O180" s="177"/>
      <c r="P180" s="289"/>
    </row>
    <row r="181" spans="2:26" x14ac:dyDescent="0.25">
      <c r="B181" s="306" t="s">
        <v>209</v>
      </c>
      <c r="C181" s="307"/>
      <c r="D181" s="177"/>
      <c r="E181" s="177"/>
      <c r="F181" s="177"/>
      <c r="G181" s="177"/>
      <c r="H181" s="177"/>
      <c r="I181" s="177"/>
      <c r="J181" s="177"/>
      <c r="K181" s="177"/>
      <c r="L181" s="177"/>
      <c r="M181" s="177"/>
      <c r="N181" s="177"/>
      <c r="O181" s="177"/>
      <c r="P181" s="289"/>
    </row>
    <row r="182" spans="2:26" x14ac:dyDescent="0.25">
      <c r="B182" s="370" t="s">
        <v>210</v>
      </c>
      <c r="C182" s="177"/>
      <c r="D182" s="177"/>
      <c r="E182" s="177"/>
      <c r="F182" s="177"/>
      <c r="G182" s="177"/>
      <c r="H182" s="177"/>
      <c r="I182" s="177"/>
      <c r="J182" s="177"/>
      <c r="K182" s="177"/>
      <c r="L182" s="177"/>
      <c r="M182" s="177"/>
      <c r="N182" s="177"/>
      <c r="O182" s="177"/>
      <c r="P182" s="289"/>
    </row>
    <row r="183" spans="2:26" x14ac:dyDescent="0.25">
      <c r="B183" s="371" t="s">
        <v>211</v>
      </c>
      <c r="C183" s="177"/>
      <c r="D183" s="177"/>
      <c r="E183" s="177"/>
      <c r="F183" s="177"/>
      <c r="G183" s="177"/>
      <c r="H183" s="177"/>
      <c r="I183" s="177"/>
      <c r="J183" s="177"/>
      <c r="K183" s="177"/>
      <c r="L183" s="177"/>
      <c r="M183" s="177"/>
      <c r="N183" s="177"/>
      <c r="O183" s="177"/>
      <c r="P183" s="289"/>
    </row>
    <row r="184" spans="2:26" x14ac:dyDescent="0.25">
      <c r="B184" s="291"/>
      <c r="C184" s="292"/>
      <c r="D184" s="292"/>
      <c r="E184" s="292"/>
      <c r="F184" s="292"/>
      <c r="G184" s="292"/>
      <c r="H184" s="292"/>
      <c r="I184" s="292"/>
      <c r="J184" s="292"/>
      <c r="K184" s="292"/>
      <c r="L184" s="292"/>
      <c r="M184" s="292"/>
      <c r="N184" s="292"/>
      <c r="O184" s="292"/>
      <c r="P184" s="293"/>
    </row>
    <row r="185" spans="2:26" x14ac:dyDescent="0.25">
      <c r="B185" s="343"/>
      <c r="C185" s="343"/>
      <c r="D185" s="343"/>
      <c r="E185" s="343"/>
      <c r="F185" s="343"/>
      <c r="G185" s="343"/>
      <c r="H185" s="343"/>
      <c r="I185" s="343"/>
      <c r="J185" s="343"/>
      <c r="K185" s="343"/>
      <c r="L185" s="343"/>
      <c r="M185" s="343"/>
      <c r="N185" s="343"/>
      <c r="O185" s="343"/>
      <c r="P185" s="343"/>
      <c r="Q185" s="343"/>
      <c r="R185" s="343"/>
      <c r="S185" s="343"/>
      <c r="T185" s="343"/>
      <c r="U185" s="343"/>
      <c r="V185" s="343"/>
      <c r="W185" s="343"/>
      <c r="X185" s="343"/>
      <c r="Y185" s="343"/>
      <c r="Z185" s="343"/>
    </row>
    <row r="198" spans="1:25" x14ac:dyDescent="0.25">
      <c r="A198" s="561"/>
      <c r="B198" s="295"/>
      <c r="C198" s="295"/>
      <c r="D198" s="295"/>
      <c r="E198" s="295"/>
      <c r="F198" s="295"/>
      <c r="G198" s="295"/>
      <c r="H198" s="295"/>
      <c r="I198" s="295"/>
      <c r="J198" s="295"/>
      <c r="K198" s="295"/>
      <c r="L198" s="295"/>
      <c r="M198" s="295"/>
      <c r="N198" s="295"/>
      <c r="O198" s="295"/>
      <c r="P198" s="295"/>
      <c r="Q198" s="295"/>
      <c r="R198" s="295"/>
      <c r="S198" s="295"/>
      <c r="T198" s="295"/>
      <c r="U198" s="295"/>
      <c r="V198" s="295"/>
      <c r="W198" s="295"/>
      <c r="X198" s="295"/>
      <c r="Y198" s="295"/>
    </row>
    <row r="199" spans="1:25" x14ac:dyDescent="0.25">
      <c r="A199" s="561"/>
    </row>
    <row r="200" spans="1:25" x14ac:dyDescent="0.25">
      <c r="A200" s="561"/>
    </row>
    <row r="222" spans="5:5" x14ac:dyDescent="0.25">
      <c r="E222" s="372"/>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D16" sqref="D16"/>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55"/>
      <c r="C1" s="2" t="str">
        <f xml:space="preserve"> "MUST be updated DAILY"</f>
        <v>MUST be updated DAILY</v>
      </c>
    </row>
    <row r="2" spans="1:8" x14ac:dyDescent="0.25">
      <c r="B2" s="256"/>
      <c r="C2" s="2" t="str">
        <f xml:space="preserve"> "MAY be updated DAILY"</f>
        <v>MAY be updated DAILY</v>
      </c>
    </row>
    <row r="3" spans="1:8" x14ac:dyDescent="0.25">
      <c r="B3" s="257"/>
      <c r="C3" s="2" t="str">
        <f xml:space="preserve"> "MUST be updated MONTHLY"</f>
        <v>MUST be updated MONTHLY</v>
      </c>
    </row>
    <row r="5" spans="1:8" x14ac:dyDescent="0.25">
      <c r="A5" s="1" t="s">
        <v>76</v>
      </c>
      <c r="E5" s="1" t="s">
        <v>77</v>
      </c>
    </row>
    <row r="6" spans="1:8" x14ac:dyDescent="0.25">
      <c r="A6" s="2" t="s">
        <v>78</v>
      </c>
      <c r="C6" s="258">
        <v>1.4550000000000001</v>
      </c>
      <c r="E6" s="2" t="s">
        <v>79</v>
      </c>
      <c r="G6" s="258">
        <v>1.5149999999999999</v>
      </c>
    </row>
    <row r="7" spans="1:8" x14ac:dyDescent="0.25">
      <c r="A7" s="2" t="s">
        <v>80</v>
      </c>
      <c r="C7" s="259">
        <f>J49</f>
        <v>2.09</v>
      </c>
      <c r="E7" s="2" t="s">
        <v>81</v>
      </c>
      <c r="G7" s="259">
        <f>K49</f>
        <v>1.96</v>
      </c>
    </row>
    <row r="8" spans="1:8" x14ac:dyDescent="0.25">
      <c r="A8" s="2" t="s">
        <v>82</v>
      </c>
      <c r="C8" s="259">
        <f>J49</f>
        <v>2.09</v>
      </c>
    </row>
    <row r="10" spans="1:8" x14ac:dyDescent="0.25">
      <c r="A10" s="2" t="s">
        <v>83</v>
      </c>
      <c r="C10" s="3"/>
      <c r="D10" s="3"/>
      <c r="E10" s="3"/>
      <c r="F10" s="3" t="s">
        <v>84</v>
      </c>
      <c r="G10" s="3" t="s">
        <v>85</v>
      </c>
    </row>
    <row r="11" spans="1:8" x14ac:dyDescent="0.25">
      <c r="C11" s="6" t="s">
        <v>86</v>
      </c>
      <c r="D11" s="6" t="s">
        <v>87</v>
      </c>
      <c r="E11" s="6" t="s">
        <v>88</v>
      </c>
      <c r="F11" s="6" t="s">
        <v>89</v>
      </c>
      <c r="G11" s="6" t="s">
        <v>90</v>
      </c>
    </row>
    <row r="12" spans="1:8" x14ac:dyDescent="0.25">
      <c r="B12" s="260" t="s">
        <v>57</v>
      </c>
      <c r="C12" s="261">
        <v>1</v>
      </c>
      <c r="D12" s="261">
        <v>0</v>
      </c>
      <c r="E12" s="32">
        <f ca="1">-INDEX(Economics!$A$34:$D$45,MATCH(B12,Economics!$A$34:$A$45,0),4)/F12</f>
        <v>0</v>
      </c>
      <c r="F12" s="33">
        <f>(D12*$C$6)+(C12*$C$7)</f>
        <v>2.09</v>
      </c>
      <c r="G12" s="32">
        <f ca="1">E12*F12</f>
        <v>0</v>
      </c>
      <c r="H12" s="33"/>
    </row>
    <row r="13" spans="1:8" x14ac:dyDescent="0.25">
      <c r="B13" s="260" t="s">
        <v>56</v>
      </c>
      <c r="C13" s="261">
        <v>1</v>
      </c>
      <c r="D13" s="261">
        <v>0</v>
      </c>
      <c r="E13" s="32">
        <f ca="1">-INDEX(Economics!$A$34:$D$45,MATCH(Fuel!B13,Economics!$A$34:$A$45,0),4)/Fuel!F13</f>
        <v>8096.5413800837323</v>
      </c>
      <c r="F13" s="33">
        <f>(D13*$C$6)+(C13*$C$7)</f>
        <v>2.09</v>
      </c>
      <c r="G13" s="32">
        <f ca="1">E13*F13</f>
        <v>16921.771484375</v>
      </c>
      <c r="H13" s="33"/>
    </row>
    <row r="14" spans="1:8" x14ac:dyDescent="0.25">
      <c r="B14" s="260" t="s">
        <v>55</v>
      </c>
      <c r="C14" s="261">
        <v>1</v>
      </c>
      <c r="D14" s="261">
        <v>0</v>
      </c>
      <c r="E14" s="32">
        <f ca="1">-INDEX(Economics!$A$34:$D$45,MATCH(Fuel!B14,Economics!$A$34:$A$45,0),4)/Fuel!F14</f>
        <v>0</v>
      </c>
      <c r="F14" s="33">
        <f>(D14*$C$6)+(C14*$C$7)</f>
        <v>2.09</v>
      </c>
      <c r="G14" s="32">
        <f ca="1">E14*F14</f>
        <v>0</v>
      </c>
      <c r="H14" s="33"/>
    </row>
    <row r="15" spans="1:8" x14ac:dyDescent="0.25">
      <c r="B15" s="262" t="s">
        <v>18</v>
      </c>
      <c r="E15" s="34">
        <f ca="1">SUM(E12:E14)</f>
        <v>8096.5413800837323</v>
      </c>
      <c r="F15" s="35"/>
      <c r="G15" s="34">
        <f ca="1">SUM(G12:G14)</f>
        <v>16921.771484375</v>
      </c>
      <c r="H15" s="33"/>
    </row>
    <row r="16" spans="1:8" x14ac:dyDescent="0.25">
      <c r="E16" s="32"/>
      <c r="F16" s="33"/>
      <c r="G16" s="33"/>
      <c r="H16" s="33"/>
    </row>
    <row r="17" spans="1:12" x14ac:dyDescent="0.25">
      <c r="A17" s="2" t="s">
        <v>91</v>
      </c>
      <c r="F17" s="33"/>
      <c r="G17" s="33"/>
      <c r="H17" s="33"/>
    </row>
    <row r="18" spans="1:12" x14ac:dyDescent="0.25">
      <c r="B18" s="2" t="s">
        <v>54</v>
      </c>
      <c r="C18" s="261">
        <v>1</v>
      </c>
      <c r="D18" s="261">
        <v>0</v>
      </c>
      <c r="E18" s="32">
        <f ca="1">-INDEX(Economics!$A$34:$D$45,MATCH(Fuel!B18,Economics!$A$34:$A$45,0),4)/Fuel!F18</f>
        <v>0</v>
      </c>
      <c r="F18" s="35">
        <f>C18*G7+D18*G6</f>
        <v>1.96</v>
      </c>
      <c r="G18" s="34">
        <f ca="1">F18*E18</f>
        <v>0</v>
      </c>
    </row>
    <row r="19" spans="1:12" x14ac:dyDescent="0.25">
      <c r="C19" s="36"/>
      <c r="D19" s="36"/>
      <c r="E19" s="32"/>
      <c r="F19" s="33"/>
      <c r="G19" s="32"/>
    </row>
    <row r="20" spans="1:12" x14ac:dyDescent="0.25">
      <c r="I20" s="263" t="s">
        <v>92</v>
      </c>
      <c r="J20" s="264"/>
      <c r="K20" s="264"/>
      <c r="L20" s="265"/>
    </row>
    <row r="21" spans="1:12" x14ac:dyDescent="0.25">
      <c r="A21" s="2" t="s">
        <v>93</v>
      </c>
      <c r="E21" s="32"/>
      <c r="F21" s="33"/>
      <c r="I21" s="266" t="s">
        <v>94</v>
      </c>
      <c r="J21" s="267" t="s">
        <v>95</v>
      </c>
      <c r="K21" s="267"/>
      <c r="L21" s="268"/>
    </row>
    <row r="22" spans="1:12" x14ac:dyDescent="0.25">
      <c r="B22" s="260" t="s">
        <v>53</v>
      </c>
      <c r="C22" s="261">
        <v>1</v>
      </c>
      <c r="D22" s="261">
        <v>0</v>
      </c>
      <c r="E22" s="32">
        <f ca="1">-INDEX(Economics!$A$34:$D$45,MATCH(Fuel!B22,Economics!$A$34:$A$45,0),4)/Fuel!F22</f>
        <v>37223.074776785717</v>
      </c>
      <c r="F22" s="33">
        <f>IF($I$22=1,C22*$C$8,C22*$G$7)+IF($J$22=1,D22*$C$6,D22*$G$6)</f>
        <v>1.96</v>
      </c>
      <c r="G22" s="32">
        <f t="shared" ref="G22:G29" ca="1" si="0">F22*E22</f>
        <v>72957.2265625</v>
      </c>
      <c r="I22" s="269">
        <f>IF(C8&lt;G7,1,0)</f>
        <v>0</v>
      </c>
      <c r="J22" s="269">
        <f>IF(C6&lt;G6,1,0)</f>
        <v>1</v>
      </c>
      <c r="K22" s="270"/>
      <c r="L22" s="271"/>
    </row>
    <row r="23" spans="1:12" x14ac:dyDescent="0.25">
      <c r="B23" s="260" t="s">
        <v>51</v>
      </c>
      <c r="C23" s="261">
        <v>1</v>
      </c>
      <c r="D23" s="261">
        <v>0</v>
      </c>
      <c r="E23" s="32">
        <f ca="1">-INDEX(Economics!$A$34:$D$45,MATCH(Fuel!B23,Economics!$A$34:$A$45,0),4)/Fuel!F23</f>
        <v>0</v>
      </c>
      <c r="F23" s="33">
        <f t="shared" ref="F23:F29" si="1">IF($I$22=1,C23*$C$8,C23*$G$7)+IF($J$22=1,D23*$C$6,D23*$G$6)</f>
        <v>1.96</v>
      </c>
      <c r="G23" s="32">
        <f t="shared" ca="1" si="0"/>
        <v>0</v>
      </c>
      <c r="I23" s="37"/>
      <c r="J23" s="37"/>
      <c r="K23" s="37"/>
    </row>
    <row r="24" spans="1:12" x14ac:dyDescent="0.25">
      <c r="B24" s="260" t="s">
        <v>52</v>
      </c>
      <c r="C24" s="261">
        <v>1</v>
      </c>
      <c r="D24" s="261">
        <v>0</v>
      </c>
      <c r="E24" s="32">
        <f ca="1">-INDEX(Economics!$A$34:$D$45,MATCH(Fuel!B24,Economics!$A$34:$A$45,0),4)/Fuel!F24</f>
        <v>0</v>
      </c>
      <c r="F24" s="33">
        <f t="shared" si="1"/>
        <v>1.96</v>
      </c>
      <c r="G24" s="32">
        <f t="shared" ca="1" si="0"/>
        <v>0</v>
      </c>
      <c r="I24" s="31"/>
      <c r="J24" s="31"/>
      <c r="K24" s="31"/>
    </row>
    <row r="25" spans="1:12" x14ac:dyDescent="0.25">
      <c r="B25" s="260" t="s">
        <v>48</v>
      </c>
      <c r="C25" s="261">
        <v>1</v>
      </c>
      <c r="D25" s="261">
        <v>0</v>
      </c>
      <c r="E25" s="32">
        <f ca="1">-INDEX(Economics!$A$34:$D$45,MATCH(Fuel!B25,Economics!$A$34:$A$45,0),4)/Fuel!F25</f>
        <v>0</v>
      </c>
      <c r="F25" s="33">
        <f t="shared" si="1"/>
        <v>1.96</v>
      </c>
      <c r="G25" s="32">
        <f t="shared" ca="1" si="0"/>
        <v>0</v>
      </c>
      <c r="I25" s="31"/>
      <c r="J25" s="31"/>
      <c r="K25" s="31"/>
    </row>
    <row r="26" spans="1:12" x14ac:dyDescent="0.25">
      <c r="B26" s="260" t="s">
        <v>47</v>
      </c>
      <c r="C26" s="261">
        <v>1</v>
      </c>
      <c r="D26" s="261">
        <v>0</v>
      </c>
      <c r="E26" s="32">
        <f ca="1">-INDEX(Economics!$A$34:$D$45,MATCH(Fuel!B26,Economics!$A$34:$A$45,0),4)/Fuel!F26</f>
        <v>10930.514588647959</v>
      </c>
      <c r="F26" s="33">
        <f t="shared" si="1"/>
        <v>1.96</v>
      </c>
      <c r="G26" s="32">
        <f t="shared" ca="1" si="0"/>
        <v>21423.80859375</v>
      </c>
      <c r="I26" s="31"/>
      <c r="J26" s="31"/>
      <c r="K26" s="31"/>
    </row>
    <row r="27" spans="1:12" x14ac:dyDescent="0.25">
      <c r="B27" s="272" t="s">
        <v>46</v>
      </c>
      <c r="C27" s="261">
        <v>1</v>
      </c>
      <c r="D27" s="261">
        <v>0</v>
      </c>
      <c r="E27" s="32">
        <f ca="1">-INDEX(Economics!$A$34:$D$45,MATCH(Fuel!B27,Economics!$A$34:$A$45,0),4)/Fuel!F27</f>
        <v>10310.138313137755</v>
      </c>
      <c r="F27" s="33">
        <f t="shared" si="1"/>
        <v>1.96</v>
      </c>
      <c r="G27" s="32">
        <f t="shared" ca="1" si="0"/>
        <v>20207.87109375</v>
      </c>
      <c r="I27" s="31"/>
      <c r="J27" s="31"/>
      <c r="K27" s="31"/>
    </row>
    <row r="28" spans="1:12" x14ac:dyDescent="0.25">
      <c r="B28" s="260" t="s">
        <v>49</v>
      </c>
      <c r="C28" s="261">
        <v>1</v>
      </c>
      <c r="D28" s="261">
        <v>0</v>
      </c>
      <c r="E28" s="32">
        <f ca="1">-INDEX(Economics!$A$34:$D$45,MATCH(Fuel!B28,Economics!$A$34:$A$45,0),4)/Fuel!F28</f>
        <v>0</v>
      </c>
      <c r="F28" s="33">
        <f t="shared" si="1"/>
        <v>1.96</v>
      </c>
      <c r="G28" s="32">
        <f t="shared" ca="1" si="0"/>
        <v>0</v>
      </c>
      <c r="I28" s="31"/>
      <c r="J28" s="31"/>
      <c r="K28" s="31"/>
    </row>
    <row r="29" spans="1:12" x14ac:dyDescent="0.25">
      <c r="B29" s="260" t="s">
        <v>50</v>
      </c>
      <c r="C29" s="261">
        <v>1</v>
      </c>
      <c r="D29" s="261">
        <v>0</v>
      </c>
      <c r="E29" s="32">
        <f ca="1">-INDEX(Economics!$A$34:$D$45,MATCH(Fuel!B29,Economics!$A$34:$A$45,0),4)/Fuel!F29</f>
        <v>0</v>
      </c>
      <c r="F29" s="33">
        <f t="shared" si="1"/>
        <v>1.96</v>
      </c>
      <c r="G29" s="32">
        <f t="shared" ca="1" si="0"/>
        <v>0</v>
      </c>
      <c r="I29" s="31"/>
      <c r="J29" s="31"/>
      <c r="K29" s="31"/>
    </row>
    <row r="30" spans="1:12" x14ac:dyDescent="0.25">
      <c r="B30" s="262"/>
      <c r="C30" s="36"/>
      <c r="D30" s="36"/>
      <c r="E30" s="34">
        <f ca="1">SUM(E22:E29)</f>
        <v>58463.727678571435</v>
      </c>
      <c r="F30" s="35"/>
      <c r="G30" s="34">
        <f ca="1">SUM(G22:G29)</f>
        <v>114588.90625</v>
      </c>
      <c r="I30" s="31"/>
      <c r="J30" s="31"/>
      <c r="K30" s="31"/>
    </row>
    <row r="31" spans="1:12" x14ac:dyDescent="0.25">
      <c r="B31" s="262"/>
      <c r="I31" s="31"/>
      <c r="J31" s="31"/>
      <c r="K31" s="31"/>
    </row>
    <row r="32" spans="1:12" ht="13.8" thickBot="1" x14ac:dyDescent="0.3">
      <c r="B32" s="262" t="s">
        <v>18</v>
      </c>
      <c r="E32" s="7">
        <f ca="1">E15+E18+E30</f>
        <v>66560.269058655162</v>
      </c>
      <c r="F32" s="8"/>
      <c r="G32" s="7">
        <f ca="1">G15+G18+G30</f>
        <v>131510.677734375</v>
      </c>
    </row>
    <row r="33" spans="1:11" ht="13.8" thickTop="1" x14ac:dyDescent="0.25"/>
    <row r="34" spans="1:11" x14ac:dyDescent="0.25">
      <c r="A34" s="9" t="s">
        <v>96</v>
      </c>
      <c r="H34" s="4"/>
    </row>
    <row r="35" spans="1:11" ht="27.75" customHeight="1" x14ac:dyDescent="0.25">
      <c r="A35" s="273" t="s">
        <v>97</v>
      </c>
      <c r="H35" s="4"/>
    </row>
    <row r="36" spans="1:11" x14ac:dyDescent="0.25">
      <c r="A36" s="1" t="s">
        <v>98</v>
      </c>
    </row>
    <row r="37" spans="1:11" ht="39.75" customHeight="1" x14ac:dyDescent="0.25">
      <c r="A37" s="10" t="s">
        <v>99</v>
      </c>
      <c r="B37" s="11"/>
      <c r="C37" s="10" t="s">
        <v>100</v>
      </c>
      <c r="D37" s="11"/>
      <c r="E37" s="10" t="s">
        <v>8</v>
      </c>
      <c r="F37" s="11"/>
      <c r="G37" s="10" t="s">
        <v>101</v>
      </c>
      <c r="H37" s="10" t="s">
        <v>102</v>
      </c>
      <c r="I37" s="11"/>
      <c r="J37" s="10" t="s">
        <v>103</v>
      </c>
      <c r="K37" s="10" t="s">
        <v>104</v>
      </c>
    </row>
    <row r="38" spans="1:11" x14ac:dyDescent="0.25">
      <c r="A38" s="257" t="s">
        <v>105</v>
      </c>
      <c r="B38" s="262" t="s">
        <v>106</v>
      </c>
      <c r="C38" s="274">
        <v>2.09</v>
      </c>
      <c r="E38" s="275">
        <v>15000</v>
      </c>
      <c r="G38" s="275">
        <v>0</v>
      </c>
      <c r="H38" s="275">
        <v>15000</v>
      </c>
      <c r="J38" s="32">
        <f t="shared" ref="J38:J43" si="2">30*G38*C38</f>
        <v>0</v>
      </c>
      <c r="K38" s="32">
        <f t="shared" ref="K38:K43" si="3">30*H38*C38</f>
        <v>940499.99999999988</v>
      </c>
    </row>
    <row r="39" spans="1:11" x14ac:dyDescent="0.25">
      <c r="A39" s="257" t="s">
        <v>107</v>
      </c>
      <c r="B39" s="262" t="s">
        <v>108</v>
      </c>
      <c r="C39" s="345">
        <v>2.09</v>
      </c>
      <c r="E39" s="275">
        <v>10000</v>
      </c>
      <c r="G39" s="275">
        <v>10000</v>
      </c>
      <c r="H39" s="275">
        <v>0</v>
      </c>
      <c r="J39" s="32">
        <f t="shared" si="2"/>
        <v>627000</v>
      </c>
      <c r="K39" s="32">
        <f t="shared" si="3"/>
        <v>0</v>
      </c>
    </row>
    <row r="40" spans="1:11" x14ac:dyDescent="0.25">
      <c r="A40" s="257" t="s">
        <v>109</v>
      </c>
      <c r="B40" s="262" t="s">
        <v>110</v>
      </c>
      <c r="C40" s="274">
        <v>2.09</v>
      </c>
      <c r="E40" s="275">
        <v>15050</v>
      </c>
      <c r="G40" s="275">
        <v>15050</v>
      </c>
      <c r="H40" s="275">
        <v>0</v>
      </c>
      <c r="J40" s="32">
        <f t="shared" si="2"/>
        <v>943634.99999999988</v>
      </c>
      <c r="K40" s="32">
        <f t="shared" si="3"/>
        <v>0</v>
      </c>
    </row>
    <row r="41" spans="1:11" x14ac:dyDescent="0.25">
      <c r="A41" s="257" t="s">
        <v>69</v>
      </c>
      <c r="B41" s="262" t="s">
        <v>110</v>
      </c>
      <c r="C41" s="274">
        <v>2.09</v>
      </c>
      <c r="E41" s="275">
        <v>10000</v>
      </c>
      <c r="G41" s="275">
        <v>10000</v>
      </c>
      <c r="H41" s="275">
        <v>0</v>
      </c>
      <c r="J41" s="32">
        <f t="shared" si="2"/>
        <v>627000</v>
      </c>
      <c r="K41" s="32">
        <f t="shared" si="3"/>
        <v>0</v>
      </c>
    </row>
    <row r="42" spans="1:11" x14ac:dyDescent="0.25">
      <c r="A42" s="257" t="s">
        <v>111</v>
      </c>
      <c r="B42" s="262" t="s">
        <v>112</v>
      </c>
      <c r="C42" s="274">
        <v>1.96</v>
      </c>
      <c r="E42" s="275">
        <v>56100</v>
      </c>
      <c r="G42" s="276">
        <v>0</v>
      </c>
      <c r="H42" s="276">
        <v>56100</v>
      </c>
      <c r="I42" s="13"/>
      <c r="J42" s="12">
        <f t="shared" si="2"/>
        <v>0</v>
      </c>
      <c r="K42" s="12">
        <f t="shared" si="3"/>
        <v>3298680</v>
      </c>
    </row>
    <row r="43" spans="1:11" ht="15" x14ac:dyDescent="0.4">
      <c r="A43" s="257" t="s">
        <v>113</v>
      </c>
      <c r="B43" s="262" t="s">
        <v>114</v>
      </c>
      <c r="C43" s="274"/>
      <c r="E43" s="275">
        <v>0</v>
      </c>
      <c r="G43" s="277">
        <v>0</v>
      </c>
      <c r="H43" s="277">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78" t="s">
        <v>115</v>
      </c>
      <c r="J45" s="16">
        <f>J44/(G44*28)</f>
        <v>2.2392857142857143</v>
      </c>
      <c r="K45" s="17">
        <f>K44/(H44*28)</f>
        <v>2.129385171790235</v>
      </c>
    </row>
    <row r="46" spans="1:11" ht="18.75" customHeight="1" x14ac:dyDescent="0.25">
      <c r="H46" s="18" t="s">
        <v>116</v>
      </c>
      <c r="I46"/>
      <c r="J46" s="36">
        <v>0.05</v>
      </c>
      <c r="K46" s="36">
        <v>0</v>
      </c>
    </row>
    <row r="47" spans="1:11" x14ac:dyDescent="0.25">
      <c r="H47" s="2" t="s">
        <v>117</v>
      </c>
      <c r="J47" s="38">
        <v>2.1999999999999999E-2</v>
      </c>
      <c r="K47" s="38">
        <v>2.1999999999999999E-2</v>
      </c>
    </row>
    <row r="48" spans="1:11" ht="15" x14ac:dyDescent="0.4">
      <c r="H48" s="2" t="s">
        <v>118</v>
      </c>
      <c r="J48" s="19">
        <v>1.34E-2</v>
      </c>
      <c r="K48" s="19">
        <v>1.34E-2</v>
      </c>
    </row>
    <row r="49" spans="1:11" x14ac:dyDescent="0.25">
      <c r="H49" s="1" t="s">
        <v>119</v>
      </c>
      <c r="J49" s="20">
        <v>2.09</v>
      </c>
      <c r="K49" s="20">
        <v>1.96</v>
      </c>
    </row>
    <row r="50" spans="1:11" x14ac:dyDescent="0.25">
      <c r="J50" s="20">
        <f>J46*(1+J47)/(1-J48)+J49</f>
        <v>2.1417940401378468</v>
      </c>
    </row>
    <row r="51" spans="1:11" x14ac:dyDescent="0.25">
      <c r="A51" s="1" t="s">
        <v>120</v>
      </c>
    </row>
    <row r="52" spans="1:11" x14ac:dyDescent="0.25">
      <c r="A52" s="21"/>
      <c r="G52" s="22"/>
      <c r="H52" s="22"/>
    </row>
    <row r="53" spans="1:11" x14ac:dyDescent="0.25">
      <c r="A53" s="2" t="s">
        <v>121</v>
      </c>
      <c r="C53" s="23" t="s">
        <v>115</v>
      </c>
      <c r="E53" s="279">
        <v>2.1</v>
      </c>
      <c r="G53" s="24"/>
      <c r="H53" s="25"/>
    </row>
    <row r="54" spans="1:11" x14ac:dyDescent="0.25">
      <c r="C54" s="2" t="s">
        <v>116</v>
      </c>
      <c r="D54"/>
      <c r="E54" s="26">
        <v>2.5000000000000001E-2</v>
      </c>
    </row>
    <row r="55" spans="1:11" x14ac:dyDescent="0.25">
      <c r="C55" s="1" t="s">
        <v>119</v>
      </c>
      <c r="E55" s="20">
        <f>E53*(1+E54)</f>
        <v>2.1524999999999999</v>
      </c>
    </row>
  </sheetData>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I42" sqref="I42"/>
    </sheetView>
  </sheetViews>
  <sheetFormatPr defaultColWidth="9.109375" defaultRowHeight="11.4" x14ac:dyDescent="0.2"/>
  <cols>
    <col min="1" max="1" width="20.44140625" style="91" customWidth="1"/>
    <col min="2" max="2" width="15.109375" style="157" customWidth="1"/>
    <col min="3" max="3" width="10.44140625" style="157" customWidth="1"/>
    <col min="4" max="4" width="14" style="157" customWidth="1"/>
    <col min="5" max="5" width="8.33203125" style="91" customWidth="1"/>
    <col min="6" max="6" width="11.33203125" style="157" customWidth="1"/>
    <col min="7" max="7" width="7.88671875" style="157" customWidth="1"/>
    <col min="8" max="8" width="9.33203125" style="130" customWidth="1"/>
    <col min="9" max="9" width="7" style="130" customWidth="1"/>
    <col min="10" max="16384" width="9.109375" style="91"/>
  </cols>
  <sheetData>
    <row r="1" spans="1:9" s="126" customFormat="1" ht="39.75" customHeight="1" thickTop="1" x14ac:dyDescent="0.25">
      <c r="A1" s="121"/>
      <c r="B1" s="122" t="s">
        <v>19</v>
      </c>
      <c r="C1" s="122" t="s">
        <v>20</v>
      </c>
      <c r="D1" s="122" t="s">
        <v>18</v>
      </c>
      <c r="E1" s="123" t="s">
        <v>21</v>
      </c>
      <c r="F1" s="122" t="s">
        <v>22</v>
      </c>
      <c r="G1" s="124" t="s">
        <v>23</v>
      </c>
      <c r="H1" s="125"/>
      <c r="I1" s="125"/>
    </row>
    <row r="2" spans="1:9" ht="12" x14ac:dyDescent="0.25">
      <c r="A2" s="92" t="s">
        <v>24</v>
      </c>
      <c r="B2" s="127"/>
      <c r="C2" s="127"/>
      <c r="D2" s="127"/>
      <c r="E2" s="128"/>
      <c r="F2" s="127"/>
      <c r="G2" s="129"/>
    </row>
    <row r="3" spans="1:9" ht="12" x14ac:dyDescent="0.25">
      <c r="A3" s="94" t="s">
        <v>25</v>
      </c>
      <c r="B3" s="131">
        <f ca="1">(F3+0.7)*E3</f>
        <v>507336.3</v>
      </c>
      <c r="C3" s="131">
        <f ca="1">6.8*0.75*E3</f>
        <v>124995.9</v>
      </c>
      <c r="D3" s="131">
        <f ca="1">C3+B3</f>
        <v>632332.19999999995</v>
      </c>
      <c r="E3" s="132">
        <f ca="1">SUM(Preschedule!B59:Y59)</f>
        <v>24509</v>
      </c>
      <c r="F3" s="131">
        <v>20</v>
      </c>
      <c r="G3" s="133">
        <v>0</v>
      </c>
    </row>
    <row r="4" spans="1:9" x14ac:dyDescent="0.2">
      <c r="A4" s="95" t="s">
        <v>26</v>
      </c>
      <c r="B4" s="134"/>
      <c r="C4" s="134"/>
      <c r="D4" s="134"/>
      <c r="E4" s="128"/>
      <c r="F4" s="134"/>
      <c r="G4" s="93"/>
    </row>
    <row r="5" spans="1:9" ht="12" x14ac:dyDescent="0.25">
      <c r="A5" s="96" t="s">
        <v>27</v>
      </c>
      <c r="B5" s="135">
        <f t="array" aca="1" ref="B5" ca="1">SUM(IF((DelPoint= "4C")*(DType = "pre")*(OFFSET(DelPoint,0,3,ROWS(DelPoint),24)&lt;0),DPrice*OFFSET(DelPoint,0,3,ROWS(DelPoint),24),0))</f>
        <v>0</v>
      </c>
      <c r="C5" s="135"/>
      <c r="D5" s="135">
        <f ca="1">C5+B5</f>
        <v>0</v>
      </c>
      <c r="E5" s="136">
        <f ca="1">SUM(Preschedule!B8:Y8)</f>
        <v>0</v>
      </c>
      <c r="F5" s="135">
        <f ca="1">IF(E5=0,0,B5/E5)</f>
        <v>0</v>
      </c>
      <c r="G5" s="137">
        <f ca="1">IF(E5=0,0,D5/E5)</f>
        <v>0</v>
      </c>
    </row>
    <row r="6" spans="1:9" ht="12" x14ac:dyDescent="0.25">
      <c r="A6" s="96" t="s">
        <v>28</v>
      </c>
      <c r="B6" s="135">
        <f ca="1">Balancing!L29</f>
        <v>0</v>
      </c>
      <c r="C6" s="135"/>
      <c r="D6" s="135">
        <f ca="1">C6+B6</f>
        <v>0</v>
      </c>
      <c r="E6" s="136">
        <f ca="1">SUM(Preschedule!B9:Y9)</f>
        <v>0</v>
      </c>
      <c r="F6" s="135">
        <f t="shared" ref="F6:F13" ca="1" si="0">IF(E6=0,0,B6/E6)</f>
        <v>0</v>
      </c>
      <c r="G6" s="137">
        <f t="shared" ref="G6:G13" ca="1" si="1">IF(E6=0,0,D6/E6)</f>
        <v>0</v>
      </c>
    </row>
    <row r="7" spans="1:9" ht="12" x14ac:dyDescent="0.25">
      <c r="A7" s="96" t="s">
        <v>29</v>
      </c>
      <c r="B7" s="135" t="e">
        <f t="array" aca="1" ref="B7" ca="1">SUM(IF((DelPoint= "4C")*IF((DType = "firm")+(DType = "econ")&gt;0,1,0)*(OFFSET(DelPoint,0,3,ROWS(DelPoint),24)&lt;0),DPrice*OFFSET(DelPoint,0,3,ROWS(DelPoint),24),0))</f>
        <v>#N/A</v>
      </c>
      <c r="C7" s="135"/>
      <c r="D7" s="135" t="e">
        <f ca="1">C7+B7</f>
        <v>#N/A</v>
      </c>
      <c r="E7" s="136">
        <f ca="1">SUM(Preschedule!B10:Y10)</f>
        <v>-75</v>
      </c>
      <c r="F7" s="135" t="e">
        <f t="shared" ca="1" si="0"/>
        <v>#N/A</v>
      </c>
      <c r="G7" s="137" t="e">
        <f t="shared" ca="1" si="1"/>
        <v>#N/A</v>
      </c>
    </row>
    <row r="8" spans="1:9" ht="12" x14ac:dyDescent="0.25">
      <c r="A8" s="98" t="s">
        <v>30</v>
      </c>
      <c r="B8" s="138" t="e">
        <f t="array" aca="1" ref="B8" ca="1">SUM(IF((DelPoint= "PV")*(DType = "pre")*(OFFSET(DelPoint,0,3,ROWS(DelPoint),24)&lt;0),DPrice*OFFSET(DelPoint,0,3,ROWS(DelPoint),24),0))</f>
        <v>#N/A</v>
      </c>
      <c r="C8" s="138"/>
      <c r="D8" s="138" t="e">
        <f t="shared" ref="D8:D13" ca="1" si="2">C8+B8</f>
        <v>#N/A</v>
      </c>
      <c r="E8" s="139">
        <f ca="1">SUM(Preschedule!B11:Y11)</f>
        <v>-1</v>
      </c>
      <c r="F8" s="138" t="e">
        <f t="shared" ca="1" si="0"/>
        <v>#N/A</v>
      </c>
      <c r="G8" s="140" t="e">
        <f t="shared" ca="1" si="1"/>
        <v>#N/A</v>
      </c>
    </row>
    <row r="9" spans="1:9" ht="12" x14ac:dyDescent="0.25">
      <c r="A9" s="98" t="s">
        <v>31</v>
      </c>
      <c r="B9" s="138">
        <f ca="1">Balancing!D29</f>
        <v>0</v>
      </c>
      <c r="C9" s="138"/>
      <c r="D9" s="138">
        <f t="shared" ca="1" si="2"/>
        <v>0</v>
      </c>
      <c r="E9" s="139">
        <f>SUM(Preschedule!B12:Y12)</f>
        <v>0</v>
      </c>
      <c r="F9" s="138">
        <f t="shared" ca="1" si="0"/>
        <v>0</v>
      </c>
      <c r="G9" s="140">
        <f t="shared" ca="1" si="1"/>
        <v>0</v>
      </c>
    </row>
    <row r="10" spans="1:9" ht="12" x14ac:dyDescent="0.25">
      <c r="A10" s="98" t="s">
        <v>32</v>
      </c>
      <c r="B10" s="138" t="e">
        <f t="array" aca="1" ref="B10" ca="1">SUM(IF((DelPoint= "PV")*IF((DType = "firm")+(DType = "econ")&gt;0,1,0)*(OFFSET(DelPoint,0,3,ROWS(DelPoint),24)&lt;0),DPrice*OFFSET(DelPoint,0,3,ROWS(DelPoint),24),0))</f>
        <v>#N/A</v>
      </c>
      <c r="C10" s="138"/>
      <c r="D10" s="138" t="e">
        <f t="shared" ca="1" si="2"/>
        <v>#N/A</v>
      </c>
      <c r="E10" s="139">
        <f ca="1">SUM(Preschedule!B14:Y14)</f>
        <v>-80</v>
      </c>
      <c r="F10" s="138" t="e">
        <f t="shared" ca="1" si="0"/>
        <v>#N/A</v>
      </c>
      <c r="G10" s="140" t="e">
        <f t="shared" ca="1" si="1"/>
        <v>#N/A</v>
      </c>
    </row>
    <row r="11" spans="1:9" ht="12" x14ac:dyDescent="0.25">
      <c r="A11" s="97" t="s">
        <v>33</v>
      </c>
      <c r="B11" s="134">
        <f t="array" aca="1" ref="B11" ca="1">SUM(IF((DelPoint= "SPS")*(DType = "pre")*(OFFSET(DelPoint,0,3,ROWS(DelPoint),24)&lt;0),DPrice*OFFSET(DelPoint,0,3,ROWS(DelPoint),24),0))</f>
        <v>0</v>
      </c>
      <c r="C11" s="134"/>
      <c r="D11" s="134">
        <f t="shared" ca="1" si="2"/>
        <v>0</v>
      </c>
      <c r="E11" s="128">
        <f ca="1">SUM(Preschedule!B19:Y19)</f>
        <v>0</v>
      </c>
      <c r="F11" s="134">
        <f t="shared" ca="1" si="0"/>
        <v>0</v>
      </c>
      <c r="G11" s="93">
        <f t="shared" ca="1" si="1"/>
        <v>0</v>
      </c>
    </row>
    <row r="12" spans="1:9" ht="12" x14ac:dyDescent="0.25">
      <c r="A12" s="97" t="s">
        <v>270</v>
      </c>
      <c r="B12" s="134">
        <f>Balancing!H29</f>
        <v>0</v>
      </c>
      <c r="C12" s="134"/>
      <c r="D12" s="134">
        <f t="shared" si="2"/>
        <v>0</v>
      </c>
      <c r="E12" s="128">
        <f>SUM(Preschedule!B20:Y20)</f>
        <v>0</v>
      </c>
      <c r="F12" s="134">
        <f t="shared" si="0"/>
        <v>0</v>
      </c>
      <c r="G12" s="93">
        <f t="shared" si="1"/>
        <v>0</v>
      </c>
    </row>
    <row r="13" spans="1:9" ht="12" x14ac:dyDescent="0.25">
      <c r="A13" s="97" t="s">
        <v>275</v>
      </c>
      <c r="B13" s="134">
        <f t="array" aca="1" ref="B13" ca="1">SUM(IF((DelPoint= "SPS")*IF((DType = "firm")+(DType = "econ")&gt;0,1,0)*(OFFSET(DelPoint,0,3,ROWS(DelPoint),24)&lt;0),DPrice*OFFSET(DelPoint,0,3,ROWS(DelPoint),24),0))</f>
        <v>0</v>
      </c>
      <c r="C13" s="134"/>
      <c r="D13" s="134">
        <f t="shared" ca="1" si="2"/>
        <v>0</v>
      </c>
      <c r="E13" s="128">
        <f ca="1">SUM(Preschedule!B21:Y21)</f>
        <v>0</v>
      </c>
      <c r="F13" s="134">
        <f t="shared" ca="1" si="0"/>
        <v>0</v>
      </c>
      <c r="G13" s="93">
        <f t="shared" ca="1" si="1"/>
        <v>0</v>
      </c>
    </row>
    <row r="14" spans="1:9" ht="12" x14ac:dyDescent="0.25">
      <c r="A14" s="165"/>
      <c r="B14" s="141"/>
      <c r="C14" s="141"/>
      <c r="D14" s="141"/>
      <c r="E14" s="142"/>
      <c r="F14" s="141"/>
      <c r="G14" s="143"/>
    </row>
    <row r="15" spans="1:9" ht="12" x14ac:dyDescent="0.25">
      <c r="A15" s="97" t="s">
        <v>34</v>
      </c>
      <c r="B15" s="134"/>
      <c r="C15" s="134"/>
      <c r="D15" s="134"/>
      <c r="E15" s="128"/>
      <c r="F15" s="134"/>
      <c r="G15" s="93"/>
    </row>
    <row r="16" spans="1:9" x14ac:dyDescent="0.2">
      <c r="A16" s="95" t="s">
        <v>35</v>
      </c>
      <c r="B16" s="134"/>
      <c r="C16" s="134"/>
      <c r="D16" s="134"/>
      <c r="E16" s="128"/>
      <c r="F16" s="134"/>
      <c r="G16" s="93"/>
    </row>
    <row r="17" spans="1:9" ht="12" x14ac:dyDescent="0.25">
      <c r="A17" s="96" t="s">
        <v>27</v>
      </c>
      <c r="B17" s="135">
        <f t="array" aca="1" ref="B17" ca="1">SUM(IF((DelPoint= "4C")*(DType = "pre")*(OFFSET(DelPoint,0,3,ROWS(DelPoint),24)&gt;0),DPrice*OFFSET(DelPoint,0,3,ROWS(DelPoint),24),0))</f>
        <v>90908.7</v>
      </c>
      <c r="C17" s="135"/>
      <c r="D17" s="135">
        <f ca="1">C17+B17</f>
        <v>90908.7</v>
      </c>
      <c r="E17" s="136">
        <f ca="1">SUM(Preschedule!B26:Y26)</f>
        <v>720</v>
      </c>
      <c r="F17" s="135">
        <f ca="1">IF(E17=0,0,B17/E17)</f>
        <v>126.26208333333332</v>
      </c>
      <c r="G17" s="137">
        <f ca="1">IF(E17=0,0,D17/E17)</f>
        <v>126.26208333333332</v>
      </c>
    </row>
    <row r="18" spans="1:9" ht="12" x14ac:dyDescent="0.25">
      <c r="A18" s="96" t="s">
        <v>28</v>
      </c>
      <c r="B18" s="135">
        <f ca="1">Balancing!L30</f>
        <v>0</v>
      </c>
      <c r="C18" s="135"/>
      <c r="D18" s="135">
        <f ca="1">C18+B18</f>
        <v>0</v>
      </c>
      <c r="E18" s="136">
        <f ca="1">SUM(Preschedule!B27:Y27)</f>
        <v>0</v>
      </c>
      <c r="F18" s="135">
        <f t="shared" ref="F18:F25" ca="1" si="3">IF(E18=0,0,B18/E18)</f>
        <v>0</v>
      </c>
      <c r="G18" s="137">
        <f t="shared" ref="G18:G25" ca="1" si="4">IF(E18=0,0,D18/E18)</f>
        <v>0</v>
      </c>
    </row>
    <row r="19" spans="1:9" ht="12" x14ac:dyDescent="0.25">
      <c r="A19" s="96" t="s">
        <v>29</v>
      </c>
      <c r="B19" s="135" t="e">
        <f t="array" aca="1" ref="B19" ca="1">SUM(IF((DelPoint= "4C")*IF((DType = "firm")+(DType = "econ")&gt;0,1,0)*(OFFSET(DelPoint,0,3,ROWS(DelPoint),24)&gt;0),DPrice*OFFSET(DelPoint,0,3,ROWS(DelPoint),24),0))</f>
        <v>#N/A</v>
      </c>
      <c r="C19" s="135"/>
      <c r="D19" s="135" t="e">
        <f ca="1">C19+B19</f>
        <v>#N/A</v>
      </c>
      <c r="E19" s="136">
        <f ca="1">SUM(Preschedule!B28:Y28)</f>
        <v>318</v>
      </c>
      <c r="F19" s="135" t="e">
        <f t="shared" ca="1" si="3"/>
        <v>#N/A</v>
      </c>
      <c r="G19" s="137" t="e">
        <f t="shared" ca="1" si="4"/>
        <v>#N/A</v>
      </c>
    </row>
    <row r="20" spans="1:9" ht="12" x14ac:dyDescent="0.25">
      <c r="A20" s="98" t="s">
        <v>30</v>
      </c>
      <c r="B20" s="138">
        <f t="array" aca="1" ref="B20" ca="1">SUM(IF((DelPoint= "PV")*(DType = "pre")*(OFFSET(DelPoint,0,3,ROWS(DelPoint),24)&gt;0),DPrice*OFFSET(DelPoint,0,3,ROWS(DelPoint),24),0))</f>
        <v>176147.7</v>
      </c>
      <c r="C20" s="138"/>
      <c r="D20" s="138">
        <f t="shared" ref="D20:D25" ca="1" si="5">C20+B20</f>
        <v>176147.7</v>
      </c>
      <c r="E20" s="139">
        <f ca="1">SUM(Preschedule!B29:Y29)</f>
        <v>1490</v>
      </c>
      <c r="F20" s="138">
        <f t="shared" ca="1" si="3"/>
        <v>118.21993288590605</v>
      </c>
      <c r="G20" s="140">
        <f t="shared" ca="1" si="4"/>
        <v>118.21993288590605</v>
      </c>
    </row>
    <row r="21" spans="1:9" ht="12" x14ac:dyDescent="0.25">
      <c r="A21" s="98" t="s">
        <v>31</v>
      </c>
      <c r="B21" s="138">
        <f ca="1">Balancing!D30</f>
        <v>0</v>
      </c>
      <c r="C21" s="138"/>
      <c r="D21" s="138">
        <f t="shared" ca="1" si="5"/>
        <v>0</v>
      </c>
      <c r="E21" s="139">
        <f ca="1">SUM(Preschedule!B30:Y30)</f>
        <v>0</v>
      </c>
      <c r="F21" s="138">
        <f t="shared" ca="1" si="3"/>
        <v>0</v>
      </c>
      <c r="G21" s="140">
        <f t="shared" ca="1" si="4"/>
        <v>0</v>
      </c>
    </row>
    <row r="22" spans="1:9" ht="12" x14ac:dyDescent="0.25">
      <c r="A22" s="98" t="s">
        <v>32</v>
      </c>
      <c r="B22" s="138" t="e">
        <f t="array" aca="1" ref="B22" ca="1">SUM(IF((DelPoint= "PV")*IF((DType = "firm")+(DType = "econ")&gt;0,1,0)*(OFFSET(DelPoint,0,3,ROWS(DelPoint),24)&gt;0),DPrice*OFFSET(DelPoint,0,3,ROWS(DelPoint),24),0))</f>
        <v>#N/A</v>
      </c>
      <c r="C22" s="138"/>
      <c r="D22" s="138" t="e">
        <f t="shared" ca="1" si="5"/>
        <v>#N/A</v>
      </c>
      <c r="E22" s="139">
        <f ca="1">SUM(Preschedule!B31:Y31)</f>
        <v>1675</v>
      </c>
      <c r="F22" s="138" t="e">
        <f t="shared" ca="1" si="3"/>
        <v>#N/A</v>
      </c>
      <c r="G22" s="140" t="e">
        <f t="shared" ca="1" si="4"/>
        <v>#N/A</v>
      </c>
    </row>
    <row r="23" spans="1:9" ht="12" x14ac:dyDescent="0.25">
      <c r="A23" s="97" t="s">
        <v>277</v>
      </c>
      <c r="B23" s="134">
        <f t="array" aca="1" ref="B23" ca="1">SUM(IF((DelPoint= "artesia")*(DType = "pre")*(OFFSET(DelPoint,0,3,ROWS(DelPoint),24)&gt;0),DPrice*OFFSET(DelPoint,0,3,ROWS(DelPoint),24),0))</f>
        <v>0</v>
      </c>
      <c r="C23" s="134"/>
      <c r="D23" s="134">
        <f t="shared" ca="1" si="5"/>
        <v>0</v>
      </c>
      <c r="E23" s="128">
        <f ca="1">SUM(Preschedule!B35:Y35)</f>
        <v>0</v>
      </c>
      <c r="F23" s="134">
        <f t="shared" ca="1" si="3"/>
        <v>0</v>
      </c>
      <c r="G23" s="93">
        <f t="shared" ca="1" si="4"/>
        <v>0</v>
      </c>
    </row>
    <row r="24" spans="1:9" ht="12" x14ac:dyDescent="0.25">
      <c r="A24" s="97" t="s">
        <v>270</v>
      </c>
      <c r="B24" s="134">
        <f ca="1">Balancing!H30</f>
        <v>0</v>
      </c>
      <c r="C24" s="134"/>
      <c r="D24" s="134">
        <f t="shared" ca="1" si="5"/>
        <v>0</v>
      </c>
      <c r="E24" s="128">
        <f ca="1">SUM(Preschedule!B36:Y36)</f>
        <v>0</v>
      </c>
      <c r="F24" s="134">
        <f t="shared" ca="1" si="3"/>
        <v>0</v>
      </c>
      <c r="G24" s="93">
        <f t="shared" ca="1" si="4"/>
        <v>0</v>
      </c>
    </row>
    <row r="25" spans="1:9" ht="12.6" thickBot="1" x14ac:dyDescent="0.3">
      <c r="A25" s="97" t="s">
        <v>275</v>
      </c>
      <c r="B25" s="134">
        <f t="array" aca="1" ref="B25" ca="1">SUM(IF((DelPoint= "artesia")*IF((DType = "firm")+(DType = "econ")&gt;0,1,0)*(OFFSET(DelPoint,0,3,ROWS(DelPoint),24)&gt;0),DPrice*OFFSET(DelPoint,0,3,ROWS(DelPoint),24),0))</f>
        <v>0</v>
      </c>
      <c r="C25" s="134"/>
      <c r="D25" s="134">
        <f t="shared" ca="1" si="5"/>
        <v>0</v>
      </c>
      <c r="E25" s="128">
        <f ca="1">SUM(Preschedule!B37:Y37)</f>
        <v>0</v>
      </c>
      <c r="F25" s="134">
        <f t="shared" ca="1" si="3"/>
        <v>0</v>
      </c>
      <c r="G25" s="93">
        <f t="shared" ca="1" si="4"/>
        <v>0</v>
      </c>
    </row>
    <row r="26" spans="1:9" ht="12.6" thickTop="1" x14ac:dyDescent="0.25">
      <c r="A26" s="165"/>
      <c r="B26" s="141"/>
      <c r="C26" s="141"/>
      <c r="D26" s="141"/>
      <c r="E26" s="142"/>
      <c r="F26" s="141"/>
      <c r="G26" s="143"/>
      <c r="H26" s="144" t="s">
        <v>36</v>
      </c>
      <c r="I26" s="145" t="s">
        <v>37</v>
      </c>
    </row>
    <row r="27" spans="1:9" ht="12" x14ac:dyDescent="0.25">
      <c r="A27" s="97" t="s">
        <v>38</v>
      </c>
      <c r="B27" s="134"/>
      <c r="C27" s="134"/>
      <c r="D27" s="134"/>
      <c r="E27" s="128"/>
      <c r="F27" s="134"/>
      <c r="G27" s="93"/>
      <c r="H27" s="146" t="s">
        <v>39</v>
      </c>
      <c r="I27" s="147" t="s">
        <v>40</v>
      </c>
    </row>
    <row r="28" spans="1:9" ht="12" x14ac:dyDescent="0.25">
      <c r="A28" s="97" t="s">
        <v>41</v>
      </c>
      <c r="B28" s="134">
        <f ca="1">-F28*E28</f>
        <v>-31000.540480000003</v>
      </c>
      <c r="C28" s="134"/>
      <c r="D28" s="134">
        <f ca="1">C28+B28</f>
        <v>-31000.540480000003</v>
      </c>
      <c r="E28" s="128">
        <f>SUM(Preschedule!B56:Y56)</f>
        <v>2371</v>
      </c>
      <c r="F28" s="134">
        <f>H28*I28</f>
        <v>13.074880000000002</v>
      </c>
      <c r="G28" s="93">
        <f ca="1">-IF(E28=0,0,D28/E28)</f>
        <v>13.074880000000002</v>
      </c>
      <c r="H28" s="148">
        <v>10.057600000000001</v>
      </c>
      <c r="I28" s="149">
        <v>1.3</v>
      </c>
    </row>
    <row r="29" spans="1:9" ht="12" x14ac:dyDescent="0.25">
      <c r="A29" s="97" t="s">
        <v>42</v>
      </c>
      <c r="B29" s="134">
        <f>-F29*E29</f>
        <v>0</v>
      </c>
      <c r="C29" s="134"/>
      <c r="D29" s="134">
        <f>C29+B29</f>
        <v>0</v>
      </c>
      <c r="E29" s="128">
        <f>SUM(Preschedule!B57:Y57)</f>
        <v>0</v>
      </c>
      <c r="F29" s="134">
        <f>H29*I29</f>
        <v>13.074880000000002</v>
      </c>
      <c r="G29" s="93">
        <f>-IF(E29=0,0,D29/E29)</f>
        <v>0</v>
      </c>
      <c r="H29" s="148">
        <v>10.057600000000001</v>
      </c>
      <c r="I29" s="149">
        <v>1.3</v>
      </c>
    </row>
    <row r="30" spans="1:9" ht="12" x14ac:dyDescent="0.25">
      <c r="A30" s="97" t="s">
        <v>43</v>
      </c>
      <c r="B30" s="134">
        <f>-F30*E30</f>
        <v>-29144.975999999999</v>
      </c>
      <c r="C30" s="134"/>
      <c r="D30" s="134">
        <f>C30+B30</f>
        <v>-29144.975999999999</v>
      </c>
      <c r="E30" s="128">
        <f>SUM(Preschedule!B53:Y53)</f>
        <v>4781</v>
      </c>
      <c r="F30" s="134">
        <f>H30*I30</f>
        <v>6.0960000000000001</v>
      </c>
      <c r="G30" s="93">
        <f>-IF(E30=0,0,D30/E30)</f>
        <v>6.0960000000000001</v>
      </c>
      <c r="H30" s="148">
        <v>10.16</v>
      </c>
      <c r="I30" s="149">
        <v>0.6</v>
      </c>
    </row>
    <row r="31" spans="1:9" ht="12" x14ac:dyDescent="0.25">
      <c r="A31" s="97" t="s">
        <v>44</v>
      </c>
      <c r="B31" s="134">
        <f>-F31*E31</f>
        <v>-29144.975999999999</v>
      </c>
      <c r="C31" s="134"/>
      <c r="D31" s="134">
        <f>C31+B31</f>
        <v>-29144.975999999999</v>
      </c>
      <c r="E31" s="128">
        <f>SUM(Preschedule!B54:Y54)</f>
        <v>4781</v>
      </c>
      <c r="F31" s="134">
        <f>H31*I31</f>
        <v>6.0960000000000001</v>
      </c>
      <c r="G31" s="93">
        <f>-IF(E31=0,0,D31/E31)</f>
        <v>6.0960000000000001</v>
      </c>
      <c r="H31" s="148">
        <v>10.16</v>
      </c>
      <c r="I31" s="149">
        <v>0.6</v>
      </c>
    </row>
    <row r="32" spans="1:9" ht="12" x14ac:dyDescent="0.25">
      <c r="A32" s="97" t="s">
        <v>45</v>
      </c>
      <c r="B32" s="134">
        <f>-F32*E32</f>
        <v>-29108.400000000001</v>
      </c>
      <c r="C32" s="134"/>
      <c r="D32" s="134">
        <f>C32+B32</f>
        <v>-29108.400000000001</v>
      </c>
      <c r="E32" s="128">
        <f>SUM(Preschedule!B55:Y55)</f>
        <v>4775</v>
      </c>
      <c r="F32" s="134">
        <f>H32*I32</f>
        <v>6.0960000000000001</v>
      </c>
      <c r="G32" s="93">
        <f>-IF(E32=0,0,D32/E32)</f>
        <v>6.0960000000000001</v>
      </c>
      <c r="H32" s="148">
        <v>10.16</v>
      </c>
      <c r="I32" s="149">
        <v>0.6</v>
      </c>
    </row>
    <row r="33" spans="1:9" ht="12" x14ac:dyDescent="0.25">
      <c r="A33" s="97"/>
      <c r="B33" s="134"/>
      <c r="C33" s="134"/>
      <c r="D33" s="134"/>
      <c r="E33" s="128"/>
      <c r="F33" s="134"/>
      <c r="G33" s="93"/>
      <c r="H33" s="150"/>
      <c r="I33" s="149"/>
    </row>
    <row r="34" spans="1:9" ht="12" x14ac:dyDescent="0.25">
      <c r="A34" s="97" t="s">
        <v>46</v>
      </c>
      <c r="B34" s="134">
        <f ca="1">Gencost(Preschedule!B41:Y41,OFFSET(HeatRateStart,1,MATCH(A34,HeatRateNames,0)-1,250,1),I34)</f>
        <v>-20207.87109375</v>
      </c>
      <c r="C34" s="134"/>
      <c r="D34" s="134">
        <f ca="1">IF(ISTEXT(B34),0,C34+B34)</f>
        <v>-20207.87109375</v>
      </c>
      <c r="E34" s="128">
        <f>SUM(Preschedule!B41:Y41)</f>
        <v>872</v>
      </c>
      <c r="F34" s="134">
        <f ca="1">-IF(OR(ISTEXT(B34),E34=0),0,B34/E34)</f>
        <v>23.174164098337155</v>
      </c>
      <c r="G34" s="93">
        <f t="shared" ref="G34:G45" ca="1" si="6">-IF(E34=0,0,D34/E34)</f>
        <v>23.174164098337155</v>
      </c>
      <c r="H34" s="150"/>
      <c r="I34" s="149">
        <f>INDEX(FuelPriceTable,MATCH(A34,FuelNames,0),5)</f>
        <v>1.96</v>
      </c>
    </row>
    <row r="35" spans="1:9" ht="12" x14ac:dyDescent="0.25">
      <c r="A35" s="97" t="s">
        <v>47</v>
      </c>
      <c r="B35" s="134">
        <f ca="1">Gencost(Preschedule!B42:Y42,OFFSET(HeatRateStart,1,MATCH(A35,HeatRateNames,0)-1,250,1),I35)</f>
        <v>-21423.80859375</v>
      </c>
      <c r="C35" s="134"/>
      <c r="D35" s="134">
        <f t="shared" ref="D35:D45" ca="1" si="7">IF(ISTEXT(B35),0,C35+B35)</f>
        <v>-21423.80859375</v>
      </c>
      <c r="E35" s="128">
        <f>SUM(Preschedule!B42:Y42)</f>
        <v>1025</v>
      </c>
      <c r="F35" s="134">
        <f t="shared" ref="F35:F45" ca="1" si="8">-IF(OR(ISTEXT(B35),E35=0),0,B35/E35)</f>
        <v>20.901276676829269</v>
      </c>
      <c r="G35" s="93">
        <f t="shared" ca="1" si="6"/>
        <v>20.901276676829269</v>
      </c>
      <c r="H35" s="150"/>
      <c r="I35" s="149">
        <f t="shared" ref="I35:I45" si="9">INDEX(FuelPriceTable,MATCH(A35,FuelNames,0),5)</f>
        <v>1.96</v>
      </c>
    </row>
    <row r="36" spans="1:9" ht="12" x14ac:dyDescent="0.25">
      <c r="A36" s="97" t="s">
        <v>48</v>
      </c>
      <c r="B36" s="134">
        <f ca="1">Gencost(Preschedule!B43:Y43,OFFSET(HeatRateStart,1,MATCH(A36,HeatRateNames,0)-1,250,1),I36)</f>
        <v>0</v>
      </c>
      <c r="C36" s="134"/>
      <c r="D36" s="134">
        <f t="shared" ca="1" si="7"/>
        <v>0</v>
      </c>
      <c r="E36" s="128">
        <f>SUM(Preschedule!B43:Y43)</f>
        <v>0</v>
      </c>
      <c r="F36" s="134">
        <f t="shared" ca="1" si="8"/>
        <v>0</v>
      </c>
      <c r="G36" s="93">
        <f t="shared" si="6"/>
        <v>0</v>
      </c>
      <c r="H36" s="150"/>
      <c r="I36" s="149">
        <f>INDEX(FuelPriceTable,MATCH(A36,FuelNames,0),5)</f>
        <v>1.96</v>
      </c>
    </row>
    <row r="37" spans="1:9" ht="12" x14ac:dyDescent="0.25">
      <c r="A37" s="97" t="s">
        <v>49</v>
      </c>
      <c r="B37" s="134">
        <f ca="1">Gencost(Preschedule!B44:Y44,OFFSET(HeatRateStart,1,MATCH(A37,HeatRateNames,0)-1,250,1),I37)</f>
        <v>0</v>
      </c>
      <c r="C37" s="134"/>
      <c r="D37" s="134">
        <f t="shared" ca="1" si="7"/>
        <v>0</v>
      </c>
      <c r="E37" s="128">
        <f>SUM(Preschedule!B44:Y44)</f>
        <v>0</v>
      </c>
      <c r="F37" s="134">
        <f t="shared" ca="1" si="8"/>
        <v>0</v>
      </c>
      <c r="G37" s="93">
        <f t="shared" si="6"/>
        <v>0</v>
      </c>
      <c r="H37" s="150"/>
      <c r="I37" s="149">
        <f t="shared" si="9"/>
        <v>1.96</v>
      </c>
    </row>
    <row r="38" spans="1:9" ht="12" x14ac:dyDescent="0.25">
      <c r="A38" s="97" t="s">
        <v>50</v>
      </c>
      <c r="B38" s="134">
        <f ca="1">Gencost(Preschedule!B45:Y45,OFFSET(HeatRateStart,1,MATCH(A38,HeatRateNames,0)-1,250,1),I38)</f>
        <v>0</v>
      </c>
      <c r="C38" s="134"/>
      <c r="D38" s="134">
        <f t="shared" ca="1" si="7"/>
        <v>0</v>
      </c>
      <c r="E38" s="128">
        <f>SUM(Preschedule!B45:Y45)</f>
        <v>0</v>
      </c>
      <c r="F38" s="134">
        <f t="shared" ca="1" si="8"/>
        <v>0</v>
      </c>
      <c r="G38" s="93">
        <f t="shared" si="6"/>
        <v>0</v>
      </c>
      <c r="H38" s="150"/>
      <c r="I38" s="149">
        <f t="shared" si="9"/>
        <v>1.96</v>
      </c>
    </row>
    <row r="39" spans="1:9" ht="12" x14ac:dyDescent="0.25">
      <c r="A39" s="97" t="s">
        <v>51</v>
      </c>
      <c r="B39" s="134">
        <f ca="1">Gencost(Preschedule!B46:Y46,OFFSET(HeatRateStart,1,MATCH(A39,HeatRateNames,0)-1,250,1),I39)</f>
        <v>0</v>
      </c>
      <c r="C39" s="134"/>
      <c r="D39" s="134">
        <f t="shared" ca="1" si="7"/>
        <v>0</v>
      </c>
      <c r="E39" s="128">
        <f>SUM(Preschedule!B46:Y46)</f>
        <v>0</v>
      </c>
      <c r="F39" s="134">
        <f t="shared" ca="1" si="8"/>
        <v>0</v>
      </c>
      <c r="G39" s="93">
        <f t="shared" si="6"/>
        <v>0</v>
      </c>
      <c r="H39" s="150"/>
      <c r="I39" s="149">
        <f t="shared" si="9"/>
        <v>1.96</v>
      </c>
    </row>
    <row r="40" spans="1:9" ht="12" x14ac:dyDescent="0.25">
      <c r="A40" s="97" t="s">
        <v>52</v>
      </c>
      <c r="B40" s="134">
        <f ca="1">Gencost(Preschedule!B47:Y47,OFFSET(HeatRateStart,1,MATCH(A40,HeatRateNames,0)-1,250,1),I40)</f>
        <v>0</v>
      </c>
      <c r="C40" s="134"/>
      <c r="D40" s="134">
        <f t="shared" ca="1" si="7"/>
        <v>0</v>
      </c>
      <c r="E40" s="128">
        <f>SUM(Preschedule!B47:Y47)</f>
        <v>0</v>
      </c>
      <c r="F40" s="134">
        <f t="shared" ca="1" si="8"/>
        <v>0</v>
      </c>
      <c r="G40" s="93">
        <f t="shared" si="6"/>
        <v>0</v>
      </c>
      <c r="H40" s="150"/>
      <c r="I40" s="149">
        <f t="shared" si="9"/>
        <v>1.96</v>
      </c>
    </row>
    <row r="41" spans="1:9" ht="12" x14ac:dyDescent="0.25">
      <c r="A41" s="97" t="s">
        <v>53</v>
      </c>
      <c r="B41" s="134">
        <f ca="1">Gencost(Preschedule!B48:Y48,OFFSET(HeatRateStart,1,MATCH(A41,HeatRateNames,0)-1,250,1),I41)</f>
        <v>-72957.2265625</v>
      </c>
      <c r="C41" s="134"/>
      <c r="D41" s="134">
        <f t="shared" ca="1" si="7"/>
        <v>-72957.2265625</v>
      </c>
      <c r="E41" s="128">
        <f>SUM(Preschedule!B48:Y48)</f>
        <v>3907</v>
      </c>
      <c r="F41" s="134">
        <f t="shared" ca="1" si="8"/>
        <v>18.673464694778602</v>
      </c>
      <c r="G41" s="93">
        <f t="shared" ca="1" si="6"/>
        <v>18.673464694778602</v>
      </c>
      <c r="H41" s="150"/>
      <c r="I41" s="149">
        <v>1.96</v>
      </c>
    </row>
    <row r="42" spans="1:9" ht="12" x14ac:dyDescent="0.25">
      <c r="A42" s="97" t="s">
        <v>54</v>
      </c>
      <c r="B42" s="134">
        <f ca="1">Gencost(Preschedule!B49:Y49,OFFSET(HeatRateStart,1,MATCH(A42,HeatRateNames,0)-1,250,1),I42)</f>
        <v>0</v>
      </c>
      <c r="C42" s="134"/>
      <c r="D42" s="134">
        <f t="shared" ca="1" si="7"/>
        <v>0</v>
      </c>
      <c r="E42" s="128">
        <f>SUM(Preschedule!B49:Y49)</f>
        <v>0</v>
      </c>
      <c r="F42" s="134">
        <f t="shared" ca="1" si="8"/>
        <v>0</v>
      </c>
      <c r="G42" s="93">
        <f t="shared" si="6"/>
        <v>0</v>
      </c>
      <c r="H42" s="150"/>
      <c r="I42" s="149">
        <f t="shared" si="9"/>
        <v>1.96</v>
      </c>
    </row>
    <row r="43" spans="1:9" ht="12" x14ac:dyDescent="0.25">
      <c r="A43" s="97" t="s">
        <v>55</v>
      </c>
      <c r="B43" s="134">
        <f ca="1">Gencost(Preschedule!B50:Y50,OFFSET(HeatRateStart,1,MATCH(A43,HeatRateNames,0)-1,250,1),I43)</f>
        <v>0</v>
      </c>
      <c r="C43" s="134"/>
      <c r="D43" s="134">
        <f t="shared" ca="1" si="7"/>
        <v>0</v>
      </c>
      <c r="E43" s="128">
        <f>SUM(Preschedule!B50:Y50)</f>
        <v>0</v>
      </c>
      <c r="F43" s="134">
        <f t="shared" ca="1" si="8"/>
        <v>0</v>
      </c>
      <c r="G43" s="93">
        <f t="shared" si="6"/>
        <v>0</v>
      </c>
      <c r="H43" s="150"/>
      <c r="I43" s="149">
        <f t="shared" si="9"/>
        <v>2.09</v>
      </c>
    </row>
    <row r="44" spans="1:9" ht="12" x14ac:dyDescent="0.25">
      <c r="A44" s="97" t="s">
        <v>56</v>
      </c>
      <c r="B44" s="134">
        <f ca="1">Gencost(Preschedule!B51:Y51,OFFSET(HeatRateStart,1,MATCH(A44,HeatRateNames,0)-1,250,1),I44)</f>
        <v>-16921.771484375</v>
      </c>
      <c r="C44" s="134"/>
      <c r="D44" s="134">
        <f t="shared" ca="1" si="7"/>
        <v>-16921.771484375</v>
      </c>
      <c r="E44" s="128">
        <f>SUM(Preschedule!B51:Y51)</f>
        <v>761</v>
      </c>
      <c r="F44" s="134">
        <f t="shared" ca="1" si="8"/>
        <v>22.236230597076215</v>
      </c>
      <c r="G44" s="93">
        <f t="shared" ca="1" si="6"/>
        <v>22.236230597076215</v>
      </c>
      <c r="H44" s="150"/>
      <c r="I44" s="149">
        <f t="shared" si="9"/>
        <v>2.09</v>
      </c>
    </row>
    <row r="45" spans="1:9" ht="12.6" thickBot="1" x14ac:dyDescent="0.3">
      <c r="A45" s="97" t="s">
        <v>57</v>
      </c>
      <c r="B45" s="134">
        <f ca="1">Gencost(Preschedule!B52:Y52,OFFSET(HeatRateStart,1,MATCH(A45,HeatRateNames,0)-1,250,1),I45)</f>
        <v>0</v>
      </c>
      <c r="C45" s="134"/>
      <c r="D45" s="134">
        <f t="shared" ca="1" si="7"/>
        <v>0</v>
      </c>
      <c r="E45" s="128">
        <f>SUM(Preschedule!B52:Y52)</f>
        <v>0</v>
      </c>
      <c r="F45" s="134">
        <f t="shared" ca="1" si="8"/>
        <v>0</v>
      </c>
      <c r="G45" s="93">
        <f t="shared" si="6"/>
        <v>0</v>
      </c>
      <c r="H45" s="151"/>
      <c r="I45" s="152">
        <f t="shared" si="9"/>
        <v>2.09</v>
      </c>
    </row>
    <row r="46" spans="1:9" ht="7.5" customHeight="1" thickTop="1" x14ac:dyDescent="0.25">
      <c r="A46" s="165"/>
      <c r="B46" s="141"/>
      <c r="C46" s="141"/>
      <c r="D46" s="141"/>
      <c r="E46" s="142"/>
      <c r="F46" s="141"/>
      <c r="G46" s="143"/>
    </row>
    <row r="47" spans="1:9" ht="12" x14ac:dyDescent="0.25">
      <c r="A47" s="97" t="s">
        <v>18</v>
      </c>
      <c r="B47" s="134" t="e">
        <f ca="1">SUM(B3:B45)</f>
        <v>#N/A</v>
      </c>
      <c r="C47" s="134">
        <f>SUM(C5:C45)</f>
        <v>0</v>
      </c>
      <c r="D47" s="134" t="e">
        <f ca="1">SUM(D5:D45,B3)</f>
        <v>#N/A</v>
      </c>
      <c r="E47" s="128"/>
      <c r="F47" s="134"/>
      <c r="G47" s="93"/>
    </row>
    <row r="48" spans="1:9" ht="7.5" customHeight="1" thickBot="1" x14ac:dyDescent="0.25">
      <c r="A48" s="153"/>
      <c r="B48" s="154"/>
      <c r="C48" s="154"/>
      <c r="D48" s="154"/>
      <c r="E48" s="155"/>
      <c r="F48" s="154"/>
      <c r="G48" s="156"/>
    </row>
    <row r="49" spans="5:5" ht="12" thickTop="1" x14ac:dyDescent="0.2"/>
    <row r="54" spans="5:5" x14ac:dyDescent="0.2">
      <c r="E54" s="158"/>
    </row>
  </sheetData>
  <pageMargins left="0.75" right="0.75" top="0.5" bottom="0.5" header="0.5" footer="0.5"/>
  <pageSetup scale="87"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K27" sqref="J4:K27"/>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53" t="s">
        <v>0</v>
      </c>
      <c r="B1" s="54"/>
      <c r="C1" s="54"/>
      <c r="D1" s="54"/>
      <c r="E1" s="54"/>
      <c r="F1" s="54"/>
      <c r="G1" s="54"/>
      <c r="H1" s="54"/>
      <c r="I1" s="54"/>
      <c r="J1" s="54"/>
      <c r="K1" s="54"/>
      <c r="L1" s="55"/>
      <c r="N1" s="71" t="s">
        <v>1</v>
      </c>
      <c r="O1" s="72"/>
      <c r="P1" s="72"/>
      <c r="Q1" s="72"/>
      <c r="R1" s="73"/>
    </row>
    <row r="2" spans="1:18" ht="13.8" x14ac:dyDescent="0.25">
      <c r="A2" s="167" t="s">
        <v>2</v>
      </c>
      <c r="B2" s="166"/>
      <c r="C2" s="112"/>
      <c r="D2" s="113"/>
      <c r="E2" s="169" t="s">
        <v>276</v>
      </c>
      <c r="F2" s="99"/>
      <c r="G2" s="99"/>
      <c r="H2" s="100"/>
      <c r="I2" s="47" t="s">
        <v>4</v>
      </c>
      <c r="J2" s="48"/>
      <c r="K2" s="48"/>
      <c r="L2" s="56"/>
      <c r="N2" s="84"/>
      <c r="O2" s="69" t="s">
        <v>5</v>
      </c>
      <c r="P2" s="69"/>
      <c r="Q2" s="69"/>
      <c r="R2" s="85" t="s">
        <v>6</v>
      </c>
    </row>
    <row r="3" spans="1:18" ht="15.75" customHeight="1" x14ac:dyDescent="0.25">
      <c r="A3" s="168" t="s">
        <v>7</v>
      </c>
      <c r="B3" s="171" t="s">
        <v>8</v>
      </c>
      <c r="C3" s="171" t="s">
        <v>9</v>
      </c>
      <c r="D3" s="172" t="s">
        <v>10</v>
      </c>
      <c r="E3" s="170" t="s">
        <v>7</v>
      </c>
      <c r="F3" s="173" t="s">
        <v>8</v>
      </c>
      <c r="G3" s="173" t="s">
        <v>9</v>
      </c>
      <c r="H3" s="174" t="s">
        <v>10</v>
      </c>
      <c r="I3" s="49" t="s">
        <v>7</v>
      </c>
      <c r="J3" s="175" t="s">
        <v>8</v>
      </c>
      <c r="K3" s="175" t="s">
        <v>9</v>
      </c>
      <c r="L3" s="176" t="s">
        <v>10</v>
      </c>
      <c r="N3" s="74" t="s">
        <v>7</v>
      </c>
      <c r="O3" s="70" t="s">
        <v>11</v>
      </c>
      <c r="P3" s="70" t="s">
        <v>12</v>
      </c>
      <c r="Q3" s="70" t="s">
        <v>13</v>
      </c>
      <c r="R3" s="75" t="s">
        <v>14</v>
      </c>
    </row>
    <row r="4" spans="1:18" x14ac:dyDescent="0.25">
      <c r="A4" s="114">
        <v>1</v>
      </c>
      <c r="B4" s="195"/>
      <c r="C4" s="196"/>
      <c r="D4" s="115">
        <f t="shared" ref="D4:D11" si="0">C4*B4</f>
        <v>0</v>
      </c>
      <c r="E4" s="101">
        <v>1</v>
      </c>
      <c r="F4" s="102"/>
      <c r="G4" s="103"/>
      <c r="H4" s="104">
        <f t="shared" ref="H4:H27" si="1">G4*F4</f>
        <v>0</v>
      </c>
      <c r="I4" s="50">
        <v>1</v>
      </c>
      <c r="J4" s="59"/>
      <c r="K4" s="60"/>
      <c r="L4" s="89">
        <f t="shared" ref="L4:L27" si="2">K4*J4</f>
        <v>0</v>
      </c>
      <c r="N4" s="76">
        <v>1</v>
      </c>
      <c r="O4" s="465">
        <v>593.89318010591126</v>
      </c>
      <c r="P4" s="80"/>
      <c r="Q4" s="68">
        <f t="shared" ref="Q4:Q27" si="3">P4+O4</f>
        <v>593.89318010591126</v>
      </c>
      <c r="R4" s="83"/>
    </row>
    <row r="5" spans="1:18" x14ac:dyDescent="0.25">
      <c r="A5" s="114">
        <v>2</v>
      </c>
      <c r="B5" s="197"/>
      <c r="C5" s="198"/>
      <c r="D5" s="115">
        <f t="shared" si="0"/>
        <v>0</v>
      </c>
      <c r="E5" s="101">
        <v>2</v>
      </c>
      <c r="F5" s="105"/>
      <c r="G5" s="106"/>
      <c r="H5" s="104">
        <f t="shared" si="1"/>
        <v>0</v>
      </c>
      <c r="I5" s="50">
        <v>2</v>
      </c>
      <c r="J5" s="61"/>
      <c r="K5" s="62"/>
      <c r="L5" s="89">
        <f t="shared" si="2"/>
        <v>0</v>
      </c>
      <c r="N5" s="76">
        <v>2</v>
      </c>
      <c r="O5" s="466">
        <v>574.57865593372048</v>
      </c>
      <c r="P5" s="81"/>
      <c r="Q5" s="68">
        <f t="shared" si="3"/>
        <v>574.57865593372048</v>
      </c>
      <c r="R5" s="83"/>
    </row>
    <row r="6" spans="1:18" x14ac:dyDescent="0.25">
      <c r="A6" s="114">
        <v>3</v>
      </c>
      <c r="B6" s="197"/>
      <c r="C6" s="198"/>
      <c r="D6" s="115">
        <f t="shared" si="0"/>
        <v>0</v>
      </c>
      <c r="E6" s="101">
        <v>3</v>
      </c>
      <c r="F6" s="105"/>
      <c r="G6" s="106"/>
      <c r="H6" s="104">
        <f t="shared" si="1"/>
        <v>0</v>
      </c>
      <c r="I6" s="50">
        <v>3</v>
      </c>
      <c r="J6" s="61"/>
      <c r="K6" s="62"/>
      <c r="L6" s="89">
        <f t="shared" si="2"/>
        <v>0</v>
      </c>
      <c r="N6" s="76">
        <v>3</v>
      </c>
      <c r="O6" s="466">
        <v>564.02692684755721</v>
      </c>
      <c r="P6" s="81"/>
      <c r="Q6" s="68">
        <f t="shared" si="3"/>
        <v>564.02692684755721</v>
      </c>
      <c r="R6" s="83"/>
    </row>
    <row r="7" spans="1:18" x14ac:dyDescent="0.25">
      <c r="A7" s="114">
        <v>4</v>
      </c>
      <c r="B7" s="197"/>
      <c r="C7" s="198"/>
      <c r="D7" s="115">
        <f t="shared" si="0"/>
        <v>0</v>
      </c>
      <c r="E7" s="101">
        <v>4</v>
      </c>
      <c r="F7" s="105"/>
      <c r="G7" s="106"/>
      <c r="H7" s="104">
        <f t="shared" si="1"/>
        <v>0</v>
      </c>
      <c r="I7" s="50">
        <v>4</v>
      </c>
      <c r="J7" s="61"/>
      <c r="K7" s="62"/>
      <c r="L7" s="89">
        <f t="shared" si="2"/>
        <v>0</v>
      </c>
      <c r="N7" s="76">
        <v>4</v>
      </c>
      <c r="O7" s="466">
        <v>562.62550295155063</v>
      </c>
      <c r="P7" s="81"/>
      <c r="Q7" s="68">
        <f t="shared" si="3"/>
        <v>562.62550295155063</v>
      </c>
      <c r="R7" s="83"/>
    </row>
    <row r="8" spans="1:18" x14ac:dyDescent="0.25">
      <c r="A8" s="114">
        <v>5</v>
      </c>
      <c r="B8" s="197"/>
      <c r="C8" s="198"/>
      <c r="D8" s="115">
        <f t="shared" si="0"/>
        <v>0</v>
      </c>
      <c r="E8" s="101">
        <v>5</v>
      </c>
      <c r="F8" s="105"/>
      <c r="G8" s="106"/>
      <c r="H8" s="104">
        <f t="shared" si="1"/>
        <v>0</v>
      </c>
      <c r="I8" s="50">
        <v>5</v>
      </c>
      <c r="J8" s="61"/>
      <c r="K8" s="62"/>
      <c r="L8" s="89">
        <f t="shared" si="2"/>
        <v>0</v>
      </c>
      <c r="N8" s="76">
        <v>5</v>
      </c>
      <c r="O8" s="466">
        <v>575.53200575993935</v>
      </c>
      <c r="P8" s="81"/>
      <c r="Q8" s="68">
        <f t="shared" si="3"/>
        <v>575.53200575993935</v>
      </c>
      <c r="R8" s="83"/>
    </row>
    <row r="9" spans="1:18" x14ac:dyDescent="0.25">
      <c r="A9" s="114">
        <v>6</v>
      </c>
      <c r="B9" s="197"/>
      <c r="C9" s="198"/>
      <c r="D9" s="115">
        <f t="shared" si="0"/>
        <v>0</v>
      </c>
      <c r="E9" s="101">
        <v>6</v>
      </c>
      <c r="F9" s="105"/>
      <c r="G9" s="106"/>
      <c r="H9" s="104">
        <f t="shared" si="1"/>
        <v>0</v>
      </c>
      <c r="I9" s="50">
        <v>6</v>
      </c>
      <c r="J9" s="61"/>
      <c r="K9" s="62"/>
      <c r="L9" s="89">
        <f t="shared" si="2"/>
        <v>0</v>
      </c>
      <c r="N9" s="76">
        <v>6</v>
      </c>
      <c r="O9" s="466">
        <v>629.09025332605336</v>
      </c>
      <c r="P9" s="81"/>
      <c r="Q9" s="68">
        <f t="shared" si="3"/>
        <v>629.09025332605336</v>
      </c>
      <c r="R9" s="83"/>
    </row>
    <row r="10" spans="1:18" x14ac:dyDescent="0.25">
      <c r="A10" s="114">
        <v>7</v>
      </c>
      <c r="B10" s="197"/>
      <c r="C10" s="198"/>
      <c r="D10" s="115">
        <f t="shared" si="0"/>
        <v>0</v>
      </c>
      <c r="E10" s="101">
        <v>7</v>
      </c>
      <c r="F10" s="105"/>
      <c r="G10" s="106"/>
      <c r="H10" s="104">
        <f t="shared" si="1"/>
        <v>0</v>
      </c>
      <c r="I10" s="50">
        <v>7</v>
      </c>
      <c r="J10" s="61"/>
      <c r="K10" s="62"/>
      <c r="L10" s="89">
        <f t="shared" si="2"/>
        <v>0</v>
      </c>
      <c r="N10" s="76">
        <v>7</v>
      </c>
      <c r="O10" s="466">
        <v>718.67394385190016</v>
      </c>
      <c r="P10" s="81"/>
      <c r="Q10" s="68">
        <f t="shared" si="3"/>
        <v>718.67394385190016</v>
      </c>
      <c r="R10" s="83"/>
    </row>
    <row r="11" spans="1:18" x14ac:dyDescent="0.25">
      <c r="A11" s="114">
        <v>8</v>
      </c>
      <c r="B11" s="197"/>
      <c r="C11" s="198"/>
      <c r="D11" s="115">
        <f t="shared" si="0"/>
        <v>0</v>
      </c>
      <c r="E11" s="101">
        <v>8</v>
      </c>
      <c r="F11" s="105"/>
      <c r="G11" s="106"/>
      <c r="H11" s="104">
        <f t="shared" si="1"/>
        <v>0</v>
      </c>
      <c r="I11" s="50">
        <v>8</v>
      </c>
      <c r="J11" s="61"/>
      <c r="K11" s="62"/>
      <c r="L11" s="89">
        <f t="shared" si="2"/>
        <v>0</v>
      </c>
      <c r="N11" s="76">
        <v>8</v>
      </c>
      <c r="O11" s="466">
        <v>786.79306244029954</v>
      </c>
      <c r="P11" s="81"/>
      <c r="Q11" s="68">
        <f t="shared" si="3"/>
        <v>786.79306244029954</v>
      </c>
      <c r="R11" s="83"/>
    </row>
    <row r="12" spans="1:18" x14ac:dyDescent="0.25">
      <c r="A12" s="114">
        <v>9</v>
      </c>
      <c r="B12" s="197"/>
      <c r="C12" s="198"/>
      <c r="D12" s="115"/>
      <c r="E12" s="101">
        <v>9</v>
      </c>
      <c r="F12" s="105"/>
      <c r="G12" s="106"/>
      <c r="H12" s="104">
        <f t="shared" si="1"/>
        <v>0</v>
      </c>
      <c r="I12" s="50">
        <v>9</v>
      </c>
      <c r="J12" s="61"/>
      <c r="K12" s="62"/>
      <c r="L12" s="89">
        <f t="shared" si="2"/>
        <v>0</v>
      </c>
      <c r="N12" s="76">
        <v>9</v>
      </c>
      <c r="O12" s="466">
        <v>824.48557372865457</v>
      </c>
      <c r="P12" s="81"/>
      <c r="Q12" s="68">
        <f t="shared" si="3"/>
        <v>824.48557372865457</v>
      </c>
      <c r="R12" s="83"/>
    </row>
    <row r="13" spans="1:18" x14ac:dyDescent="0.25">
      <c r="A13" s="114">
        <v>10</v>
      </c>
      <c r="B13" s="197"/>
      <c r="C13" s="198"/>
      <c r="D13" s="115"/>
      <c r="E13" s="101">
        <v>10</v>
      </c>
      <c r="F13" s="105"/>
      <c r="G13" s="106"/>
      <c r="H13" s="104">
        <f t="shared" si="1"/>
        <v>0</v>
      </c>
      <c r="I13" s="50">
        <v>10</v>
      </c>
      <c r="J13" s="61"/>
      <c r="K13" s="62"/>
      <c r="L13" s="89">
        <f t="shared" si="2"/>
        <v>0</v>
      </c>
      <c r="N13" s="76">
        <v>10</v>
      </c>
      <c r="O13" s="466">
        <v>846.24231745706504</v>
      </c>
      <c r="P13" s="81"/>
      <c r="Q13" s="68">
        <f t="shared" si="3"/>
        <v>846.24231745706504</v>
      </c>
      <c r="R13" s="83"/>
    </row>
    <row r="14" spans="1:18" x14ac:dyDescent="0.25">
      <c r="A14" s="114">
        <v>11</v>
      </c>
      <c r="B14" s="197"/>
      <c r="C14" s="198"/>
      <c r="D14" s="115"/>
      <c r="E14" s="101">
        <v>11</v>
      </c>
      <c r="F14" s="105"/>
      <c r="G14" s="106"/>
      <c r="H14" s="104">
        <f t="shared" si="1"/>
        <v>0</v>
      </c>
      <c r="I14" s="50">
        <v>11</v>
      </c>
      <c r="J14" s="61"/>
      <c r="K14" s="62"/>
      <c r="L14" s="89">
        <f t="shared" si="2"/>
        <v>0</v>
      </c>
      <c r="N14" s="76">
        <v>11</v>
      </c>
      <c r="O14" s="466">
        <v>860.71781850104651</v>
      </c>
      <c r="P14" s="81"/>
      <c r="Q14" s="68">
        <f t="shared" si="3"/>
        <v>860.71781850104651</v>
      </c>
      <c r="R14" s="83"/>
    </row>
    <row r="15" spans="1:18" x14ac:dyDescent="0.25">
      <c r="A15" s="114">
        <v>12</v>
      </c>
      <c r="B15" s="197"/>
      <c r="C15" s="198"/>
      <c r="D15" s="115"/>
      <c r="E15" s="101">
        <v>12</v>
      </c>
      <c r="F15" s="105"/>
      <c r="G15" s="106"/>
      <c r="H15" s="104">
        <f t="shared" si="1"/>
        <v>0</v>
      </c>
      <c r="I15" s="50">
        <v>12</v>
      </c>
      <c r="J15" s="61"/>
      <c r="K15" s="62"/>
      <c r="L15" s="89">
        <f t="shared" si="2"/>
        <v>0</v>
      </c>
      <c r="N15" s="76">
        <v>12</v>
      </c>
      <c r="O15" s="466">
        <v>860.74881249733164</v>
      </c>
      <c r="P15" s="81"/>
      <c r="Q15" s="68">
        <f t="shared" si="3"/>
        <v>860.74881249733164</v>
      </c>
      <c r="R15" s="83"/>
    </row>
    <row r="16" spans="1:18" x14ac:dyDescent="0.25">
      <c r="A16" s="114">
        <v>13</v>
      </c>
      <c r="B16" s="197"/>
      <c r="C16" s="198"/>
      <c r="D16" s="115"/>
      <c r="E16" s="101">
        <v>13</v>
      </c>
      <c r="F16" s="105"/>
      <c r="G16" s="106"/>
      <c r="H16" s="104">
        <f t="shared" si="1"/>
        <v>0</v>
      </c>
      <c r="I16" s="50">
        <v>13</v>
      </c>
      <c r="J16" s="61"/>
      <c r="K16" s="62"/>
      <c r="L16" s="89">
        <f t="shared" si="2"/>
        <v>0</v>
      </c>
      <c r="N16" s="76">
        <v>13</v>
      </c>
      <c r="O16" s="466">
        <v>857.47958682067258</v>
      </c>
      <c r="P16" s="81"/>
      <c r="Q16" s="68">
        <f t="shared" si="3"/>
        <v>857.47958682067258</v>
      </c>
      <c r="R16" s="83"/>
    </row>
    <row r="17" spans="1:18" x14ac:dyDescent="0.25">
      <c r="A17" s="114">
        <v>14</v>
      </c>
      <c r="B17" s="197"/>
      <c r="C17" s="198"/>
      <c r="D17" s="115"/>
      <c r="E17" s="101">
        <v>14</v>
      </c>
      <c r="F17" s="105"/>
      <c r="G17" s="106"/>
      <c r="H17" s="104">
        <f t="shared" si="1"/>
        <v>0</v>
      </c>
      <c r="I17" s="50">
        <v>14</v>
      </c>
      <c r="J17" s="61"/>
      <c r="K17" s="62"/>
      <c r="L17" s="89">
        <f t="shared" si="2"/>
        <v>0</v>
      </c>
      <c r="N17" s="76">
        <v>14</v>
      </c>
      <c r="O17" s="466">
        <v>858.39661603229365</v>
      </c>
      <c r="P17" s="81"/>
      <c r="Q17" s="68">
        <f t="shared" si="3"/>
        <v>858.39661603229365</v>
      </c>
      <c r="R17" s="83"/>
    </row>
    <row r="18" spans="1:18" x14ac:dyDescent="0.25">
      <c r="A18" s="114">
        <v>15</v>
      </c>
      <c r="B18" s="197"/>
      <c r="C18" s="198"/>
      <c r="D18" s="115"/>
      <c r="E18" s="101">
        <v>15</v>
      </c>
      <c r="F18" s="105"/>
      <c r="G18" s="106"/>
      <c r="H18" s="104">
        <f t="shared" si="1"/>
        <v>0</v>
      </c>
      <c r="I18" s="50">
        <v>15</v>
      </c>
      <c r="J18" s="61"/>
      <c r="K18" s="62"/>
      <c r="L18" s="89">
        <f t="shared" si="2"/>
        <v>0</v>
      </c>
      <c r="N18" s="76">
        <v>15</v>
      </c>
      <c r="O18" s="466">
        <v>852.07609176920209</v>
      </c>
      <c r="P18" s="81"/>
      <c r="Q18" s="68">
        <f t="shared" si="3"/>
        <v>852.07609176920209</v>
      </c>
      <c r="R18" s="83"/>
    </row>
    <row r="19" spans="1:18" x14ac:dyDescent="0.25">
      <c r="A19" s="114">
        <v>16</v>
      </c>
      <c r="B19" s="197"/>
      <c r="C19" s="198"/>
      <c r="D19" s="115"/>
      <c r="E19" s="101">
        <v>16</v>
      </c>
      <c r="F19" s="105"/>
      <c r="G19" s="106"/>
      <c r="H19" s="104">
        <f t="shared" si="1"/>
        <v>0</v>
      </c>
      <c r="I19" s="50">
        <v>16</v>
      </c>
      <c r="J19" s="61"/>
      <c r="K19" s="62"/>
      <c r="L19" s="89">
        <f t="shared" si="2"/>
        <v>0</v>
      </c>
      <c r="N19" s="76">
        <v>16</v>
      </c>
      <c r="O19" s="466">
        <v>839.57061572688258</v>
      </c>
      <c r="P19" s="81"/>
      <c r="Q19" s="68">
        <f t="shared" si="3"/>
        <v>839.57061572688258</v>
      </c>
      <c r="R19" s="83"/>
    </row>
    <row r="20" spans="1:18" x14ac:dyDescent="0.25">
      <c r="A20" s="114">
        <v>17</v>
      </c>
      <c r="B20" s="197"/>
      <c r="C20" s="198"/>
      <c r="D20" s="115"/>
      <c r="E20" s="101">
        <v>17</v>
      </c>
      <c r="F20" s="105"/>
      <c r="G20" s="106"/>
      <c r="H20" s="104">
        <f t="shared" si="1"/>
        <v>0</v>
      </c>
      <c r="I20" s="50">
        <v>17</v>
      </c>
      <c r="J20" s="61"/>
      <c r="K20" s="62"/>
      <c r="L20" s="89">
        <f t="shared" si="2"/>
        <v>0</v>
      </c>
      <c r="N20" s="76">
        <v>17</v>
      </c>
      <c r="O20" s="466">
        <v>817.91701380028849</v>
      </c>
      <c r="P20" s="81"/>
      <c r="Q20" s="68">
        <f t="shared" si="3"/>
        <v>817.91701380028849</v>
      </c>
      <c r="R20" s="83"/>
    </row>
    <row r="21" spans="1:18" x14ac:dyDescent="0.25">
      <c r="A21" s="114">
        <v>18</v>
      </c>
      <c r="B21" s="197"/>
      <c r="C21" s="198"/>
      <c r="D21" s="115"/>
      <c r="E21" s="101">
        <v>18</v>
      </c>
      <c r="F21" s="105"/>
      <c r="G21" s="106"/>
      <c r="H21" s="104">
        <f t="shared" si="1"/>
        <v>0</v>
      </c>
      <c r="I21" s="50">
        <v>18</v>
      </c>
      <c r="J21" s="61"/>
      <c r="K21" s="62"/>
      <c r="L21" s="89">
        <f t="shared" si="2"/>
        <v>0</v>
      </c>
      <c r="N21" s="76">
        <v>18</v>
      </c>
      <c r="O21" s="466">
        <v>801.87416845876828</v>
      </c>
      <c r="P21" s="81"/>
      <c r="Q21" s="68">
        <f t="shared" si="3"/>
        <v>801.87416845876828</v>
      </c>
      <c r="R21" s="83"/>
    </row>
    <row r="22" spans="1:18" x14ac:dyDescent="0.25">
      <c r="A22" s="114">
        <v>19</v>
      </c>
      <c r="B22" s="197"/>
      <c r="C22" s="198"/>
      <c r="D22" s="115"/>
      <c r="E22" s="101">
        <v>19</v>
      </c>
      <c r="F22" s="105"/>
      <c r="G22" s="106"/>
      <c r="H22" s="104">
        <f t="shared" si="1"/>
        <v>0</v>
      </c>
      <c r="I22" s="50">
        <v>19</v>
      </c>
      <c r="J22" s="61"/>
      <c r="K22" s="62"/>
      <c r="L22" s="89">
        <f t="shared" si="2"/>
        <v>0</v>
      </c>
      <c r="N22" s="76">
        <v>19</v>
      </c>
      <c r="O22" s="466">
        <v>851.80878624783804</v>
      </c>
      <c r="P22" s="81"/>
      <c r="Q22" s="68">
        <f t="shared" si="3"/>
        <v>851.80878624783804</v>
      </c>
      <c r="R22" s="83"/>
    </row>
    <row r="23" spans="1:18" x14ac:dyDescent="0.25">
      <c r="A23" s="114">
        <v>20</v>
      </c>
      <c r="B23" s="197"/>
      <c r="C23" s="198"/>
      <c r="D23" s="115"/>
      <c r="E23" s="101">
        <v>20</v>
      </c>
      <c r="F23" s="105"/>
      <c r="G23" s="106"/>
      <c r="H23" s="104">
        <f t="shared" si="1"/>
        <v>0</v>
      </c>
      <c r="I23" s="50">
        <v>20</v>
      </c>
      <c r="J23" s="61"/>
      <c r="K23" s="62"/>
      <c r="L23" s="89">
        <f t="shared" si="2"/>
        <v>0</v>
      </c>
      <c r="N23" s="76">
        <v>20</v>
      </c>
      <c r="O23" s="466">
        <v>878.8392086357868</v>
      </c>
      <c r="P23" s="81"/>
      <c r="Q23" s="68">
        <f t="shared" si="3"/>
        <v>878.8392086357868</v>
      </c>
      <c r="R23" s="83"/>
    </row>
    <row r="24" spans="1:18" x14ac:dyDescent="0.25">
      <c r="A24" s="114">
        <v>21</v>
      </c>
      <c r="B24" s="197"/>
      <c r="C24" s="198"/>
      <c r="D24" s="115"/>
      <c r="E24" s="101">
        <v>21</v>
      </c>
      <c r="F24" s="105"/>
      <c r="G24" s="106"/>
      <c r="H24" s="104">
        <f t="shared" si="1"/>
        <v>0</v>
      </c>
      <c r="I24" s="50">
        <v>21</v>
      </c>
      <c r="J24" s="61"/>
      <c r="K24" s="62"/>
      <c r="L24" s="89">
        <f t="shared" si="2"/>
        <v>0</v>
      </c>
      <c r="N24" s="76">
        <v>21</v>
      </c>
      <c r="O24" s="466">
        <v>854.47732117553107</v>
      </c>
      <c r="P24" s="81"/>
      <c r="Q24" s="68">
        <f t="shared" si="3"/>
        <v>854.47732117553107</v>
      </c>
      <c r="R24" s="83"/>
    </row>
    <row r="25" spans="1:18" x14ac:dyDescent="0.25">
      <c r="A25" s="114">
        <v>22</v>
      </c>
      <c r="B25" s="197"/>
      <c r="C25" s="198"/>
      <c r="D25" s="115"/>
      <c r="E25" s="101">
        <v>22</v>
      </c>
      <c r="F25" s="105"/>
      <c r="G25" s="106"/>
      <c r="H25" s="104">
        <f t="shared" si="1"/>
        <v>0</v>
      </c>
      <c r="I25" s="50">
        <v>22</v>
      </c>
      <c r="J25" s="61"/>
      <c r="K25" s="62"/>
      <c r="L25" s="89">
        <f t="shared" si="2"/>
        <v>0</v>
      </c>
      <c r="N25" s="76">
        <v>22</v>
      </c>
      <c r="O25" s="466">
        <v>801.45925667495624</v>
      </c>
      <c r="P25" s="81"/>
      <c r="Q25" s="68">
        <f t="shared" si="3"/>
        <v>801.45925667495624</v>
      </c>
      <c r="R25" s="83"/>
    </row>
    <row r="26" spans="1:18" x14ac:dyDescent="0.25">
      <c r="A26" s="114">
        <v>23</v>
      </c>
      <c r="B26" s="197"/>
      <c r="C26" s="198"/>
      <c r="D26" s="115"/>
      <c r="E26" s="101">
        <v>23</v>
      </c>
      <c r="F26" s="105"/>
      <c r="G26" s="106"/>
      <c r="H26" s="104">
        <f t="shared" si="1"/>
        <v>0</v>
      </c>
      <c r="I26" s="50">
        <v>23</v>
      </c>
      <c r="J26" s="61"/>
      <c r="K26" s="62"/>
      <c r="L26" s="89">
        <f t="shared" si="2"/>
        <v>0</v>
      </c>
      <c r="N26" s="76">
        <v>23</v>
      </c>
      <c r="O26" s="466">
        <v>721.08074792847356</v>
      </c>
      <c r="P26" s="81"/>
      <c r="Q26" s="68">
        <f t="shared" si="3"/>
        <v>721.08074792847356</v>
      </c>
      <c r="R26" s="83"/>
    </row>
    <row r="27" spans="1:18" x14ac:dyDescent="0.25">
      <c r="A27" s="114">
        <v>24</v>
      </c>
      <c r="B27" s="199"/>
      <c r="C27" s="200"/>
      <c r="D27" s="115"/>
      <c r="E27" s="101">
        <v>24</v>
      </c>
      <c r="F27" s="107"/>
      <c r="G27" s="108"/>
      <c r="H27" s="104">
        <f t="shared" si="1"/>
        <v>0</v>
      </c>
      <c r="I27" s="50">
        <v>24</v>
      </c>
      <c r="J27" s="63"/>
      <c r="K27" s="64"/>
      <c r="L27" s="89">
        <f t="shared" si="2"/>
        <v>0</v>
      </c>
      <c r="N27" s="76">
        <v>24</v>
      </c>
      <c r="O27" s="467">
        <v>645.28944657956242</v>
      </c>
      <c r="P27" s="82"/>
      <c r="Q27" s="68">
        <f t="shared" si="3"/>
        <v>645.28944657956242</v>
      </c>
      <c r="R27" s="83"/>
    </row>
    <row r="28" spans="1:18" ht="13.8" thickBot="1" x14ac:dyDescent="0.3">
      <c r="A28" s="114"/>
      <c r="B28" s="116"/>
      <c r="C28" s="116"/>
      <c r="D28" s="115"/>
      <c r="E28" s="101"/>
      <c r="F28" s="68"/>
      <c r="G28" s="68"/>
      <c r="H28" s="104"/>
      <c r="I28" s="50"/>
      <c r="J28" s="51"/>
      <c r="K28" s="51"/>
      <c r="L28" s="89"/>
      <c r="N28" s="77"/>
      <c r="O28" s="78" t="s">
        <v>15</v>
      </c>
      <c r="P28" s="78"/>
      <c r="Q28" s="78"/>
      <c r="R28" s="79"/>
    </row>
    <row r="29" spans="1:18" ht="13.8" thickTop="1" x14ac:dyDescent="0.25">
      <c r="A29" s="117" t="s">
        <v>16</v>
      </c>
      <c r="B29" s="116">
        <f>SUMIF(B4:B27,"&lt;0")</f>
        <v>0</v>
      </c>
      <c r="C29" s="116"/>
      <c r="D29" s="115">
        <f>SUMIF(D4:D27,"&lt;0")</f>
        <v>0</v>
      </c>
      <c r="E29" s="109" t="s">
        <v>16</v>
      </c>
      <c r="F29" s="68">
        <f>SUMIF(F4:F27,"&lt;0")</f>
        <v>0</v>
      </c>
      <c r="G29" s="68"/>
      <c r="H29" s="104">
        <f>SUMIF(H4:H27,"&lt;0")</f>
        <v>0</v>
      </c>
      <c r="I29" s="52" t="s">
        <v>16</v>
      </c>
      <c r="J29" s="51">
        <f>SUMIF(J4:J27,"&lt;0")</f>
        <v>0</v>
      </c>
      <c r="K29" s="51"/>
      <c r="L29" s="89">
        <f>SUMIF(L4:L27,"&lt;0")</f>
        <v>0</v>
      </c>
    </row>
    <row r="30" spans="1:18" x14ac:dyDescent="0.25">
      <c r="A30" s="117" t="s">
        <v>17</v>
      </c>
      <c r="B30" s="116">
        <f>SUMIF(B4:B27,"&gt;0")</f>
        <v>0</v>
      </c>
      <c r="C30" s="116"/>
      <c r="D30" s="115">
        <f>SUMIF(D4:D27,"&gt;0")</f>
        <v>0</v>
      </c>
      <c r="E30" s="109" t="s">
        <v>17</v>
      </c>
      <c r="F30" s="68">
        <f>SUMIF(F4:F27,"&gt;0")</f>
        <v>0</v>
      </c>
      <c r="G30" s="68"/>
      <c r="H30" s="104">
        <f>SUMIF(H4:H27,"&gt;0")</f>
        <v>0</v>
      </c>
      <c r="I30" s="52" t="s">
        <v>17</v>
      </c>
      <c r="J30" s="51">
        <f>SUMIF(J4:J27,"&gt;0")</f>
        <v>0</v>
      </c>
      <c r="K30" s="51"/>
      <c r="L30" s="89">
        <f>SUMIF(L4:L27,"&gt;0")</f>
        <v>0</v>
      </c>
    </row>
    <row r="31" spans="1:18" ht="13.8" thickBot="1" x14ac:dyDescent="0.3">
      <c r="A31" s="118" t="s">
        <v>18</v>
      </c>
      <c r="B31" s="119">
        <f>SUM(B4:B27)</f>
        <v>0</v>
      </c>
      <c r="C31" s="119"/>
      <c r="D31" s="120">
        <f>SUM(D4:D27)</f>
        <v>0</v>
      </c>
      <c r="E31" s="110" t="s">
        <v>18</v>
      </c>
      <c r="F31" s="78">
        <f>SUM(F4:F27)</f>
        <v>0</v>
      </c>
      <c r="G31" s="78"/>
      <c r="H31" s="111">
        <f>SUM(H4:H27)</f>
        <v>0</v>
      </c>
      <c r="I31" s="57" t="s">
        <v>18</v>
      </c>
      <c r="J31" s="58">
        <f>SUM(J4:J27)</f>
        <v>0</v>
      </c>
      <c r="K31" s="58"/>
      <c r="L31" s="90">
        <f>SUM(L4:L27)</f>
        <v>0</v>
      </c>
    </row>
    <row r="32" spans="1:18" ht="13.8" thickTop="1" x14ac:dyDescent="0.25"/>
  </sheetData>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pageSetUpPr fitToPage="1"/>
  </sheetPr>
  <dimension ref="A2:AI81"/>
  <sheetViews>
    <sheetView zoomScale="90" workbookViewId="0">
      <selection activeCell="A5" sqref="A5"/>
    </sheetView>
  </sheetViews>
  <sheetFormatPr defaultRowHeight="13.2" x14ac:dyDescent="0.25"/>
  <cols>
    <col min="1" max="1" width="13.109375" customWidth="1"/>
    <col min="2" max="2" width="10.5546875" customWidth="1"/>
    <col min="3" max="3" width="12.88671875" customWidth="1"/>
    <col min="4" max="4" width="11.109375" customWidth="1"/>
    <col min="5" max="5" width="10.88671875" customWidth="1"/>
    <col min="6" max="6" width="10.5546875" customWidth="1"/>
    <col min="7" max="7" width="11.109375" customWidth="1"/>
    <col min="8" max="8" width="11.6640625" customWidth="1"/>
    <col min="9" max="9" width="10.6640625" customWidth="1"/>
    <col min="10" max="10" width="11.109375" bestFit="1" customWidth="1"/>
  </cols>
  <sheetData>
    <row r="2" spans="1:35" x14ac:dyDescent="0.25">
      <c r="A2" s="39" t="s">
        <v>58</v>
      </c>
      <c r="B2" s="43" t="s">
        <v>59</v>
      </c>
    </row>
    <row r="4" spans="1:35" x14ac:dyDescent="0.25">
      <c r="A4" s="40"/>
      <c r="B4" s="44"/>
      <c r="C4" s="44"/>
      <c r="D4" s="39" t="s">
        <v>60</v>
      </c>
      <c r="E4" s="44"/>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6"/>
    </row>
    <row r="5" spans="1:35" x14ac:dyDescent="0.25">
      <c r="A5" s="39" t="s">
        <v>61</v>
      </c>
      <c r="B5" s="39" t="s">
        <v>10</v>
      </c>
      <c r="C5" s="39" t="s">
        <v>62</v>
      </c>
      <c r="D5" s="40" t="s">
        <v>63</v>
      </c>
      <c r="E5" s="44" t="s">
        <v>64</v>
      </c>
      <c r="F5" s="44" t="s">
        <v>248</v>
      </c>
      <c r="G5" s="44" t="s">
        <v>251</v>
      </c>
      <c r="H5" s="44" t="s">
        <v>258</v>
      </c>
      <c r="I5" s="44" t="s">
        <v>9</v>
      </c>
      <c r="J5" s="44" t="s">
        <v>255</v>
      </c>
      <c r="K5" s="44">
        <v>1</v>
      </c>
      <c r="L5" s="44">
        <v>2</v>
      </c>
      <c r="M5" s="44">
        <v>3</v>
      </c>
      <c r="N5" s="44">
        <v>4</v>
      </c>
      <c r="O5" s="44">
        <v>5</v>
      </c>
      <c r="P5" s="44">
        <v>6</v>
      </c>
      <c r="Q5" s="44">
        <v>7</v>
      </c>
      <c r="R5" s="44">
        <v>8</v>
      </c>
      <c r="S5" s="44">
        <v>9</v>
      </c>
      <c r="T5" s="44">
        <v>10</v>
      </c>
      <c r="U5" s="44">
        <v>11</v>
      </c>
      <c r="V5" s="44">
        <v>12</v>
      </c>
      <c r="W5" s="44">
        <v>13</v>
      </c>
      <c r="X5" s="44">
        <v>14</v>
      </c>
      <c r="Y5" s="44">
        <v>15</v>
      </c>
      <c r="Z5" s="44">
        <v>16</v>
      </c>
      <c r="AA5" s="44">
        <v>17</v>
      </c>
      <c r="AB5" s="44">
        <v>18</v>
      </c>
      <c r="AC5" s="44">
        <v>19</v>
      </c>
      <c r="AD5" s="44">
        <v>20</v>
      </c>
      <c r="AE5" s="44">
        <v>21</v>
      </c>
      <c r="AF5" s="44">
        <v>22</v>
      </c>
      <c r="AG5" s="44">
        <v>23</v>
      </c>
      <c r="AH5" s="44">
        <v>24</v>
      </c>
      <c r="AI5" s="87" t="s">
        <v>65</v>
      </c>
    </row>
    <row r="6" spans="1:35" x14ac:dyDescent="0.25">
      <c r="A6" s="40" t="s">
        <v>66</v>
      </c>
      <c r="B6" s="40" t="s">
        <v>67</v>
      </c>
      <c r="C6" s="40" t="s">
        <v>8</v>
      </c>
      <c r="D6" s="45">
        <v>0</v>
      </c>
      <c r="E6" s="86">
        <v>715</v>
      </c>
      <c r="F6" s="86">
        <v>0</v>
      </c>
      <c r="G6" s="86">
        <v>0</v>
      </c>
      <c r="H6" s="86">
        <v>0</v>
      </c>
      <c r="I6" s="86">
        <v>0</v>
      </c>
      <c r="J6" s="86">
        <v>0</v>
      </c>
      <c r="K6" s="86">
        <v>0</v>
      </c>
      <c r="L6" s="86">
        <v>0</v>
      </c>
      <c r="M6" s="86">
        <v>0</v>
      </c>
      <c r="N6" s="86">
        <v>0</v>
      </c>
      <c r="O6" s="86">
        <v>0</v>
      </c>
      <c r="P6" s="86">
        <v>0</v>
      </c>
      <c r="Q6" s="86">
        <v>0</v>
      </c>
      <c r="R6" s="86">
        <v>0</v>
      </c>
      <c r="S6" s="86">
        <v>0</v>
      </c>
      <c r="T6" s="86">
        <v>0</v>
      </c>
      <c r="U6" s="86">
        <v>0</v>
      </c>
      <c r="V6" s="86">
        <v>0</v>
      </c>
      <c r="W6" s="86">
        <v>0</v>
      </c>
      <c r="X6" s="86">
        <v>0</v>
      </c>
      <c r="Y6" s="86">
        <v>0</v>
      </c>
      <c r="Z6" s="86">
        <v>0</v>
      </c>
      <c r="AA6" s="86">
        <v>0</v>
      </c>
      <c r="AB6" s="86">
        <v>0</v>
      </c>
      <c r="AC6" s="86">
        <v>0</v>
      </c>
      <c r="AD6" s="86">
        <v>0</v>
      </c>
      <c r="AE6" s="86">
        <v>0</v>
      </c>
      <c r="AF6" s="86">
        <v>0</v>
      </c>
      <c r="AG6" s="86">
        <v>0</v>
      </c>
      <c r="AH6" s="86">
        <v>0</v>
      </c>
      <c r="AI6" s="88">
        <v>715</v>
      </c>
    </row>
    <row r="7" spans="1:35" x14ac:dyDescent="0.25">
      <c r="A7" s="66"/>
      <c r="B7" s="66"/>
      <c r="C7" s="41" t="s">
        <v>68</v>
      </c>
      <c r="D7" s="159">
        <v>0</v>
      </c>
      <c r="E7" s="160">
        <v>0</v>
      </c>
      <c r="F7" s="160">
        <v>0</v>
      </c>
      <c r="G7" s="160">
        <v>0</v>
      </c>
      <c r="H7" s="160">
        <v>0</v>
      </c>
      <c r="I7" s="160">
        <v>0</v>
      </c>
      <c r="J7" s="160">
        <v>0</v>
      </c>
      <c r="K7" s="160">
        <v>0</v>
      </c>
      <c r="L7" s="160">
        <v>0</v>
      </c>
      <c r="M7" s="160">
        <v>0</v>
      </c>
      <c r="N7" s="160">
        <v>0</v>
      </c>
      <c r="O7" s="160">
        <v>0</v>
      </c>
      <c r="P7" s="160">
        <v>0</v>
      </c>
      <c r="Q7" s="160">
        <v>0</v>
      </c>
      <c r="R7" s="160">
        <v>0</v>
      </c>
      <c r="S7" s="160">
        <v>0</v>
      </c>
      <c r="T7" s="160">
        <v>0</v>
      </c>
      <c r="U7" s="160">
        <v>0</v>
      </c>
      <c r="V7" s="160">
        <v>0</v>
      </c>
      <c r="W7" s="160">
        <v>0</v>
      </c>
      <c r="X7" s="160">
        <v>0</v>
      </c>
      <c r="Y7" s="160">
        <v>0</v>
      </c>
      <c r="Z7" s="160">
        <v>0</v>
      </c>
      <c r="AA7" s="160">
        <v>0</v>
      </c>
      <c r="AB7" s="160">
        <v>0</v>
      </c>
      <c r="AC7" s="160">
        <v>0</v>
      </c>
      <c r="AD7" s="160">
        <v>0</v>
      </c>
      <c r="AE7" s="160">
        <v>0</v>
      </c>
      <c r="AF7" s="160">
        <v>0</v>
      </c>
      <c r="AG7" s="160">
        <v>0</v>
      </c>
      <c r="AH7" s="160">
        <v>0</v>
      </c>
      <c r="AI7" s="161">
        <v>0</v>
      </c>
    </row>
    <row r="8" spans="1:35" x14ac:dyDescent="0.25">
      <c r="A8" s="40" t="s">
        <v>69</v>
      </c>
      <c r="B8" s="40" t="s">
        <v>67</v>
      </c>
      <c r="C8" s="40" t="s">
        <v>8</v>
      </c>
      <c r="D8" s="45">
        <v>269</v>
      </c>
      <c r="E8" s="86">
        <v>0</v>
      </c>
      <c r="F8" s="86">
        <v>0</v>
      </c>
      <c r="G8" s="86">
        <v>295</v>
      </c>
      <c r="H8" s="86">
        <v>0</v>
      </c>
      <c r="I8" s="86">
        <v>0</v>
      </c>
      <c r="J8" s="86">
        <v>0</v>
      </c>
      <c r="K8" s="86">
        <v>0</v>
      </c>
      <c r="L8" s="86">
        <v>0</v>
      </c>
      <c r="M8" s="86">
        <v>0</v>
      </c>
      <c r="N8" s="86">
        <v>0</v>
      </c>
      <c r="O8" s="86">
        <v>0</v>
      </c>
      <c r="P8" s="86">
        <v>0</v>
      </c>
      <c r="Q8" s="86">
        <v>0</v>
      </c>
      <c r="R8" s="86">
        <v>0</v>
      </c>
      <c r="S8" s="86">
        <v>0</v>
      </c>
      <c r="T8" s="86">
        <v>0</v>
      </c>
      <c r="U8" s="86">
        <v>0</v>
      </c>
      <c r="V8" s="86">
        <v>0</v>
      </c>
      <c r="W8" s="86">
        <v>0</v>
      </c>
      <c r="X8" s="86">
        <v>0</v>
      </c>
      <c r="Y8" s="86">
        <v>0</v>
      </c>
      <c r="Z8" s="86">
        <v>0</v>
      </c>
      <c r="AA8" s="86">
        <v>0</v>
      </c>
      <c r="AB8" s="86">
        <v>0</v>
      </c>
      <c r="AC8" s="86">
        <v>0</v>
      </c>
      <c r="AD8" s="86">
        <v>0</v>
      </c>
      <c r="AE8" s="86">
        <v>0</v>
      </c>
      <c r="AF8" s="86">
        <v>0</v>
      </c>
      <c r="AG8" s="86">
        <v>0</v>
      </c>
      <c r="AH8" s="86">
        <v>0</v>
      </c>
      <c r="AI8" s="88">
        <v>564</v>
      </c>
    </row>
    <row r="9" spans="1:35" x14ac:dyDescent="0.25">
      <c r="A9" s="66"/>
      <c r="B9" s="66"/>
      <c r="C9" s="41" t="s">
        <v>68</v>
      </c>
      <c r="D9" s="159">
        <v>0</v>
      </c>
      <c r="E9" s="160">
        <v>0</v>
      </c>
      <c r="F9" s="160">
        <v>0</v>
      </c>
      <c r="G9" s="160">
        <v>5550</v>
      </c>
      <c r="H9" s="160">
        <v>0</v>
      </c>
      <c r="I9" s="160">
        <v>0</v>
      </c>
      <c r="J9" s="160">
        <v>0</v>
      </c>
      <c r="K9" s="160">
        <v>0</v>
      </c>
      <c r="L9" s="160">
        <v>0</v>
      </c>
      <c r="M9" s="160">
        <v>0</v>
      </c>
      <c r="N9" s="160">
        <v>0</v>
      </c>
      <c r="O9" s="160">
        <v>0</v>
      </c>
      <c r="P9" s="160">
        <v>0</v>
      </c>
      <c r="Q9" s="160">
        <v>0</v>
      </c>
      <c r="R9" s="160">
        <v>0</v>
      </c>
      <c r="S9" s="160">
        <v>0</v>
      </c>
      <c r="T9" s="160">
        <v>0</v>
      </c>
      <c r="U9" s="160">
        <v>0</v>
      </c>
      <c r="V9" s="160">
        <v>0</v>
      </c>
      <c r="W9" s="160">
        <v>0</v>
      </c>
      <c r="X9" s="160">
        <v>0</v>
      </c>
      <c r="Y9" s="160">
        <v>0</v>
      </c>
      <c r="Z9" s="160">
        <v>0</v>
      </c>
      <c r="AA9" s="160">
        <v>0</v>
      </c>
      <c r="AB9" s="160">
        <v>0</v>
      </c>
      <c r="AC9" s="160">
        <v>0</v>
      </c>
      <c r="AD9" s="160">
        <v>0</v>
      </c>
      <c r="AE9" s="160">
        <v>0</v>
      </c>
      <c r="AF9" s="160">
        <v>0</v>
      </c>
      <c r="AG9" s="160">
        <v>0</v>
      </c>
      <c r="AH9" s="160">
        <v>0</v>
      </c>
      <c r="AI9" s="161">
        <v>5550</v>
      </c>
    </row>
    <row r="10" spans="1:35" x14ac:dyDescent="0.25">
      <c r="A10" s="40" t="s">
        <v>3</v>
      </c>
      <c r="B10" s="40" t="s">
        <v>67</v>
      </c>
      <c r="C10" s="40" t="s">
        <v>8</v>
      </c>
      <c r="D10" s="45">
        <v>0</v>
      </c>
      <c r="E10" s="86">
        <v>0</v>
      </c>
      <c r="F10" s="86">
        <v>0</v>
      </c>
      <c r="G10" s="86">
        <v>0</v>
      </c>
      <c r="H10" s="86">
        <v>0</v>
      </c>
      <c r="I10" s="86">
        <v>0</v>
      </c>
      <c r="J10" s="86">
        <v>0</v>
      </c>
      <c r="K10" s="86">
        <v>0</v>
      </c>
      <c r="L10" s="86">
        <v>0</v>
      </c>
      <c r="M10" s="86">
        <v>0</v>
      </c>
      <c r="N10" s="86">
        <v>0</v>
      </c>
      <c r="O10" s="86">
        <v>0</v>
      </c>
      <c r="P10" s="86">
        <v>0</v>
      </c>
      <c r="Q10" s="86">
        <v>0</v>
      </c>
      <c r="R10" s="86">
        <v>0</v>
      </c>
      <c r="S10" s="86">
        <v>0</v>
      </c>
      <c r="T10" s="86">
        <v>0</v>
      </c>
      <c r="U10" s="86">
        <v>0</v>
      </c>
      <c r="V10" s="86">
        <v>0</v>
      </c>
      <c r="W10" s="86">
        <v>0</v>
      </c>
      <c r="X10" s="86">
        <v>0</v>
      </c>
      <c r="Y10" s="86">
        <v>0</v>
      </c>
      <c r="Z10" s="86">
        <v>0</v>
      </c>
      <c r="AA10" s="86">
        <v>0</v>
      </c>
      <c r="AB10" s="86">
        <v>0</v>
      </c>
      <c r="AC10" s="86">
        <v>0</v>
      </c>
      <c r="AD10" s="86">
        <v>0</v>
      </c>
      <c r="AE10" s="86">
        <v>0</v>
      </c>
      <c r="AF10" s="86">
        <v>0</v>
      </c>
      <c r="AG10" s="86">
        <v>0</v>
      </c>
      <c r="AH10" s="86">
        <v>0</v>
      </c>
      <c r="AI10" s="88">
        <v>0</v>
      </c>
    </row>
    <row r="11" spans="1:35" x14ac:dyDescent="0.25">
      <c r="A11" s="66"/>
      <c r="B11" s="66"/>
      <c r="C11" s="41" t="s">
        <v>68</v>
      </c>
      <c r="D11" s="159">
        <v>0</v>
      </c>
      <c r="E11" s="160">
        <v>0</v>
      </c>
      <c r="F11" s="160">
        <v>0</v>
      </c>
      <c r="G11" s="160">
        <v>0</v>
      </c>
      <c r="H11" s="160">
        <v>0</v>
      </c>
      <c r="I11" s="160">
        <v>0</v>
      </c>
      <c r="J11" s="160">
        <v>0</v>
      </c>
      <c r="K11" s="160">
        <v>0</v>
      </c>
      <c r="L11" s="160">
        <v>0</v>
      </c>
      <c r="M11" s="160">
        <v>0</v>
      </c>
      <c r="N11" s="160">
        <v>0</v>
      </c>
      <c r="O11" s="160">
        <v>0</v>
      </c>
      <c r="P11" s="160">
        <v>0</v>
      </c>
      <c r="Q11" s="160">
        <v>0</v>
      </c>
      <c r="R11" s="160">
        <v>0</v>
      </c>
      <c r="S11" s="160">
        <v>0</v>
      </c>
      <c r="T11" s="160">
        <v>0</v>
      </c>
      <c r="U11" s="160">
        <v>0</v>
      </c>
      <c r="V11" s="160">
        <v>0</v>
      </c>
      <c r="W11" s="160">
        <v>0</v>
      </c>
      <c r="X11" s="160">
        <v>0</v>
      </c>
      <c r="Y11" s="160">
        <v>0</v>
      </c>
      <c r="Z11" s="160">
        <v>0</v>
      </c>
      <c r="AA11" s="160">
        <v>0</v>
      </c>
      <c r="AB11" s="160">
        <v>0</v>
      </c>
      <c r="AC11" s="160">
        <v>0</v>
      </c>
      <c r="AD11" s="160">
        <v>0</v>
      </c>
      <c r="AE11" s="160">
        <v>0</v>
      </c>
      <c r="AF11" s="160">
        <v>0</v>
      </c>
      <c r="AG11" s="160">
        <v>0</v>
      </c>
      <c r="AH11" s="160">
        <v>0</v>
      </c>
      <c r="AI11" s="161">
        <v>0</v>
      </c>
    </row>
    <row r="12" spans="1:35" x14ac:dyDescent="0.25">
      <c r="A12" s="66"/>
      <c r="B12" s="40" t="s">
        <v>70</v>
      </c>
      <c r="C12" s="40" t="s">
        <v>8</v>
      </c>
      <c r="D12" s="45">
        <v>0</v>
      </c>
      <c r="E12" s="86">
        <v>0</v>
      </c>
      <c r="F12" s="86">
        <v>0</v>
      </c>
      <c r="G12" s="86">
        <v>0</v>
      </c>
      <c r="H12" s="86">
        <v>-240</v>
      </c>
      <c r="I12" s="86">
        <v>0</v>
      </c>
      <c r="J12" s="86">
        <v>0</v>
      </c>
      <c r="K12" s="86">
        <v>0</v>
      </c>
      <c r="L12" s="86">
        <v>0</v>
      </c>
      <c r="M12" s="86">
        <v>0</v>
      </c>
      <c r="N12" s="86">
        <v>0</v>
      </c>
      <c r="O12" s="86">
        <v>0</v>
      </c>
      <c r="P12" s="86">
        <v>0</v>
      </c>
      <c r="Q12" s="86">
        <v>0</v>
      </c>
      <c r="R12" s="86">
        <v>0</v>
      </c>
      <c r="S12" s="86">
        <v>0</v>
      </c>
      <c r="T12" s="86">
        <v>0</v>
      </c>
      <c r="U12" s="86">
        <v>0</v>
      </c>
      <c r="V12" s="86">
        <v>0</v>
      </c>
      <c r="W12" s="86">
        <v>0</v>
      </c>
      <c r="X12" s="86">
        <v>0</v>
      </c>
      <c r="Y12" s="86">
        <v>0</v>
      </c>
      <c r="Z12" s="86">
        <v>0</v>
      </c>
      <c r="AA12" s="86">
        <v>0</v>
      </c>
      <c r="AB12" s="86">
        <v>0</v>
      </c>
      <c r="AC12" s="86">
        <v>0</v>
      </c>
      <c r="AD12" s="86">
        <v>0</v>
      </c>
      <c r="AE12" s="86">
        <v>0</v>
      </c>
      <c r="AF12" s="86">
        <v>0</v>
      </c>
      <c r="AG12" s="86">
        <v>0</v>
      </c>
      <c r="AH12" s="86">
        <v>0</v>
      </c>
      <c r="AI12" s="88">
        <v>-240</v>
      </c>
    </row>
    <row r="13" spans="1:35" x14ac:dyDescent="0.25">
      <c r="A13" s="66"/>
      <c r="B13" s="66"/>
      <c r="C13" s="41" t="s">
        <v>68</v>
      </c>
      <c r="D13" s="159">
        <v>0</v>
      </c>
      <c r="E13" s="160">
        <v>0</v>
      </c>
      <c r="F13" s="160">
        <v>0</v>
      </c>
      <c r="G13" s="160">
        <v>0</v>
      </c>
      <c r="H13" s="160">
        <v>-6240</v>
      </c>
      <c r="I13" s="160">
        <v>0</v>
      </c>
      <c r="J13" s="160">
        <v>0</v>
      </c>
      <c r="K13" s="160">
        <v>0</v>
      </c>
      <c r="L13" s="160">
        <v>0</v>
      </c>
      <c r="M13" s="160">
        <v>0</v>
      </c>
      <c r="N13" s="160">
        <v>0</v>
      </c>
      <c r="O13" s="160">
        <v>0</v>
      </c>
      <c r="P13" s="160">
        <v>0</v>
      </c>
      <c r="Q13" s="160">
        <v>0</v>
      </c>
      <c r="R13" s="160">
        <v>0</v>
      </c>
      <c r="S13" s="160">
        <v>0</v>
      </c>
      <c r="T13" s="160">
        <v>0</v>
      </c>
      <c r="U13" s="160">
        <v>0</v>
      </c>
      <c r="V13" s="160">
        <v>0</v>
      </c>
      <c r="W13" s="160">
        <v>0</v>
      </c>
      <c r="X13" s="160">
        <v>0</v>
      </c>
      <c r="Y13" s="160">
        <v>0</v>
      </c>
      <c r="Z13" s="160">
        <v>0</v>
      </c>
      <c r="AA13" s="160">
        <v>0</v>
      </c>
      <c r="AB13" s="160">
        <v>0</v>
      </c>
      <c r="AC13" s="160">
        <v>0</v>
      </c>
      <c r="AD13" s="160">
        <v>0</v>
      </c>
      <c r="AE13" s="160">
        <v>0</v>
      </c>
      <c r="AF13" s="160">
        <v>0</v>
      </c>
      <c r="AG13" s="160">
        <v>0</v>
      </c>
      <c r="AH13" s="160">
        <v>0</v>
      </c>
      <c r="AI13" s="161">
        <v>-6240</v>
      </c>
    </row>
    <row r="14" spans="1:35" x14ac:dyDescent="0.25">
      <c r="A14" s="40" t="s">
        <v>71</v>
      </c>
      <c r="B14" s="40" t="s">
        <v>67</v>
      </c>
      <c r="C14" s="40" t="s">
        <v>8</v>
      </c>
      <c r="D14" s="45">
        <v>0</v>
      </c>
      <c r="E14" s="86">
        <v>530</v>
      </c>
      <c r="F14" s="86">
        <v>360</v>
      </c>
      <c r="G14" s="86">
        <v>0</v>
      </c>
      <c r="H14" s="86">
        <v>0</v>
      </c>
      <c r="I14" s="86">
        <v>0</v>
      </c>
      <c r="J14" s="86">
        <v>0</v>
      </c>
      <c r="K14" s="86">
        <v>0</v>
      </c>
      <c r="L14" s="86">
        <v>0</v>
      </c>
      <c r="M14" s="86">
        <v>0</v>
      </c>
      <c r="N14" s="86">
        <v>0</v>
      </c>
      <c r="O14" s="86">
        <v>0</v>
      </c>
      <c r="P14" s="86">
        <v>0</v>
      </c>
      <c r="Q14" s="86">
        <v>0</v>
      </c>
      <c r="R14" s="86">
        <v>0</v>
      </c>
      <c r="S14" s="86">
        <v>0</v>
      </c>
      <c r="T14" s="86">
        <v>0</v>
      </c>
      <c r="U14" s="86">
        <v>0</v>
      </c>
      <c r="V14" s="86">
        <v>0</v>
      </c>
      <c r="W14" s="86">
        <v>0</v>
      </c>
      <c r="X14" s="86">
        <v>0</v>
      </c>
      <c r="Y14" s="86">
        <v>0</v>
      </c>
      <c r="Z14" s="86">
        <v>0</v>
      </c>
      <c r="AA14" s="86">
        <v>0</v>
      </c>
      <c r="AB14" s="86">
        <v>0</v>
      </c>
      <c r="AC14" s="86">
        <v>0</v>
      </c>
      <c r="AD14" s="86">
        <v>0</v>
      </c>
      <c r="AE14" s="86">
        <v>0</v>
      </c>
      <c r="AF14" s="86">
        <v>0</v>
      </c>
      <c r="AG14" s="86">
        <v>0</v>
      </c>
      <c r="AH14" s="86">
        <v>0</v>
      </c>
      <c r="AI14" s="88">
        <v>890</v>
      </c>
    </row>
    <row r="15" spans="1:35" x14ac:dyDescent="0.25">
      <c r="A15" s="66"/>
      <c r="B15" s="66"/>
      <c r="C15" s="41" t="s">
        <v>68</v>
      </c>
      <c r="D15" s="159">
        <v>0</v>
      </c>
      <c r="E15" s="160">
        <v>0</v>
      </c>
      <c r="F15" s="160">
        <v>5760</v>
      </c>
      <c r="G15" s="160">
        <v>0</v>
      </c>
      <c r="H15" s="160">
        <v>0</v>
      </c>
      <c r="I15" s="160">
        <v>0</v>
      </c>
      <c r="J15" s="160">
        <v>0</v>
      </c>
      <c r="K15" s="160">
        <v>0</v>
      </c>
      <c r="L15" s="160">
        <v>0</v>
      </c>
      <c r="M15" s="160">
        <v>0</v>
      </c>
      <c r="N15" s="160">
        <v>0</v>
      </c>
      <c r="O15" s="160">
        <v>0</v>
      </c>
      <c r="P15" s="160">
        <v>0</v>
      </c>
      <c r="Q15" s="160">
        <v>0</v>
      </c>
      <c r="R15" s="160">
        <v>0</v>
      </c>
      <c r="S15" s="160">
        <v>0</v>
      </c>
      <c r="T15" s="160">
        <v>0</v>
      </c>
      <c r="U15" s="160">
        <v>0</v>
      </c>
      <c r="V15" s="160">
        <v>0</v>
      </c>
      <c r="W15" s="160">
        <v>0</v>
      </c>
      <c r="X15" s="160">
        <v>0</v>
      </c>
      <c r="Y15" s="160">
        <v>0</v>
      </c>
      <c r="Z15" s="160">
        <v>0</v>
      </c>
      <c r="AA15" s="160">
        <v>0</v>
      </c>
      <c r="AB15" s="160">
        <v>0</v>
      </c>
      <c r="AC15" s="160">
        <v>0</v>
      </c>
      <c r="AD15" s="160">
        <v>0</v>
      </c>
      <c r="AE15" s="160">
        <v>0</v>
      </c>
      <c r="AF15" s="160">
        <v>0</v>
      </c>
      <c r="AG15" s="160">
        <v>0</v>
      </c>
      <c r="AH15" s="160">
        <v>0</v>
      </c>
      <c r="AI15" s="161">
        <v>5760</v>
      </c>
    </row>
    <row r="16" spans="1:35" x14ac:dyDescent="0.25">
      <c r="A16" s="40" t="s">
        <v>72</v>
      </c>
      <c r="B16" s="40" t="s">
        <v>67</v>
      </c>
      <c r="C16" s="40" t="s">
        <v>8</v>
      </c>
      <c r="D16" s="45">
        <v>0</v>
      </c>
      <c r="E16" s="86">
        <v>0</v>
      </c>
      <c r="F16" s="86">
        <v>400</v>
      </c>
      <c r="G16" s="86">
        <v>0</v>
      </c>
      <c r="H16" s="86">
        <v>0</v>
      </c>
      <c r="I16" s="86">
        <v>0</v>
      </c>
      <c r="J16" s="86">
        <v>0</v>
      </c>
      <c r="K16" s="86">
        <v>0</v>
      </c>
      <c r="L16" s="86">
        <v>0</v>
      </c>
      <c r="M16" s="86">
        <v>0</v>
      </c>
      <c r="N16" s="86">
        <v>0</v>
      </c>
      <c r="O16" s="86">
        <v>0</v>
      </c>
      <c r="P16" s="86">
        <v>0</v>
      </c>
      <c r="Q16" s="86">
        <v>0</v>
      </c>
      <c r="R16" s="86">
        <v>0</v>
      </c>
      <c r="S16" s="86">
        <v>0</v>
      </c>
      <c r="T16" s="86">
        <v>0</v>
      </c>
      <c r="U16" s="86">
        <v>0</v>
      </c>
      <c r="V16" s="86">
        <v>0</v>
      </c>
      <c r="W16" s="86">
        <v>0</v>
      </c>
      <c r="X16" s="86">
        <v>0</v>
      </c>
      <c r="Y16" s="86">
        <v>0</v>
      </c>
      <c r="Z16" s="86">
        <v>0</v>
      </c>
      <c r="AA16" s="86">
        <v>0</v>
      </c>
      <c r="AB16" s="86">
        <v>0</v>
      </c>
      <c r="AC16" s="86">
        <v>0</v>
      </c>
      <c r="AD16" s="86">
        <v>0</v>
      </c>
      <c r="AE16" s="86">
        <v>0</v>
      </c>
      <c r="AF16" s="86">
        <v>0</v>
      </c>
      <c r="AG16" s="86">
        <v>0</v>
      </c>
      <c r="AH16" s="86">
        <v>0</v>
      </c>
      <c r="AI16" s="88">
        <v>400</v>
      </c>
    </row>
    <row r="17" spans="1:35" x14ac:dyDescent="0.25">
      <c r="A17" s="66"/>
      <c r="B17" s="66"/>
      <c r="C17" s="41" t="s">
        <v>68</v>
      </c>
      <c r="D17" s="159">
        <v>0</v>
      </c>
      <c r="E17" s="160">
        <v>0</v>
      </c>
      <c r="F17" s="160">
        <v>9100</v>
      </c>
      <c r="G17" s="160">
        <v>0</v>
      </c>
      <c r="H17" s="160">
        <v>0</v>
      </c>
      <c r="I17" s="160">
        <v>0</v>
      </c>
      <c r="J17" s="160">
        <v>0</v>
      </c>
      <c r="K17" s="160">
        <v>0</v>
      </c>
      <c r="L17" s="160">
        <v>0</v>
      </c>
      <c r="M17" s="160">
        <v>0</v>
      </c>
      <c r="N17" s="160">
        <v>0</v>
      </c>
      <c r="O17" s="160">
        <v>0</v>
      </c>
      <c r="P17" s="160">
        <v>0</v>
      </c>
      <c r="Q17" s="160">
        <v>0</v>
      </c>
      <c r="R17" s="160">
        <v>0</v>
      </c>
      <c r="S17" s="160">
        <v>0</v>
      </c>
      <c r="T17" s="160">
        <v>0</v>
      </c>
      <c r="U17" s="160">
        <v>0</v>
      </c>
      <c r="V17" s="160">
        <v>0</v>
      </c>
      <c r="W17" s="160">
        <v>0</v>
      </c>
      <c r="X17" s="160">
        <v>0</v>
      </c>
      <c r="Y17" s="160">
        <v>0</v>
      </c>
      <c r="Z17" s="160">
        <v>0</v>
      </c>
      <c r="AA17" s="160">
        <v>0</v>
      </c>
      <c r="AB17" s="160">
        <v>0</v>
      </c>
      <c r="AC17" s="160">
        <v>0</v>
      </c>
      <c r="AD17" s="160">
        <v>0</v>
      </c>
      <c r="AE17" s="160">
        <v>0</v>
      </c>
      <c r="AF17" s="160">
        <v>0</v>
      </c>
      <c r="AG17" s="160">
        <v>0</v>
      </c>
      <c r="AH17" s="160">
        <v>0</v>
      </c>
      <c r="AI17" s="161">
        <v>9100</v>
      </c>
    </row>
    <row r="18" spans="1:35" x14ac:dyDescent="0.25">
      <c r="A18" s="40" t="s">
        <v>73</v>
      </c>
      <c r="B18" s="40" t="s">
        <v>67</v>
      </c>
      <c r="C18" s="40" t="s">
        <v>8</v>
      </c>
      <c r="D18" s="45">
        <v>0</v>
      </c>
      <c r="E18" s="86">
        <v>0</v>
      </c>
      <c r="F18" s="86">
        <v>600</v>
      </c>
      <c r="G18" s="86">
        <v>180</v>
      </c>
      <c r="H18" s="86">
        <v>0</v>
      </c>
      <c r="I18" s="86">
        <v>0</v>
      </c>
      <c r="J18" s="86">
        <v>0</v>
      </c>
      <c r="K18" s="86">
        <v>0</v>
      </c>
      <c r="L18" s="86">
        <v>0</v>
      </c>
      <c r="M18" s="86">
        <v>0</v>
      </c>
      <c r="N18" s="86">
        <v>0</v>
      </c>
      <c r="O18" s="86">
        <v>0</v>
      </c>
      <c r="P18" s="86">
        <v>0</v>
      </c>
      <c r="Q18" s="86">
        <v>0</v>
      </c>
      <c r="R18" s="86">
        <v>0</v>
      </c>
      <c r="S18" s="86">
        <v>0</v>
      </c>
      <c r="T18" s="86">
        <v>0</v>
      </c>
      <c r="U18" s="86">
        <v>0</v>
      </c>
      <c r="V18" s="86">
        <v>0</v>
      </c>
      <c r="W18" s="86">
        <v>0</v>
      </c>
      <c r="X18" s="86">
        <v>0</v>
      </c>
      <c r="Y18" s="86">
        <v>0</v>
      </c>
      <c r="Z18" s="86">
        <v>0</v>
      </c>
      <c r="AA18" s="86">
        <v>0</v>
      </c>
      <c r="AB18" s="86">
        <v>0</v>
      </c>
      <c r="AC18" s="86">
        <v>0</v>
      </c>
      <c r="AD18" s="86">
        <v>0</v>
      </c>
      <c r="AE18" s="86">
        <v>0</v>
      </c>
      <c r="AF18" s="86">
        <v>0</v>
      </c>
      <c r="AG18" s="86">
        <v>0</v>
      </c>
      <c r="AH18" s="86">
        <v>0</v>
      </c>
      <c r="AI18" s="88">
        <v>780</v>
      </c>
    </row>
    <row r="19" spans="1:35" x14ac:dyDescent="0.25">
      <c r="A19" s="66"/>
      <c r="B19" s="66"/>
      <c r="C19" s="41" t="s">
        <v>68</v>
      </c>
      <c r="D19" s="159">
        <v>0</v>
      </c>
      <c r="E19" s="160">
        <v>0</v>
      </c>
      <c r="F19" s="160">
        <v>9400</v>
      </c>
      <c r="G19" s="160">
        <v>3780</v>
      </c>
      <c r="H19" s="160">
        <v>0</v>
      </c>
      <c r="I19" s="160">
        <v>0</v>
      </c>
      <c r="J19" s="160">
        <v>0</v>
      </c>
      <c r="K19" s="160">
        <v>0</v>
      </c>
      <c r="L19" s="160">
        <v>0</v>
      </c>
      <c r="M19" s="160">
        <v>0</v>
      </c>
      <c r="N19" s="160">
        <v>0</v>
      </c>
      <c r="O19" s="160">
        <v>0</v>
      </c>
      <c r="P19" s="160">
        <v>0</v>
      </c>
      <c r="Q19" s="160">
        <v>0</v>
      </c>
      <c r="R19" s="160">
        <v>0</v>
      </c>
      <c r="S19" s="160">
        <v>0</v>
      </c>
      <c r="T19" s="160">
        <v>0</v>
      </c>
      <c r="U19" s="160">
        <v>0</v>
      </c>
      <c r="V19" s="160">
        <v>0</v>
      </c>
      <c r="W19" s="160">
        <v>0</v>
      </c>
      <c r="X19" s="160">
        <v>0</v>
      </c>
      <c r="Y19" s="160">
        <v>0</v>
      </c>
      <c r="Z19" s="160">
        <v>0</v>
      </c>
      <c r="AA19" s="160">
        <v>0</v>
      </c>
      <c r="AB19" s="160">
        <v>0</v>
      </c>
      <c r="AC19" s="160">
        <v>0</v>
      </c>
      <c r="AD19" s="160">
        <v>0</v>
      </c>
      <c r="AE19" s="160">
        <v>0</v>
      </c>
      <c r="AF19" s="160">
        <v>0</v>
      </c>
      <c r="AG19" s="160">
        <v>0</v>
      </c>
      <c r="AH19" s="160">
        <v>0</v>
      </c>
      <c r="AI19" s="161">
        <v>13180</v>
      </c>
    </row>
    <row r="20" spans="1:35" x14ac:dyDescent="0.25">
      <c r="A20" s="40" t="s">
        <v>74</v>
      </c>
      <c r="B20" s="40" t="s">
        <v>67</v>
      </c>
      <c r="C20" s="40" t="s">
        <v>8</v>
      </c>
      <c r="D20" s="45">
        <v>0</v>
      </c>
      <c r="E20" s="86">
        <v>0</v>
      </c>
      <c r="F20" s="86">
        <v>0</v>
      </c>
      <c r="G20" s="86">
        <v>460</v>
      </c>
      <c r="H20" s="86">
        <v>0</v>
      </c>
      <c r="I20" s="86">
        <v>0</v>
      </c>
      <c r="J20" s="86">
        <v>0</v>
      </c>
      <c r="K20" s="86">
        <v>0</v>
      </c>
      <c r="L20" s="86">
        <v>0</v>
      </c>
      <c r="M20" s="86">
        <v>0</v>
      </c>
      <c r="N20" s="86">
        <v>0</v>
      </c>
      <c r="O20" s="86">
        <v>0</v>
      </c>
      <c r="P20" s="86">
        <v>0</v>
      </c>
      <c r="Q20" s="86">
        <v>0</v>
      </c>
      <c r="R20" s="86">
        <v>0</v>
      </c>
      <c r="S20" s="86">
        <v>0</v>
      </c>
      <c r="T20" s="86">
        <v>0</v>
      </c>
      <c r="U20" s="86">
        <v>0</v>
      </c>
      <c r="V20" s="86">
        <v>0</v>
      </c>
      <c r="W20" s="86">
        <v>0</v>
      </c>
      <c r="X20" s="86">
        <v>0</v>
      </c>
      <c r="Y20" s="86">
        <v>0</v>
      </c>
      <c r="Z20" s="86">
        <v>0</v>
      </c>
      <c r="AA20" s="86">
        <v>0</v>
      </c>
      <c r="AB20" s="86">
        <v>0</v>
      </c>
      <c r="AC20" s="86">
        <v>0</v>
      </c>
      <c r="AD20" s="86">
        <v>0</v>
      </c>
      <c r="AE20" s="86">
        <v>0</v>
      </c>
      <c r="AF20" s="86">
        <v>0</v>
      </c>
      <c r="AG20" s="86">
        <v>0</v>
      </c>
      <c r="AH20" s="86">
        <v>0</v>
      </c>
      <c r="AI20" s="88">
        <v>460</v>
      </c>
    </row>
    <row r="21" spans="1:35" x14ac:dyDescent="0.25">
      <c r="A21" s="66"/>
      <c r="B21" s="66"/>
      <c r="C21" s="41" t="s">
        <v>68</v>
      </c>
      <c r="D21" s="159">
        <v>0</v>
      </c>
      <c r="E21" s="160">
        <v>0</v>
      </c>
      <c r="F21" s="160">
        <v>0</v>
      </c>
      <c r="G21" s="160">
        <v>8170</v>
      </c>
      <c r="H21" s="160">
        <v>0</v>
      </c>
      <c r="I21" s="160">
        <v>0</v>
      </c>
      <c r="J21" s="160">
        <v>0</v>
      </c>
      <c r="K21" s="160">
        <v>0</v>
      </c>
      <c r="L21" s="160">
        <v>0</v>
      </c>
      <c r="M21" s="160">
        <v>0</v>
      </c>
      <c r="N21" s="160">
        <v>0</v>
      </c>
      <c r="O21" s="160">
        <v>0</v>
      </c>
      <c r="P21" s="160">
        <v>0</v>
      </c>
      <c r="Q21" s="160">
        <v>0</v>
      </c>
      <c r="R21" s="160">
        <v>0</v>
      </c>
      <c r="S21" s="160">
        <v>0</v>
      </c>
      <c r="T21" s="160">
        <v>0</v>
      </c>
      <c r="U21" s="160">
        <v>0</v>
      </c>
      <c r="V21" s="160">
        <v>0</v>
      </c>
      <c r="W21" s="160">
        <v>0</v>
      </c>
      <c r="X21" s="160">
        <v>0</v>
      </c>
      <c r="Y21" s="160">
        <v>0</v>
      </c>
      <c r="Z21" s="160">
        <v>0</v>
      </c>
      <c r="AA21" s="160">
        <v>0</v>
      </c>
      <c r="AB21" s="160">
        <v>0</v>
      </c>
      <c r="AC21" s="160">
        <v>0</v>
      </c>
      <c r="AD21" s="160">
        <v>0</v>
      </c>
      <c r="AE21" s="160">
        <v>0</v>
      </c>
      <c r="AF21" s="160">
        <v>0</v>
      </c>
      <c r="AG21" s="160">
        <v>0</v>
      </c>
      <c r="AH21" s="160">
        <v>0</v>
      </c>
      <c r="AI21" s="161">
        <v>8170</v>
      </c>
    </row>
    <row r="22" spans="1:35" x14ac:dyDescent="0.25">
      <c r="A22" s="40" t="s">
        <v>232</v>
      </c>
      <c r="B22" s="40" t="s">
        <v>67</v>
      </c>
      <c r="C22" s="40" t="s">
        <v>8</v>
      </c>
      <c r="D22" s="45">
        <v>0</v>
      </c>
      <c r="E22" s="86">
        <v>0</v>
      </c>
      <c r="F22" s="86">
        <v>200</v>
      </c>
      <c r="G22" s="86">
        <v>200</v>
      </c>
      <c r="H22" s="86">
        <v>0</v>
      </c>
      <c r="I22" s="86">
        <v>0</v>
      </c>
      <c r="J22" s="86">
        <v>0</v>
      </c>
      <c r="K22" s="86">
        <v>0</v>
      </c>
      <c r="L22" s="86">
        <v>0</v>
      </c>
      <c r="M22" s="86">
        <v>0</v>
      </c>
      <c r="N22" s="86">
        <v>0</v>
      </c>
      <c r="O22" s="86">
        <v>0</v>
      </c>
      <c r="P22" s="86">
        <v>0</v>
      </c>
      <c r="Q22" s="86">
        <v>0</v>
      </c>
      <c r="R22" s="86">
        <v>0</v>
      </c>
      <c r="S22" s="86">
        <v>0</v>
      </c>
      <c r="T22" s="86">
        <v>0</v>
      </c>
      <c r="U22" s="86">
        <v>0</v>
      </c>
      <c r="V22" s="86">
        <v>0</v>
      </c>
      <c r="W22" s="86">
        <v>0</v>
      </c>
      <c r="X22" s="86">
        <v>0</v>
      </c>
      <c r="Y22" s="86">
        <v>0</v>
      </c>
      <c r="Z22" s="86">
        <v>0</v>
      </c>
      <c r="AA22" s="86">
        <v>0</v>
      </c>
      <c r="AB22" s="86">
        <v>0</v>
      </c>
      <c r="AC22" s="86">
        <v>0</v>
      </c>
      <c r="AD22" s="86">
        <v>0</v>
      </c>
      <c r="AE22" s="86">
        <v>0</v>
      </c>
      <c r="AF22" s="86">
        <v>0</v>
      </c>
      <c r="AG22" s="86">
        <v>0</v>
      </c>
      <c r="AH22" s="86">
        <v>0</v>
      </c>
      <c r="AI22" s="88">
        <v>400</v>
      </c>
    </row>
    <row r="23" spans="1:35" x14ac:dyDescent="0.25">
      <c r="A23" s="66"/>
      <c r="B23" s="66"/>
      <c r="C23" s="41" t="s">
        <v>68</v>
      </c>
      <c r="D23" s="159">
        <v>0</v>
      </c>
      <c r="E23" s="160">
        <v>0</v>
      </c>
      <c r="F23" s="160">
        <v>3000</v>
      </c>
      <c r="G23" s="160">
        <v>2950</v>
      </c>
      <c r="H23" s="160">
        <v>0</v>
      </c>
      <c r="I23" s="160">
        <v>0</v>
      </c>
      <c r="J23" s="160">
        <v>0</v>
      </c>
      <c r="K23" s="160">
        <v>0</v>
      </c>
      <c r="L23" s="160">
        <v>0</v>
      </c>
      <c r="M23" s="160">
        <v>0</v>
      </c>
      <c r="N23" s="160">
        <v>0</v>
      </c>
      <c r="O23" s="160">
        <v>0</v>
      </c>
      <c r="P23" s="160">
        <v>0</v>
      </c>
      <c r="Q23" s="160">
        <v>0</v>
      </c>
      <c r="R23" s="160">
        <v>0</v>
      </c>
      <c r="S23" s="160">
        <v>0</v>
      </c>
      <c r="T23" s="160">
        <v>0</v>
      </c>
      <c r="U23" s="160">
        <v>0</v>
      </c>
      <c r="V23" s="160">
        <v>0</v>
      </c>
      <c r="W23" s="160">
        <v>0</v>
      </c>
      <c r="X23" s="160">
        <v>0</v>
      </c>
      <c r="Y23" s="160">
        <v>0</v>
      </c>
      <c r="Z23" s="160">
        <v>0</v>
      </c>
      <c r="AA23" s="160">
        <v>0</v>
      </c>
      <c r="AB23" s="160">
        <v>0</v>
      </c>
      <c r="AC23" s="160">
        <v>0</v>
      </c>
      <c r="AD23" s="160">
        <v>0</v>
      </c>
      <c r="AE23" s="160">
        <v>0</v>
      </c>
      <c r="AF23" s="160">
        <v>0</v>
      </c>
      <c r="AG23" s="160">
        <v>0</v>
      </c>
      <c r="AH23" s="160">
        <v>0</v>
      </c>
      <c r="AI23" s="161">
        <v>5950</v>
      </c>
    </row>
    <row r="24" spans="1:35" x14ac:dyDescent="0.25">
      <c r="A24" s="40" t="s">
        <v>257</v>
      </c>
      <c r="B24" s="40" t="s">
        <v>67</v>
      </c>
      <c r="C24" s="40" t="s">
        <v>8</v>
      </c>
      <c r="D24" s="45">
        <v>0</v>
      </c>
      <c r="E24" s="86">
        <v>0</v>
      </c>
      <c r="F24" s="86">
        <v>800</v>
      </c>
      <c r="G24" s="86">
        <v>0</v>
      </c>
      <c r="H24" s="86">
        <v>0</v>
      </c>
      <c r="I24" s="86">
        <v>0</v>
      </c>
      <c r="J24" s="86">
        <v>0</v>
      </c>
      <c r="K24" s="86">
        <v>0</v>
      </c>
      <c r="L24" s="86">
        <v>0</v>
      </c>
      <c r="M24" s="86">
        <v>0</v>
      </c>
      <c r="N24" s="86">
        <v>0</v>
      </c>
      <c r="O24" s="86">
        <v>0</v>
      </c>
      <c r="P24" s="86">
        <v>0</v>
      </c>
      <c r="Q24" s="86">
        <v>0</v>
      </c>
      <c r="R24" s="86">
        <v>0</v>
      </c>
      <c r="S24" s="86">
        <v>0</v>
      </c>
      <c r="T24" s="86">
        <v>0</v>
      </c>
      <c r="U24" s="86">
        <v>0</v>
      </c>
      <c r="V24" s="86">
        <v>0</v>
      </c>
      <c r="W24" s="86">
        <v>0</v>
      </c>
      <c r="X24" s="86">
        <v>0</v>
      </c>
      <c r="Y24" s="86">
        <v>0</v>
      </c>
      <c r="Z24" s="86">
        <v>0</v>
      </c>
      <c r="AA24" s="86">
        <v>0</v>
      </c>
      <c r="AB24" s="86">
        <v>0</v>
      </c>
      <c r="AC24" s="86">
        <v>0</v>
      </c>
      <c r="AD24" s="86">
        <v>0</v>
      </c>
      <c r="AE24" s="86">
        <v>0</v>
      </c>
      <c r="AF24" s="86">
        <v>0</v>
      </c>
      <c r="AG24" s="86">
        <v>0</v>
      </c>
      <c r="AH24" s="86">
        <v>0</v>
      </c>
      <c r="AI24" s="88">
        <v>800</v>
      </c>
    </row>
    <row r="25" spans="1:35" x14ac:dyDescent="0.25">
      <c r="A25" s="66"/>
      <c r="B25" s="66"/>
      <c r="C25" s="41" t="s">
        <v>68</v>
      </c>
      <c r="D25" s="159">
        <v>0</v>
      </c>
      <c r="E25" s="160">
        <v>0</v>
      </c>
      <c r="F25" s="160">
        <v>19400</v>
      </c>
      <c r="G25" s="160">
        <v>0</v>
      </c>
      <c r="H25" s="160">
        <v>0</v>
      </c>
      <c r="I25" s="160">
        <v>0</v>
      </c>
      <c r="J25" s="160">
        <v>0</v>
      </c>
      <c r="K25" s="160">
        <v>0</v>
      </c>
      <c r="L25" s="160">
        <v>0</v>
      </c>
      <c r="M25" s="160">
        <v>0</v>
      </c>
      <c r="N25" s="160">
        <v>0</v>
      </c>
      <c r="O25" s="160">
        <v>0</v>
      </c>
      <c r="P25" s="160">
        <v>0</v>
      </c>
      <c r="Q25" s="160">
        <v>0</v>
      </c>
      <c r="R25" s="160">
        <v>0</v>
      </c>
      <c r="S25" s="160">
        <v>0</v>
      </c>
      <c r="T25" s="160">
        <v>0</v>
      </c>
      <c r="U25" s="160">
        <v>0</v>
      </c>
      <c r="V25" s="160">
        <v>0</v>
      </c>
      <c r="W25" s="160">
        <v>0</v>
      </c>
      <c r="X25" s="160">
        <v>0</v>
      </c>
      <c r="Y25" s="160">
        <v>0</v>
      </c>
      <c r="Z25" s="160">
        <v>0</v>
      </c>
      <c r="AA25" s="160">
        <v>0</v>
      </c>
      <c r="AB25" s="160">
        <v>0</v>
      </c>
      <c r="AC25" s="160">
        <v>0</v>
      </c>
      <c r="AD25" s="160">
        <v>0</v>
      </c>
      <c r="AE25" s="160">
        <v>0</v>
      </c>
      <c r="AF25" s="160">
        <v>0</v>
      </c>
      <c r="AG25" s="160">
        <v>0</v>
      </c>
      <c r="AH25" s="160">
        <v>0</v>
      </c>
      <c r="AI25" s="161">
        <v>19400</v>
      </c>
    </row>
    <row r="26" spans="1:35" x14ac:dyDescent="0.25">
      <c r="A26" s="40" t="s">
        <v>256</v>
      </c>
      <c r="B26" s="40" t="s">
        <v>67</v>
      </c>
      <c r="C26" s="40" t="s">
        <v>8</v>
      </c>
      <c r="D26" s="45">
        <v>0</v>
      </c>
      <c r="E26" s="86">
        <v>0</v>
      </c>
      <c r="F26" s="86">
        <v>4250</v>
      </c>
      <c r="G26" s="86">
        <v>0</v>
      </c>
      <c r="H26" s="86">
        <v>0</v>
      </c>
      <c r="I26" s="86">
        <v>0</v>
      </c>
      <c r="J26" s="86">
        <v>0</v>
      </c>
      <c r="K26" s="86">
        <v>0</v>
      </c>
      <c r="L26" s="86">
        <v>0</v>
      </c>
      <c r="M26" s="86">
        <v>0</v>
      </c>
      <c r="N26" s="86">
        <v>0</v>
      </c>
      <c r="O26" s="86">
        <v>0</v>
      </c>
      <c r="P26" s="86">
        <v>0</v>
      </c>
      <c r="Q26" s="86">
        <v>0</v>
      </c>
      <c r="R26" s="86">
        <v>0</v>
      </c>
      <c r="S26" s="86">
        <v>0</v>
      </c>
      <c r="T26" s="86">
        <v>0</v>
      </c>
      <c r="U26" s="86">
        <v>0</v>
      </c>
      <c r="V26" s="86">
        <v>0</v>
      </c>
      <c r="W26" s="86">
        <v>0</v>
      </c>
      <c r="X26" s="86">
        <v>0</v>
      </c>
      <c r="Y26" s="86">
        <v>0</v>
      </c>
      <c r="Z26" s="86">
        <v>0</v>
      </c>
      <c r="AA26" s="86">
        <v>0</v>
      </c>
      <c r="AB26" s="86">
        <v>0</v>
      </c>
      <c r="AC26" s="86">
        <v>0</v>
      </c>
      <c r="AD26" s="86">
        <v>0</v>
      </c>
      <c r="AE26" s="86">
        <v>0</v>
      </c>
      <c r="AF26" s="86">
        <v>0</v>
      </c>
      <c r="AG26" s="86">
        <v>0</v>
      </c>
      <c r="AH26" s="86">
        <v>0</v>
      </c>
      <c r="AI26" s="88">
        <v>4250</v>
      </c>
    </row>
    <row r="27" spans="1:35" x14ac:dyDescent="0.25">
      <c r="A27" s="66"/>
      <c r="B27" s="66"/>
      <c r="C27" s="41" t="s">
        <v>68</v>
      </c>
      <c r="D27" s="159">
        <v>0</v>
      </c>
      <c r="E27" s="160">
        <v>0</v>
      </c>
      <c r="F27" s="160">
        <v>91758</v>
      </c>
      <c r="G27" s="160">
        <v>0</v>
      </c>
      <c r="H27" s="160">
        <v>0</v>
      </c>
      <c r="I27" s="160">
        <v>0</v>
      </c>
      <c r="J27" s="160">
        <v>0</v>
      </c>
      <c r="K27" s="160">
        <v>0</v>
      </c>
      <c r="L27" s="160">
        <v>0</v>
      </c>
      <c r="M27" s="160">
        <v>0</v>
      </c>
      <c r="N27" s="160">
        <v>0</v>
      </c>
      <c r="O27" s="160">
        <v>0</v>
      </c>
      <c r="P27" s="160">
        <v>0</v>
      </c>
      <c r="Q27" s="160">
        <v>0</v>
      </c>
      <c r="R27" s="160">
        <v>0</v>
      </c>
      <c r="S27" s="160">
        <v>0</v>
      </c>
      <c r="T27" s="160">
        <v>0</v>
      </c>
      <c r="U27" s="160">
        <v>0</v>
      </c>
      <c r="V27" s="160">
        <v>0</v>
      </c>
      <c r="W27" s="160">
        <v>0</v>
      </c>
      <c r="X27" s="160">
        <v>0</v>
      </c>
      <c r="Y27" s="160">
        <v>0</v>
      </c>
      <c r="Z27" s="160">
        <v>0</v>
      </c>
      <c r="AA27" s="160">
        <v>0</v>
      </c>
      <c r="AB27" s="160">
        <v>0</v>
      </c>
      <c r="AC27" s="160">
        <v>0</v>
      </c>
      <c r="AD27" s="160">
        <v>0</v>
      </c>
      <c r="AE27" s="160">
        <v>0</v>
      </c>
      <c r="AF27" s="160">
        <v>0</v>
      </c>
      <c r="AG27" s="160">
        <v>0</v>
      </c>
      <c r="AH27" s="160">
        <v>0</v>
      </c>
      <c r="AI27" s="161">
        <v>91758</v>
      </c>
    </row>
    <row r="28" spans="1:35" x14ac:dyDescent="0.25">
      <c r="A28" s="40" t="s">
        <v>7</v>
      </c>
      <c r="B28" s="40" t="s">
        <v>249</v>
      </c>
      <c r="C28" s="40" t="s">
        <v>8</v>
      </c>
      <c r="D28" s="45">
        <v>0</v>
      </c>
      <c r="E28" s="86">
        <v>0</v>
      </c>
      <c r="F28" s="86">
        <v>0</v>
      </c>
      <c r="G28" s="86">
        <v>0</v>
      </c>
      <c r="H28" s="86">
        <v>0</v>
      </c>
      <c r="I28" s="86">
        <v>0</v>
      </c>
      <c r="J28" s="86">
        <v>0</v>
      </c>
      <c r="K28" s="86">
        <v>0</v>
      </c>
      <c r="L28" s="86">
        <v>0</v>
      </c>
      <c r="M28" s="86">
        <v>0</v>
      </c>
      <c r="N28" s="86">
        <v>0</v>
      </c>
      <c r="O28" s="86">
        <v>0</v>
      </c>
      <c r="P28" s="86">
        <v>0</v>
      </c>
      <c r="Q28" s="86">
        <v>0</v>
      </c>
      <c r="R28" s="86">
        <v>0</v>
      </c>
      <c r="S28" s="86">
        <v>0</v>
      </c>
      <c r="T28" s="86">
        <v>0</v>
      </c>
      <c r="U28" s="86">
        <v>0</v>
      </c>
      <c r="V28" s="86">
        <v>0</v>
      </c>
      <c r="W28" s="86">
        <v>0</v>
      </c>
      <c r="X28" s="86">
        <v>0</v>
      </c>
      <c r="Y28" s="86">
        <v>0</v>
      </c>
      <c r="Z28" s="86">
        <v>0</v>
      </c>
      <c r="AA28" s="86">
        <v>0</v>
      </c>
      <c r="AB28" s="86">
        <v>0</v>
      </c>
      <c r="AC28" s="86">
        <v>0</v>
      </c>
      <c r="AD28" s="86">
        <v>0</v>
      </c>
      <c r="AE28" s="86">
        <v>0</v>
      </c>
      <c r="AF28" s="86">
        <v>0</v>
      </c>
      <c r="AG28" s="86">
        <v>0</v>
      </c>
      <c r="AH28" s="86">
        <v>0</v>
      </c>
      <c r="AI28" s="88">
        <v>0</v>
      </c>
    </row>
    <row r="29" spans="1:35" x14ac:dyDescent="0.25">
      <c r="A29" s="66"/>
      <c r="B29" s="66"/>
      <c r="C29" s="41" t="s">
        <v>68</v>
      </c>
      <c r="D29" s="159">
        <v>0</v>
      </c>
      <c r="E29" s="160">
        <v>0</v>
      </c>
      <c r="F29" s="160">
        <v>0</v>
      </c>
      <c r="G29" s="160">
        <v>0</v>
      </c>
      <c r="H29" s="160">
        <v>0</v>
      </c>
      <c r="I29" s="160">
        <v>0</v>
      </c>
      <c r="J29" s="160">
        <v>0</v>
      </c>
      <c r="K29" s="160">
        <v>0</v>
      </c>
      <c r="L29" s="160">
        <v>0</v>
      </c>
      <c r="M29" s="160">
        <v>0</v>
      </c>
      <c r="N29" s="160">
        <v>0</v>
      </c>
      <c r="O29" s="160">
        <v>0</v>
      </c>
      <c r="P29" s="160">
        <v>0</v>
      </c>
      <c r="Q29" s="160">
        <v>0</v>
      </c>
      <c r="R29" s="160">
        <v>0</v>
      </c>
      <c r="S29" s="160">
        <v>0</v>
      </c>
      <c r="T29" s="160">
        <v>0</v>
      </c>
      <c r="U29" s="160">
        <v>0</v>
      </c>
      <c r="V29" s="160">
        <v>0</v>
      </c>
      <c r="W29" s="160">
        <v>0</v>
      </c>
      <c r="X29" s="160">
        <v>0</v>
      </c>
      <c r="Y29" s="160">
        <v>0</v>
      </c>
      <c r="Z29" s="160">
        <v>0</v>
      </c>
      <c r="AA29" s="160">
        <v>0</v>
      </c>
      <c r="AB29" s="160">
        <v>0</v>
      </c>
      <c r="AC29" s="160">
        <v>0</v>
      </c>
      <c r="AD29" s="160">
        <v>0</v>
      </c>
      <c r="AE29" s="160">
        <v>0</v>
      </c>
      <c r="AF29" s="160">
        <v>0</v>
      </c>
      <c r="AG29" s="160">
        <v>0</v>
      </c>
      <c r="AH29" s="160">
        <v>0</v>
      </c>
      <c r="AI29" s="161">
        <v>0</v>
      </c>
    </row>
    <row r="30" spans="1:35" x14ac:dyDescent="0.25">
      <c r="A30" s="40" t="s">
        <v>254</v>
      </c>
      <c r="B30" s="40" t="s">
        <v>249</v>
      </c>
      <c r="C30" s="40" t="s">
        <v>8</v>
      </c>
      <c r="D30" s="45">
        <v>0</v>
      </c>
      <c r="E30" s="86">
        <v>0</v>
      </c>
      <c r="F30" s="86">
        <v>0</v>
      </c>
      <c r="G30" s="86">
        <v>0</v>
      </c>
      <c r="H30" s="86">
        <v>0</v>
      </c>
      <c r="I30" s="86">
        <v>0</v>
      </c>
      <c r="J30" s="86">
        <v>0</v>
      </c>
      <c r="K30" s="86">
        <v>0</v>
      </c>
      <c r="L30" s="86">
        <v>0</v>
      </c>
      <c r="M30" s="86">
        <v>0</v>
      </c>
      <c r="N30" s="86">
        <v>0</v>
      </c>
      <c r="O30" s="86">
        <v>0</v>
      </c>
      <c r="P30" s="86">
        <v>0</v>
      </c>
      <c r="Q30" s="86">
        <v>0</v>
      </c>
      <c r="R30" s="86">
        <v>0</v>
      </c>
      <c r="S30" s="86">
        <v>0</v>
      </c>
      <c r="T30" s="86">
        <v>0</v>
      </c>
      <c r="U30" s="86">
        <v>0</v>
      </c>
      <c r="V30" s="86">
        <v>0</v>
      </c>
      <c r="W30" s="86">
        <v>0</v>
      </c>
      <c r="X30" s="86">
        <v>0</v>
      </c>
      <c r="Y30" s="86">
        <v>0</v>
      </c>
      <c r="Z30" s="86">
        <v>0</v>
      </c>
      <c r="AA30" s="86">
        <v>0</v>
      </c>
      <c r="AB30" s="86">
        <v>0</v>
      </c>
      <c r="AC30" s="86">
        <v>0</v>
      </c>
      <c r="AD30" s="86">
        <v>0</v>
      </c>
      <c r="AE30" s="86">
        <v>0</v>
      </c>
      <c r="AF30" s="86">
        <v>0</v>
      </c>
      <c r="AG30" s="86">
        <v>0</v>
      </c>
      <c r="AH30" s="86">
        <v>0</v>
      </c>
      <c r="AI30" s="88">
        <v>0</v>
      </c>
    </row>
    <row r="31" spans="1:35" x14ac:dyDescent="0.25">
      <c r="A31" s="66"/>
      <c r="B31" s="66"/>
      <c r="C31" s="41" t="s">
        <v>68</v>
      </c>
      <c r="D31" s="159">
        <v>0</v>
      </c>
      <c r="E31" s="160">
        <v>0</v>
      </c>
      <c r="F31" s="160">
        <v>0</v>
      </c>
      <c r="G31" s="160">
        <v>0</v>
      </c>
      <c r="H31" s="160">
        <v>0</v>
      </c>
      <c r="I31" s="160">
        <v>0</v>
      </c>
      <c r="J31" s="160">
        <v>0</v>
      </c>
      <c r="K31" s="160">
        <v>0</v>
      </c>
      <c r="L31" s="160">
        <v>0</v>
      </c>
      <c r="M31" s="160">
        <v>0</v>
      </c>
      <c r="N31" s="160">
        <v>0</v>
      </c>
      <c r="O31" s="160">
        <v>0</v>
      </c>
      <c r="P31" s="160">
        <v>0</v>
      </c>
      <c r="Q31" s="160">
        <v>0</v>
      </c>
      <c r="R31" s="160">
        <v>0</v>
      </c>
      <c r="S31" s="160">
        <v>0</v>
      </c>
      <c r="T31" s="160">
        <v>0</v>
      </c>
      <c r="U31" s="160">
        <v>0</v>
      </c>
      <c r="V31" s="160">
        <v>0</v>
      </c>
      <c r="W31" s="160">
        <v>0</v>
      </c>
      <c r="X31" s="160">
        <v>0</v>
      </c>
      <c r="Y31" s="160">
        <v>0</v>
      </c>
      <c r="Z31" s="160">
        <v>0</v>
      </c>
      <c r="AA31" s="160">
        <v>0</v>
      </c>
      <c r="AB31" s="160">
        <v>0</v>
      </c>
      <c r="AC31" s="160">
        <v>0</v>
      </c>
      <c r="AD31" s="160">
        <v>0</v>
      </c>
      <c r="AE31" s="160">
        <v>0</v>
      </c>
      <c r="AF31" s="160">
        <v>0</v>
      </c>
      <c r="AG31" s="160">
        <v>0</v>
      </c>
      <c r="AH31" s="160">
        <v>0</v>
      </c>
      <c r="AI31" s="161">
        <v>0</v>
      </c>
    </row>
    <row r="32" spans="1:35" x14ac:dyDescent="0.25">
      <c r="A32" s="40">
        <v>24</v>
      </c>
      <c r="B32" s="40" t="s">
        <v>249</v>
      </c>
      <c r="C32" s="40" t="s">
        <v>8</v>
      </c>
      <c r="D32" s="45">
        <v>0</v>
      </c>
      <c r="E32" s="86">
        <v>0</v>
      </c>
      <c r="F32" s="86">
        <v>0</v>
      </c>
      <c r="G32" s="86">
        <v>0</v>
      </c>
      <c r="H32" s="86">
        <v>0</v>
      </c>
      <c r="I32" s="86">
        <v>0</v>
      </c>
      <c r="J32" s="86">
        <v>0</v>
      </c>
      <c r="K32" s="86">
        <v>0</v>
      </c>
      <c r="L32" s="86">
        <v>0</v>
      </c>
      <c r="M32" s="86">
        <v>0</v>
      </c>
      <c r="N32" s="86">
        <v>0</v>
      </c>
      <c r="O32" s="86">
        <v>0</v>
      </c>
      <c r="P32" s="86">
        <v>0</v>
      </c>
      <c r="Q32" s="86">
        <v>0</v>
      </c>
      <c r="R32" s="86">
        <v>0</v>
      </c>
      <c r="S32" s="86">
        <v>0</v>
      </c>
      <c r="T32" s="86">
        <v>0</v>
      </c>
      <c r="U32" s="86">
        <v>0</v>
      </c>
      <c r="V32" s="86">
        <v>0</v>
      </c>
      <c r="W32" s="86">
        <v>0</v>
      </c>
      <c r="X32" s="86">
        <v>0</v>
      </c>
      <c r="Y32" s="86">
        <v>0</v>
      </c>
      <c r="Z32" s="86">
        <v>0</v>
      </c>
      <c r="AA32" s="86">
        <v>0</v>
      </c>
      <c r="AB32" s="86">
        <v>0</v>
      </c>
      <c r="AC32" s="86">
        <v>0</v>
      </c>
      <c r="AD32" s="86">
        <v>0</v>
      </c>
      <c r="AE32" s="86">
        <v>0</v>
      </c>
      <c r="AF32" s="86">
        <v>0</v>
      </c>
      <c r="AG32" s="86">
        <v>0</v>
      </c>
      <c r="AH32" s="86">
        <v>0</v>
      </c>
      <c r="AI32" s="88">
        <v>0</v>
      </c>
    </row>
    <row r="33" spans="1:35" x14ac:dyDescent="0.25">
      <c r="A33" s="66"/>
      <c r="B33" s="66"/>
      <c r="C33" s="41" t="s">
        <v>68</v>
      </c>
      <c r="D33" s="159">
        <v>0</v>
      </c>
      <c r="E33" s="160">
        <v>0</v>
      </c>
      <c r="F33" s="160">
        <v>0</v>
      </c>
      <c r="G33" s="160">
        <v>0</v>
      </c>
      <c r="H33" s="160">
        <v>0</v>
      </c>
      <c r="I33" s="160">
        <v>0</v>
      </c>
      <c r="J33" s="160">
        <v>0</v>
      </c>
      <c r="K33" s="160">
        <v>0</v>
      </c>
      <c r="L33" s="160">
        <v>0</v>
      </c>
      <c r="M33" s="160">
        <v>0</v>
      </c>
      <c r="N33" s="160">
        <v>0</v>
      </c>
      <c r="O33" s="160">
        <v>0</v>
      </c>
      <c r="P33" s="160">
        <v>0</v>
      </c>
      <c r="Q33" s="160">
        <v>0</v>
      </c>
      <c r="R33" s="160">
        <v>0</v>
      </c>
      <c r="S33" s="160">
        <v>0</v>
      </c>
      <c r="T33" s="160">
        <v>0</v>
      </c>
      <c r="U33" s="160">
        <v>0</v>
      </c>
      <c r="V33" s="160">
        <v>0</v>
      </c>
      <c r="W33" s="160">
        <v>0</v>
      </c>
      <c r="X33" s="160">
        <v>0</v>
      </c>
      <c r="Y33" s="160">
        <v>0</v>
      </c>
      <c r="Z33" s="160">
        <v>0</v>
      </c>
      <c r="AA33" s="160">
        <v>0</v>
      </c>
      <c r="AB33" s="160">
        <v>0</v>
      </c>
      <c r="AC33" s="160">
        <v>0</v>
      </c>
      <c r="AD33" s="160">
        <v>0</v>
      </c>
      <c r="AE33" s="160">
        <v>0</v>
      </c>
      <c r="AF33" s="160">
        <v>0</v>
      </c>
      <c r="AG33" s="160">
        <v>0</v>
      </c>
      <c r="AH33" s="160">
        <v>0</v>
      </c>
      <c r="AI33" s="161">
        <v>0</v>
      </c>
    </row>
    <row r="34" spans="1:35" x14ac:dyDescent="0.25">
      <c r="A34" s="40">
        <v>1</v>
      </c>
      <c r="B34" s="40" t="s">
        <v>249</v>
      </c>
      <c r="C34" s="40" t="s">
        <v>8</v>
      </c>
      <c r="D34" s="45">
        <v>0</v>
      </c>
      <c r="E34" s="86">
        <v>0</v>
      </c>
      <c r="F34" s="86">
        <v>0</v>
      </c>
      <c r="G34" s="86">
        <v>0</v>
      </c>
      <c r="H34" s="86">
        <v>0</v>
      </c>
      <c r="I34" s="86">
        <v>0</v>
      </c>
      <c r="J34" s="86">
        <v>0</v>
      </c>
      <c r="K34" s="86">
        <v>0</v>
      </c>
      <c r="L34" s="86">
        <v>0</v>
      </c>
      <c r="M34" s="86">
        <v>0</v>
      </c>
      <c r="N34" s="86">
        <v>0</v>
      </c>
      <c r="O34" s="86">
        <v>0</v>
      </c>
      <c r="P34" s="86">
        <v>0</v>
      </c>
      <c r="Q34" s="86">
        <v>0</v>
      </c>
      <c r="R34" s="86">
        <v>0</v>
      </c>
      <c r="S34" s="86">
        <v>0</v>
      </c>
      <c r="T34" s="86">
        <v>0</v>
      </c>
      <c r="U34" s="86">
        <v>0</v>
      </c>
      <c r="V34" s="86">
        <v>0</v>
      </c>
      <c r="W34" s="86">
        <v>0</v>
      </c>
      <c r="X34" s="86">
        <v>0</v>
      </c>
      <c r="Y34" s="86">
        <v>0</v>
      </c>
      <c r="Z34" s="86">
        <v>0</v>
      </c>
      <c r="AA34" s="86">
        <v>0</v>
      </c>
      <c r="AB34" s="86">
        <v>0</v>
      </c>
      <c r="AC34" s="86">
        <v>0</v>
      </c>
      <c r="AD34" s="86">
        <v>0</v>
      </c>
      <c r="AE34" s="86">
        <v>0</v>
      </c>
      <c r="AF34" s="86">
        <v>0</v>
      </c>
      <c r="AG34" s="86">
        <v>0</v>
      </c>
      <c r="AH34" s="86">
        <v>0</v>
      </c>
      <c r="AI34" s="88">
        <v>0</v>
      </c>
    </row>
    <row r="35" spans="1:35" x14ac:dyDescent="0.25">
      <c r="A35" s="66"/>
      <c r="B35" s="66"/>
      <c r="C35" s="41" t="s">
        <v>68</v>
      </c>
      <c r="D35" s="159">
        <v>0</v>
      </c>
      <c r="E35" s="160">
        <v>0</v>
      </c>
      <c r="F35" s="160">
        <v>0</v>
      </c>
      <c r="G35" s="160">
        <v>0</v>
      </c>
      <c r="H35" s="160">
        <v>0</v>
      </c>
      <c r="I35" s="160">
        <v>0</v>
      </c>
      <c r="J35" s="160">
        <v>0</v>
      </c>
      <c r="K35" s="160">
        <v>0</v>
      </c>
      <c r="L35" s="160">
        <v>0</v>
      </c>
      <c r="M35" s="160">
        <v>0</v>
      </c>
      <c r="N35" s="160">
        <v>0</v>
      </c>
      <c r="O35" s="160">
        <v>0</v>
      </c>
      <c r="P35" s="160">
        <v>0</v>
      </c>
      <c r="Q35" s="160">
        <v>0</v>
      </c>
      <c r="R35" s="160">
        <v>0</v>
      </c>
      <c r="S35" s="160">
        <v>0</v>
      </c>
      <c r="T35" s="160">
        <v>0</v>
      </c>
      <c r="U35" s="160">
        <v>0</v>
      </c>
      <c r="V35" s="160">
        <v>0</v>
      </c>
      <c r="W35" s="160">
        <v>0</v>
      </c>
      <c r="X35" s="160">
        <v>0</v>
      </c>
      <c r="Y35" s="160">
        <v>0</v>
      </c>
      <c r="Z35" s="160">
        <v>0</v>
      </c>
      <c r="AA35" s="160">
        <v>0</v>
      </c>
      <c r="AB35" s="160">
        <v>0</v>
      </c>
      <c r="AC35" s="160">
        <v>0</v>
      </c>
      <c r="AD35" s="160">
        <v>0</v>
      </c>
      <c r="AE35" s="160">
        <v>0</v>
      </c>
      <c r="AF35" s="160">
        <v>0</v>
      </c>
      <c r="AG35" s="160">
        <v>0</v>
      </c>
      <c r="AH35" s="160">
        <v>0</v>
      </c>
      <c r="AI35" s="161">
        <v>0</v>
      </c>
    </row>
    <row r="36" spans="1:35" x14ac:dyDescent="0.25">
      <c r="A36" s="40">
        <v>2</v>
      </c>
      <c r="B36" s="40" t="s">
        <v>249</v>
      </c>
      <c r="C36" s="40" t="s">
        <v>8</v>
      </c>
      <c r="D36" s="45">
        <v>0</v>
      </c>
      <c r="E36" s="86">
        <v>0</v>
      </c>
      <c r="F36" s="86">
        <v>0</v>
      </c>
      <c r="G36" s="86">
        <v>0</v>
      </c>
      <c r="H36" s="86">
        <v>0</v>
      </c>
      <c r="I36" s="86">
        <v>0</v>
      </c>
      <c r="J36" s="86">
        <v>0</v>
      </c>
      <c r="K36" s="86">
        <v>0</v>
      </c>
      <c r="L36" s="86">
        <v>0</v>
      </c>
      <c r="M36" s="86">
        <v>0</v>
      </c>
      <c r="N36" s="86">
        <v>0</v>
      </c>
      <c r="O36" s="86">
        <v>0</v>
      </c>
      <c r="P36" s="86">
        <v>0</v>
      </c>
      <c r="Q36" s="86">
        <v>0</v>
      </c>
      <c r="R36" s="86">
        <v>0</v>
      </c>
      <c r="S36" s="86">
        <v>0</v>
      </c>
      <c r="T36" s="86">
        <v>0</v>
      </c>
      <c r="U36" s="86">
        <v>0</v>
      </c>
      <c r="V36" s="86">
        <v>0</v>
      </c>
      <c r="W36" s="86">
        <v>0</v>
      </c>
      <c r="X36" s="86">
        <v>0</v>
      </c>
      <c r="Y36" s="86">
        <v>0</v>
      </c>
      <c r="Z36" s="86">
        <v>0</v>
      </c>
      <c r="AA36" s="86">
        <v>0</v>
      </c>
      <c r="AB36" s="86">
        <v>0</v>
      </c>
      <c r="AC36" s="86">
        <v>0</v>
      </c>
      <c r="AD36" s="86">
        <v>0</v>
      </c>
      <c r="AE36" s="86">
        <v>0</v>
      </c>
      <c r="AF36" s="86">
        <v>0</v>
      </c>
      <c r="AG36" s="86">
        <v>0</v>
      </c>
      <c r="AH36" s="86">
        <v>0</v>
      </c>
      <c r="AI36" s="88">
        <v>0</v>
      </c>
    </row>
    <row r="37" spans="1:35" x14ac:dyDescent="0.25">
      <c r="A37" s="66"/>
      <c r="B37" s="66"/>
      <c r="C37" s="41" t="s">
        <v>68</v>
      </c>
      <c r="D37" s="159">
        <v>0</v>
      </c>
      <c r="E37" s="160">
        <v>0</v>
      </c>
      <c r="F37" s="160">
        <v>0</v>
      </c>
      <c r="G37" s="160">
        <v>0</v>
      </c>
      <c r="H37" s="160">
        <v>0</v>
      </c>
      <c r="I37" s="160">
        <v>0</v>
      </c>
      <c r="J37" s="160">
        <v>0</v>
      </c>
      <c r="K37" s="160">
        <v>0</v>
      </c>
      <c r="L37" s="160">
        <v>0</v>
      </c>
      <c r="M37" s="160">
        <v>0</v>
      </c>
      <c r="N37" s="160">
        <v>0</v>
      </c>
      <c r="O37" s="160">
        <v>0</v>
      </c>
      <c r="P37" s="160">
        <v>0</v>
      </c>
      <c r="Q37" s="160">
        <v>0</v>
      </c>
      <c r="R37" s="160">
        <v>0</v>
      </c>
      <c r="S37" s="160">
        <v>0</v>
      </c>
      <c r="T37" s="160">
        <v>0</v>
      </c>
      <c r="U37" s="160">
        <v>0</v>
      </c>
      <c r="V37" s="160">
        <v>0</v>
      </c>
      <c r="W37" s="160">
        <v>0</v>
      </c>
      <c r="X37" s="160">
        <v>0</v>
      </c>
      <c r="Y37" s="160">
        <v>0</v>
      </c>
      <c r="Z37" s="160">
        <v>0</v>
      </c>
      <c r="AA37" s="160">
        <v>0</v>
      </c>
      <c r="AB37" s="160">
        <v>0</v>
      </c>
      <c r="AC37" s="160">
        <v>0</v>
      </c>
      <c r="AD37" s="160">
        <v>0</v>
      </c>
      <c r="AE37" s="160">
        <v>0</v>
      </c>
      <c r="AF37" s="160">
        <v>0</v>
      </c>
      <c r="AG37" s="160">
        <v>0</v>
      </c>
      <c r="AH37" s="160">
        <v>0</v>
      </c>
      <c r="AI37" s="161">
        <v>0</v>
      </c>
    </row>
    <row r="38" spans="1:35" x14ac:dyDescent="0.25">
      <c r="A38" s="40">
        <v>3</v>
      </c>
      <c r="B38" s="40" t="s">
        <v>249</v>
      </c>
      <c r="C38" s="40" t="s">
        <v>8</v>
      </c>
      <c r="D38" s="45">
        <v>0</v>
      </c>
      <c r="E38" s="86">
        <v>0</v>
      </c>
      <c r="F38" s="86">
        <v>0</v>
      </c>
      <c r="G38" s="86">
        <v>0</v>
      </c>
      <c r="H38" s="86">
        <v>0</v>
      </c>
      <c r="I38" s="86">
        <v>0</v>
      </c>
      <c r="J38" s="86">
        <v>0</v>
      </c>
      <c r="K38" s="86">
        <v>0</v>
      </c>
      <c r="L38" s="86">
        <v>0</v>
      </c>
      <c r="M38" s="86">
        <v>0</v>
      </c>
      <c r="N38" s="86">
        <v>0</v>
      </c>
      <c r="O38" s="86">
        <v>0</v>
      </c>
      <c r="P38" s="86">
        <v>0</v>
      </c>
      <c r="Q38" s="86">
        <v>0</v>
      </c>
      <c r="R38" s="86">
        <v>0</v>
      </c>
      <c r="S38" s="86">
        <v>0</v>
      </c>
      <c r="T38" s="86">
        <v>0</v>
      </c>
      <c r="U38" s="86">
        <v>0</v>
      </c>
      <c r="V38" s="86">
        <v>0</v>
      </c>
      <c r="W38" s="86">
        <v>0</v>
      </c>
      <c r="X38" s="86">
        <v>0</v>
      </c>
      <c r="Y38" s="86">
        <v>0</v>
      </c>
      <c r="Z38" s="86">
        <v>0</v>
      </c>
      <c r="AA38" s="86">
        <v>0</v>
      </c>
      <c r="AB38" s="86">
        <v>0</v>
      </c>
      <c r="AC38" s="86">
        <v>0</v>
      </c>
      <c r="AD38" s="86">
        <v>0</v>
      </c>
      <c r="AE38" s="86">
        <v>0</v>
      </c>
      <c r="AF38" s="86">
        <v>0</v>
      </c>
      <c r="AG38" s="86">
        <v>0</v>
      </c>
      <c r="AH38" s="86">
        <v>0</v>
      </c>
      <c r="AI38" s="88">
        <v>0</v>
      </c>
    </row>
    <row r="39" spans="1:35" x14ac:dyDescent="0.25">
      <c r="A39" s="66"/>
      <c r="B39" s="66"/>
      <c r="C39" s="41" t="s">
        <v>68</v>
      </c>
      <c r="D39" s="159">
        <v>0</v>
      </c>
      <c r="E39" s="160">
        <v>0</v>
      </c>
      <c r="F39" s="160">
        <v>0</v>
      </c>
      <c r="G39" s="160">
        <v>0</v>
      </c>
      <c r="H39" s="160">
        <v>0</v>
      </c>
      <c r="I39" s="160">
        <v>0</v>
      </c>
      <c r="J39" s="160">
        <v>0</v>
      </c>
      <c r="K39" s="160">
        <v>0</v>
      </c>
      <c r="L39" s="160">
        <v>0</v>
      </c>
      <c r="M39" s="160">
        <v>0</v>
      </c>
      <c r="N39" s="160">
        <v>0</v>
      </c>
      <c r="O39" s="160">
        <v>0</v>
      </c>
      <c r="P39" s="160">
        <v>0</v>
      </c>
      <c r="Q39" s="160">
        <v>0</v>
      </c>
      <c r="R39" s="160">
        <v>0</v>
      </c>
      <c r="S39" s="160">
        <v>0</v>
      </c>
      <c r="T39" s="160">
        <v>0</v>
      </c>
      <c r="U39" s="160">
        <v>0</v>
      </c>
      <c r="V39" s="160">
        <v>0</v>
      </c>
      <c r="W39" s="160">
        <v>0</v>
      </c>
      <c r="X39" s="160">
        <v>0</v>
      </c>
      <c r="Y39" s="160">
        <v>0</v>
      </c>
      <c r="Z39" s="160">
        <v>0</v>
      </c>
      <c r="AA39" s="160">
        <v>0</v>
      </c>
      <c r="AB39" s="160">
        <v>0</v>
      </c>
      <c r="AC39" s="160">
        <v>0</v>
      </c>
      <c r="AD39" s="160">
        <v>0</v>
      </c>
      <c r="AE39" s="160">
        <v>0</v>
      </c>
      <c r="AF39" s="160">
        <v>0</v>
      </c>
      <c r="AG39" s="160">
        <v>0</v>
      </c>
      <c r="AH39" s="160">
        <v>0</v>
      </c>
      <c r="AI39" s="161">
        <v>0</v>
      </c>
    </row>
    <row r="40" spans="1:35" x14ac:dyDescent="0.25">
      <c r="A40" s="40">
        <v>4</v>
      </c>
      <c r="B40" s="40" t="s">
        <v>249</v>
      </c>
      <c r="C40" s="40" t="s">
        <v>8</v>
      </c>
      <c r="D40" s="45">
        <v>0</v>
      </c>
      <c r="E40" s="86">
        <v>0</v>
      </c>
      <c r="F40" s="86">
        <v>0</v>
      </c>
      <c r="G40" s="86">
        <v>0</v>
      </c>
      <c r="H40" s="86">
        <v>0</v>
      </c>
      <c r="I40" s="86">
        <v>0</v>
      </c>
      <c r="J40" s="86">
        <v>0</v>
      </c>
      <c r="K40" s="86">
        <v>0</v>
      </c>
      <c r="L40" s="86">
        <v>0</v>
      </c>
      <c r="M40" s="86">
        <v>0</v>
      </c>
      <c r="N40" s="86">
        <v>0</v>
      </c>
      <c r="O40" s="86">
        <v>0</v>
      </c>
      <c r="P40" s="86">
        <v>0</v>
      </c>
      <c r="Q40" s="86">
        <v>0</v>
      </c>
      <c r="R40" s="86">
        <v>0</v>
      </c>
      <c r="S40" s="86">
        <v>0</v>
      </c>
      <c r="T40" s="86">
        <v>0</v>
      </c>
      <c r="U40" s="86">
        <v>0</v>
      </c>
      <c r="V40" s="86">
        <v>0</v>
      </c>
      <c r="W40" s="86">
        <v>0</v>
      </c>
      <c r="X40" s="86">
        <v>0</v>
      </c>
      <c r="Y40" s="86">
        <v>0</v>
      </c>
      <c r="Z40" s="86">
        <v>0</v>
      </c>
      <c r="AA40" s="86">
        <v>0</v>
      </c>
      <c r="AB40" s="86">
        <v>0</v>
      </c>
      <c r="AC40" s="86">
        <v>0</v>
      </c>
      <c r="AD40" s="86">
        <v>0</v>
      </c>
      <c r="AE40" s="86">
        <v>0</v>
      </c>
      <c r="AF40" s="86">
        <v>0</v>
      </c>
      <c r="AG40" s="86">
        <v>0</v>
      </c>
      <c r="AH40" s="86">
        <v>0</v>
      </c>
      <c r="AI40" s="88">
        <v>0</v>
      </c>
    </row>
    <row r="41" spans="1:35" x14ac:dyDescent="0.25">
      <c r="A41" s="66"/>
      <c r="B41" s="66"/>
      <c r="C41" s="41" t="s">
        <v>68</v>
      </c>
      <c r="D41" s="159">
        <v>0</v>
      </c>
      <c r="E41" s="160">
        <v>0</v>
      </c>
      <c r="F41" s="160">
        <v>0</v>
      </c>
      <c r="G41" s="160">
        <v>0</v>
      </c>
      <c r="H41" s="160">
        <v>0</v>
      </c>
      <c r="I41" s="160">
        <v>0</v>
      </c>
      <c r="J41" s="160">
        <v>0</v>
      </c>
      <c r="K41" s="160">
        <v>0</v>
      </c>
      <c r="L41" s="160">
        <v>0</v>
      </c>
      <c r="M41" s="160">
        <v>0</v>
      </c>
      <c r="N41" s="160">
        <v>0</v>
      </c>
      <c r="O41" s="160">
        <v>0</v>
      </c>
      <c r="P41" s="160">
        <v>0</v>
      </c>
      <c r="Q41" s="160">
        <v>0</v>
      </c>
      <c r="R41" s="160">
        <v>0</v>
      </c>
      <c r="S41" s="160">
        <v>0</v>
      </c>
      <c r="T41" s="160">
        <v>0</v>
      </c>
      <c r="U41" s="160">
        <v>0</v>
      </c>
      <c r="V41" s="160">
        <v>0</v>
      </c>
      <c r="W41" s="160">
        <v>0</v>
      </c>
      <c r="X41" s="160">
        <v>0</v>
      </c>
      <c r="Y41" s="160">
        <v>0</v>
      </c>
      <c r="Z41" s="160">
        <v>0</v>
      </c>
      <c r="AA41" s="160">
        <v>0</v>
      </c>
      <c r="AB41" s="160">
        <v>0</v>
      </c>
      <c r="AC41" s="160">
        <v>0</v>
      </c>
      <c r="AD41" s="160">
        <v>0</v>
      </c>
      <c r="AE41" s="160">
        <v>0</v>
      </c>
      <c r="AF41" s="160">
        <v>0</v>
      </c>
      <c r="AG41" s="160">
        <v>0</v>
      </c>
      <c r="AH41" s="160">
        <v>0</v>
      </c>
      <c r="AI41" s="161">
        <v>0</v>
      </c>
    </row>
    <row r="42" spans="1:35" x14ac:dyDescent="0.25">
      <c r="A42" s="40">
        <v>5</v>
      </c>
      <c r="B42" s="40" t="s">
        <v>249</v>
      </c>
      <c r="C42" s="40" t="s">
        <v>8</v>
      </c>
      <c r="D42" s="45">
        <v>0</v>
      </c>
      <c r="E42" s="86">
        <v>0</v>
      </c>
      <c r="F42" s="86">
        <v>0</v>
      </c>
      <c r="G42" s="86">
        <v>0</v>
      </c>
      <c r="H42" s="86">
        <v>0</v>
      </c>
      <c r="I42" s="86">
        <v>0</v>
      </c>
      <c r="J42" s="86">
        <v>0</v>
      </c>
      <c r="K42" s="86">
        <v>0</v>
      </c>
      <c r="L42" s="86">
        <v>0</v>
      </c>
      <c r="M42" s="86">
        <v>0</v>
      </c>
      <c r="N42" s="86">
        <v>0</v>
      </c>
      <c r="O42" s="86">
        <v>0</v>
      </c>
      <c r="P42" s="86">
        <v>0</v>
      </c>
      <c r="Q42" s="86">
        <v>0</v>
      </c>
      <c r="R42" s="86">
        <v>0</v>
      </c>
      <c r="S42" s="86">
        <v>0</v>
      </c>
      <c r="T42" s="86">
        <v>0</v>
      </c>
      <c r="U42" s="86">
        <v>0</v>
      </c>
      <c r="V42" s="86">
        <v>0</v>
      </c>
      <c r="W42" s="86">
        <v>0</v>
      </c>
      <c r="X42" s="86">
        <v>0</v>
      </c>
      <c r="Y42" s="86">
        <v>0</v>
      </c>
      <c r="Z42" s="86">
        <v>0</v>
      </c>
      <c r="AA42" s="86">
        <v>0</v>
      </c>
      <c r="AB42" s="86">
        <v>0</v>
      </c>
      <c r="AC42" s="86">
        <v>0</v>
      </c>
      <c r="AD42" s="86">
        <v>0</v>
      </c>
      <c r="AE42" s="86">
        <v>0</v>
      </c>
      <c r="AF42" s="86">
        <v>0</v>
      </c>
      <c r="AG42" s="86">
        <v>0</v>
      </c>
      <c r="AH42" s="86">
        <v>0</v>
      </c>
      <c r="AI42" s="88">
        <v>0</v>
      </c>
    </row>
    <row r="43" spans="1:35" x14ac:dyDescent="0.25">
      <c r="A43" s="66"/>
      <c r="B43" s="66"/>
      <c r="C43" s="41" t="s">
        <v>68</v>
      </c>
      <c r="D43" s="159">
        <v>0</v>
      </c>
      <c r="E43" s="160">
        <v>0</v>
      </c>
      <c r="F43" s="160">
        <v>0</v>
      </c>
      <c r="G43" s="160">
        <v>0</v>
      </c>
      <c r="H43" s="160">
        <v>0</v>
      </c>
      <c r="I43" s="160">
        <v>0</v>
      </c>
      <c r="J43" s="160">
        <v>0</v>
      </c>
      <c r="K43" s="160">
        <v>0</v>
      </c>
      <c r="L43" s="160">
        <v>0</v>
      </c>
      <c r="M43" s="160">
        <v>0</v>
      </c>
      <c r="N43" s="160">
        <v>0</v>
      </c>
      <c r="O43" s="160">
        <v>0</v>
      </c>
      <c r="P43" s="160">
        <v>0</v>
      </c>
      <c r="Q43" s="160">
        <v>0</v>
      </c>
      <c r="R43" s="160">
        <v>0</v>
      </c>
      <c r="S43" s="160">
        <v>0</v>
      </c>
      <c r="T43" s="160">
        <v>0</v>
      </c>
      <c r="U43" s="160">
        <v>0</v>
      </c>
      <c r="V43" s="160">
        <v>0</v>
      </c>
      <c r="W43" s="160">
        <v>0</v>
      </c>
      <c r="X43" s="160">
        <v>0</v>
      </c>
      <c r="Y43" s="160">
        <v>0</v>
      </c>
      <c r="Z43" s="160">
        <v>0</v>
      </c>
      <c r="AA43" s="160">
        <v>0</v>
      </c>
      <c r="AB43" s="160">
        <v>0</v>
      </c>
      <c r="AC43" s="160">
        <v>0</v>
      </c>
      <c r="AD43" s="160">
        <v>0</v>
      </c>
      <c r="AE43" s="160">
        <v>0</v>
      </c>
      <c r="AF43" s="160">
        <v>0</v>
      </c>
      <c r="AG43" s="160">
        <v>0</v>
      </c>
      <c r="AH43" s="160">
        <v>0</v>
      </c>
      <c r="AI43" s="161">
        <v>0</v>
      </c>
    </row>
    <row r="44" spans="1:35" x14ac:dyDescent="0.25">
      <c r="A44" s="40">
        <v>6</v>
      </c>
      <c r="B44" s="40" t="s">
        <v>249</v>
      </c>
      <c r="C44" s="40" t="s">
        <v>8</v>
      </c>
      <c r="D44" s="45">
        <v>0</v>
      </c>
      <c r="E44" s="86">
        <v>0</v>
      </c>
      <c r="F44" s="86">
        <v>0</v>
      </c>
      <c r="G44" s="86">
        <v>0</v>
      </c>
      <c r="H44" s="86">
        <v>0</v>
      </c>
      <c r="I44" s="86">
        <v>0</v>
      </c>
      <c r="J44" s="86">
        <v>0</v>
      </c>
      <c r="K44" s="86">
        <v>0</v>
      </c>
      <c r="L44" s="86">
        <v>0</v>
      </c>
      <c r="M44" s="86">
        <v>0</v>
      </c>
      <c r="N44" s="86">
        <v>0</v>
      </c>
      <c r="O44" s="86">
        <v>0</v>
      </c>
      <c r="P44" s="86">
        <v>0</v>
      </c>
      <c r="Q44" s="86">
        <v>0</v>
      </c>
      <c r="R44" s="86">
        <v>0</v>
      </c>
      <c r="S44" s="86">
        <v>0</v>
      </c>
      <c r="T44" s="86">
        <v>0</v>
      </c>
      <c r="U44" s="86">
        <v>0</v>
      </c>
      <c r="V44" s="86">
        <v>0</v>
      </c>
      <c r="W44" s="86">
        <v>0</v>
      </c>
      <c r="X44" s="86">
        <v>0</v>
      </c>
      <c r="Y44" s="86">
        <v>0</v>
      </c>
      <c r="Z44" s="86">
        <v>0</v>
      </c>
      <c r="AA44" s="86">
        <v>0</v>
      </c>
      <c r="AB44" s="86">
        <v>0</v>
      </c>
      <c r="AC44" s="86">
        <v>0</v>
      </c>
      <c r="AD44" s="86">
        <v>0</v>
      </c>
      <c r="AE44" s="86">
        <v>0</v>
      </c>
      <c r="AF44" s="86">
        <v>0</v>
      </c>
      <c r="AG44" s="86">
        <v>0</v>
      </c>
      <c r="AH44" s="86">
        <v>0</v>
      </c>
      <c r="AI44" s="88">
        <v>0</v>
      </c>
    </row>
    <row r="45" spans="1:35" x14ac:dyDescent="0.25">
      <c r="A45" s="66"/>
      <c r="B45" s="66"/>
      <c r="C45" s="41" t="s">
        <v>68</v>
      </c>
      <c r="D45" s="159">
        <v>0</v>
      </c>
      <c r="E45" s="160">
        <v>0</v>
      </c>
      <c r="F45" s="160">
        <v>0</v>
      </c>
      <c r="G45" s="160">
        <v>0</v>
      </c>
      <c r="H45" s="160">
        <v>0</v>
      </c>
      <c r="I45" s="160">
        <v>0</v>
      </c>
      <c r="J45" s="160">
        <v>0</v>
      </c>
      <c r="K45" s="160">
        <v>0</v>
      </c>
      <c r="L45" s="160">
        <v>0</v>
      </c>
      <c r="M45" s="160">
        <v>0</v>
      </c>
      <c r="N45" s="160">
        <v>0</v>
      </c>
      <c r="O45" s="160">
        <v>0</v>
      </c>
      <c r="P45" s="160">
        <v>0</v>
      </c>
      <c r="Q45" s="160">
        <v>0</v>
      </c>
      <c r="R45" s="160">
        <v>0</v>
      </c>
      <c r="S45" s="160">
        <v>0</v>
      </c>
      <c r="T45" s="160">
        <v>0</v>
      </c>
      <c r="U45" s="160">
        <v>0</v>
      </c>
      <c r="V45" s="160">
        <v>0</v>
      </c>
      <c r="W45" s="160">
        <v>0</v>
      </c>
      <c r="X45" s="160">
        <v>0</v>
      </c>
      <c r="Y45" s="160">
        <v>0</v>
      </c>
      <c r="Z45" s="160">
        <v>0</v>
      </c>
      <c r="AA45" s="160">
        <v>0</v>
      </c>
      <c r="AB45" s="160">
        <v>0</v>
      </c>
      <c r="AC45" s="160">
        <v>0</v>
      </c>
      <c r="AD45" s="160">
        <v>0</v>
      </c>
      <c r="AE45" s="160">
        <v>0</v>
      </c>
      <c r="AF45" s="160">
        <v>0</v>
      </c>
      <c r="AG45" s="160">
        <v>0</v>
      </c>
      <c r="AH45" s="160">
        <v>0</v>
      </c>
      <c r="AI45" s="161">
        <v>0</v>
      </c>
    </row>
    <row r="46" spans="1:35" x14ac:dyDescent="0.25">
      <c r="A46" s="40">
        <v>7</v>
      </c>
      <c r="B46" s="40" t="s">
        <v>249</v>
      </c>
      <c r="C46" s="40" t="s">
        <v>8</v>
      </c>
      <c r="D46" s="45">
        <v>0</v>
      </c>
      <c r="E46" s="86">
        <v>0</v>
      </c>
      <c r="F46" s="86">
        <v>0</v>
      </c>
      <c r="G46" s="86">
        <v>0</v>
      </c>
      <c r="H46" s="86">
        <v>0</v>
      </c>
      <c r="I46" s="86">
        <v>0</v>
      </c>
      <c r="J46" s="86">
        <v>0</v>
      </c>
      <c r="K46" s="86">
        <v>0</v>
      </c>
      <c r="L46" s="86">
        <v>0</v>
      </c>
      <c r="M46" s="86">
        <v>0</v>
      </c>
      <c r="N46" s="86">
        <v>0</v>
      </c>
      <c r="O46" s="86">
        <v>0</v>
      </c>
      <c r="P46" s="86">
        <v>0</v>
      </c>
      <c r="Q46" s="86">
        <v>0</v>
      </c>
      <c r="R46" s="86">
        <v>0</v>
      </c>
      <c r="S46" s="86">
        <v>0</v>
      </c>
      <c r="T46" s="86">
        <v>0</v>
      </c>
      <c r="U46" s="86">
        <v>0</v>
      </c>
      <c r="V46" s="86">
        <v>0</v>
      </c>
      <c r="W46" s="86">
        <v>0</v>
      </c>
      <c r="X46" s="86">
        <v>0</v>
      </c>
      <c r="Y46" s="86">
        <v>0</v>
      </c>
      <c r="Z46" s="86">
        <v>0</v>
      </c>
      <c r="AA46" s="86">
        <v>0</v>
      </c>
      <c r="AB46" s="86">
        <v>0</v>
      </c>
      <c r="AC46" s="86">
        <v>0</v>
      </c>
      <c r="AD46" s="86">
        <v>0</v>
      </c>
      <c r="AE46" s="86">
        <v>0</v>
      </c>
      <c r="AF46" s="86">
        <v>0</v>
      </c>
      <c r="AG46" s="86">
        <v>0</v>
      </c>
      <c r="AH46" s="86">
        <v>0</v>
      </c>
      <c r="AI46" s="88">
        <v>0</v>
      </c>
    </row>
    <row r="47" spans="1:35" x14ac:dyDescent="0.25">
      <c r="A47" s="66"/>
      <c r="B47" s="66"/>
      <c r="C47" s="41" t="s">
        <v>68</v>
      </c>
      <c r="D47" s="159">
        <v>0</v>
      </c>
      <c r="E47" s="160">
        <v>0</v>
      </c>
      <c r="F47" s="160">
        <v>0</v>
      </c>
      <c r="G47" s="160">
        <v>0</v>
      </c>
      <c r="H47" s="160">
        <v>0</v>
      </c>
      <c r="I47" s="160">
        <v>0</v>
      </c>
      <c r="J47" s="160">
        <v>0</v>
      </c>
      <c r="K47" s="160">
        <v>0</v>
      </c>
      <c r="L47" s="160">
        <v>0</v>
      </c>
      <c r="M47" s="160">
        <v>0</v>
      </c>
      <c r="N47" s="160">
        <v>0</v>
      </c>
      <c r="O47" s="160">
        <v>0</v>
      </c>
      <c r="P47" s="160">
        <v>0</v>
      </c>
      <c r="Q47" s="160">
        <v>0</v>
      </c>
      <c r="R47" s="160">
        <v>0</v>
      </c>
      <c r="S47" s="160">
        <v>0</v>
      </c>
      <c r="T47" s="160">
        <v>0</v>
      </c>
      <c r="U47" s="160">
        <v>0</v>
      </c>
      <c r="V47" s="160">
        <v>0</v>
      </c>
      <c r="W47" s="160">
        <v>0</v>
      </c>
      <c r="X47" s="160">
        <v>0</v>
      </c>
      <c r="Y47" s="160">
        <v>0</v>
      </c>
      <c r="Z47" s="160">
        <v>0</v>
      </c>
      <c r="AA47" s="160">
        <v>0</v>
      </c>
      <c r="AB47" s="160">
        <v>0</v>
      </c>
      <c r="AC47" s="160">
        <v>0</v>
      </c>
      <c r="AD47" s="160">
        <v>0</v>
      </c>
      <c r="AE47" s="160">
        <v>0</v>
      </c>
      <c r="AF47" s="160">
        <v>0</v>
      </c>
      <c r="AG47" s="160">
        <v>0</v>
      </c>
      <c r="AH47" s="160">
        <v>0</v>
      </c>
      <c r="AI47" s="161">
        <v>0</v>
      </c>
    </row>
    <row r="48" spans="1:35" x14ac:dyDescent="0.25">
      <c r="A48" s="40">
        <v>8</v>
      </c>
      <c r="B48" s="40" t="s">
        <v>249</v>
      </c>
      <c r="C48" s="40" t="s">
        <v>8</v>
      </c>
      <c r="D48" s="45">
        <v>0</v>
      </c>
      <c r="E48" s="86">
        <v>0</v>
      </c>
      <c r="F48" s="86">
        <v>0</v>
      </c>
      <c r="G48" s="86">
        <v>0</v>
      </c>
      <c r="H48" s="86">
        <v>0</v>
      </c>
      <c r="I48" s="86">
        <v>0</v>
      </c>
      <c r="J48" s="86">
        <v>0</v>
      </c>
      <c r="K48" s="86">
        <v>0</v>
      </c>
      <c r="L48" s="86">
        <v>0</v>
      </c>
      <c r="M48" s="86">
        <v>0</v>
      </c>
      <c r="N48" s="86">
        <v>0</v>
      </c>
      <c r="O48" s="86">
        <v>0</v>
      </c>
      <c r="P48" s="86">
        <v>0</v>
      </c>
      <c r="Q48" s="86">
        <v>0</v>
      </c>
      <c r="R48" s="86">
        <v>0</v>
      </c>
      <c r="S48" s="86">
        <v>0</v>
      </c>
      <c r="T48" s="86">
        <v>0</v>
      </c>
      <c r="U48" s="86">
        <v>0</v>
      </c>
      <c r="V48" s="86">
        <v>0</v>
      </c>
      <c r="W48" s="86">
        <v>0</v>
      </c>
      <c r="X48" s="86">
        <v>0</v>
      </c>
      <c r="Y48" s="86">
        <v>0</v>
      </c>
      <c r="Z48" s="86">
        <v>0</v>
      </c>
      <c r="AA48" s="86">
        <v>0</v>
      </c>
      <c r="AB48" s="86">
        <v>0</v>
      </c>
      <c r="AC48" s="86">
        <v>0</v>
      </c>
      <c r="AD48" s="86">
        <v>0</v>
      </c>
      <c r="AE48" s="86">
        <v>0</v>
      </c>
      <c r="AF48" s="86">
        <v>0</v>
      </c>
      <c r="AG48" s="86">
        <v>0</v>
      </c>
      <c r="AH48" s="86">
        <v>0</v>
      </c>
      <c r="AI48" s="88">
        <v>0</v>
      </c>
    </row>
    <row r="49" spans="1:35" x14ac:dyDescent="0.25">
      <c r="A49" s="66"/>
      <c r="B49" s="66"/>
      <c r="C49" s="41" t="s">
        <v>68</v>
      </c>
      <c r="D49" s="159">
        <v>0</v>
      </c>
      <c r="E49" s="160">
        <v>0</v>
      </c>
      <c r="F49" s="160">
        <v>0</v>
      </c>
      <c r="G49" s="160">
        <v>0</v>
      </c>
      <c r="H49" s="160">
        <v>0</v>
      </c>
      <c r="I49" s="160">
        <v>0</v>
      </c>
      <c r="J49" s="160">
        <v>0</v>
      </c>
      <c r="K49" s="160">
        <v>0</v>
      </c>
      <c r="L49" s="160">
        <v>0</v>
      </c>
      <c r="M49" s="160">
        <v>0</v>
      </c>
      <c r="N49" s="160">
        <v>0</v>
      </c>
      <c r="O49" s="160">
        <v>0</v>
      </c>
      <c r="P49" s="160">
        <v>0</v>
      </c>
      <c r="Q49" s="160">
        <v>0</v>
      </c>
      <c r="R49" s="160">
        <v>0</v>
      </c>
      <c r="S49" s="160">
        <v>0</v>
      </c>
      <c r="T49" s="160">
        <v>0</v>
      </c>
      <c r="U49" s="160">
        <v>0</v>
      </c>
      <c r="V49" s="160">
        <v>0</v>
      </c>
      <c r="W49" s="160">
        <v>0</v>
      </c>
      <c r="X49" s="160">
        <v>0</v>
      </c>
      <c r="Y49" s="160">
        <v>0</v>
      </c>
      <c r="Z49" s="160">
        <v>0</v>
      </c>
      <c r="AA49" s="160">
        <v>0</v>
      </c>
      <c r="AB49" s="160">
        <v>0</v>
      </c>
      <c r="AC49" s="160">
        <v>0</v>
      </c>
      <c r="AD49" s="160">
        <v>0</v>
      </c>
      <c r="AE49" s="160">
        <v>0</v>
      </c>
      <c r="AF49" s="160">
        <v>0</v>
      </c>
      <c r="AG49" s="160">
        <v>0</v>
      </c>
      <c r="AH49" s="160">
        <v>0</v>
      </c>
      <c r="AI49" s="161">
        <v>0</v>
      </c>
    </row>
    <row r="50" spans="1:35" x14ac:dyDescent="0.25">
      <c r="A50" s="40">
        <v>9</v>
      </c>
      <c r="B50" s="40" t="s">
        <v>249</v>
      </c>
      <c r="C50" s="40" t="s">
        <v>8</v>
      </c>
      <c r="D50" s="45">
        <v>0</v>
      </c>
      <c r="E50" s="86">
        <v>0</v>
      </c>
      <c r="F50" s="86">
        <v>0</v>
      </c>
      <c r="G50" s="86">
        <v>0</v>
      </c>
      <c r="H50" s="86">
        <v>0</v>
      </c>
      <c r="I50" s="86">
        <v>0</v>
      </c>
      <c r="J50" s="86">
        <v>0</v>
      </c>
      <c r="K50" s="86">
        <v>0</v>
      </c>
      <c r="L50" s="86">
        <v>0</v>
      </c>
      <c r="M50" s="86">
        <v>0</v>
      </c>
      <c r="N50" s="86">
        <v>0</v>
      </c>
      <c r="O50" s="86">
        <v>0</v>
      </c>
      <c r="P50" s="86">
        <v>0</v>
      </c>
      <c r="Q50" s="86">
        <v>0</v>
      </c>
      <c r="R50" s="86">
        <v>0</v>
      </c>
      <c r="S50" s="86">
        <v>0</v>
      </c>
      <c r="T50" s="86">
        <v>0</v>
      </c>
      <c r="U50" s="86">
        <v>0</v>
      </c>
      <c r="V50" s="86">
        <v>0</v>
      </c>
      <c r="W50" s="86">
        <v>0</v>
      </c>
      <c r="X50" s="86">
        <v>0</v>
      </c>
      <c r="Y50" s="86">
        <v>0</v>
      </c>
      <c r="Z50" s="86">
        <v>0</v>
      </c>
      <c r="AA50" s="86">
        <v>0</v>
      </c>
      <c r="AB50" s="86">
        <v>0</v>
      </c>
      <c r="AC50" s="86">
        <v>0</v>
      </c>
      <c r="AD50" s="86">
        <v>0</v>
      </c>
      <c r="AE50" s="86">
        <v>0</v>
      </c>
      <c r="AF50" s="86">
        <v>0</v>
      </c>
      <c r="AG50" s="86">
        <v>0</v>
      </c>
      <c r="AH50" s="86">
        <v>0</v>
      </c>
      <c r="AI50" s="88">
        <v>0</v>
      </c>
    </row>
    <row r="51" spans="1:35" x14ac:dyDescent="0.25">
      <c r="A51" s="66"/>
      <c r="B51" s="66"/>
      <c r="C51" s="41" t="s">
        <v>68</v>
      </c>
      <c r="D51" s="159">
        <v>0</v>
      </c>
      <c r="E51" s="160">
        <v>0</v>
      </c>
      <c r="F51" s="160">
        <v>0</v>
      </c>
      <c r="G51" s="160">
        <v>0</v>
      </c>
      <c r="H51" s="160">
        <v>0</v>
      </c>
      <c r="I51" s="160">
        <v>0</v>
      </c>
      <c r="J51" s="160">
        <v>0</v>
      </c>
      <c r="K51" s="160">
        <v>0</v>
      </c>
      <c r="L51" s="160">
        <v>0</v>
      </c>
      <c r="M51" s="160">
        <v>0</v>
      </c>
      <c r="N51" s="160">
        <v>0</v>
      </c>
      <c r="O51" s="160">
        <v>0</v>
      </c>
      <c r="P51" s="160">
        <v>0</v>
      </c>
      <c r="Q51" s="160">
        <v>0</v>
      </c>
      <c r="R51" s="160">
        <v>0</v>
      </c>
      <c r="S51" s="160">
        <v>0</v>
      </c>
      <c r="T51" s="160">
        <v>0</v>
      </c>
      <c r="U51" s="160">
        <v>0</v>
      </c>
      <c r="V51" s="160">
        <v>0</v>
      </c>
      <c r="W51" s="160">
        <v>0</v>
      </c>
      <c r="X51" s="160">
        <v>0</v>
      </c>
      <c r="Y51" s="160">
        <v>0</v>
      </c>
      <c r="Z51" s="160">
        <v>0</v>
      </c>
      <c r="AA51" s="160">
        <v>0</v>
      </c>
      <c r="AB51" s="160">
        <v>0</v>
      </c>
      <c r="AC51" s="160">
        <v>0</v>
      </c>
      <c r="AD51" s="160">
        <v>0</v>
      </c>
      <c r="AE51" s="160">
        <v>0</v>
      </c>
      <c r="AF51" s="160">
        <v>0</v>
      </c>
      <c r="AG51" s="160">
        <v>0</v>
      </c>
      <c r="AH51" s="160">
        <v>0</v>
      </c>
      <c r="AI51" s="161">
        <v>0</v>
      </c>
    </row>
    <row r="52" spans="1:35" x14ac:dyDescent="0.25">
      <c r="A52" s="40">
        <v>10</v>
      </c>
      <c r="B52" s="40" t="s">
        <v>249</v>
      </c>
      <c r="C52" s="40" t="s">
        <v>8</v>
      </c>
      <c r="D52" s="45">
        <v>0</v>
      </c>
      <c r="E52" s="86">
        <v>0</v>
      </c>
      <c r="F52" s="86">
        <v>0</v>
      </c>
      <c r="G52" s="86">
        <v>0</v>
      </c>
      <c r="H52" s="86">
        <v>0</v>
      </c>
      <c r="I52" s="86">
        <v>0</v>
      </c>
      <c r="J52" s="86">
        <v>0</v>
      </c>
      <c r="K52" s="86">
        <v>0</v>
      </c>
      <c r="L52" s="86">
        <v>0</v>
      </c>
      <c r="M52" s="86">
        <v>0</v>
      </c>
      <c r="N52" s="86">
        <v>0</v>
      </c>
      <c r="O52" s="86">
        <v>0</v>
      </c>
      <c r="P52" s="86">
        <v>0</v>
      </c>
      <c r="Q52" s="86">
        <v>0</v>
      </c>
      <c r="R52" s="86">
        <v>0</v>
      </c>
      <c r="S52" s="86">
        <v>0</v>
      </c>
      <c r="T52" s="86">
        <v>0</v>
      </c>
      <c r="U52" s="86">
        <v>0</v>
      </c>
      <c r="V52" s="86">
        <v>0</v>
      </c>
      <c r="W52" s="86">
        <v>0</v>
      </c>
      <c r="X52" s="86">
        <v>0</v>
      </c>
      <c r="Y52" s="86">
        <v>0</v>
      </c>
      <c r="Z52" s="86">
        <v>0</v>
      </c>
      <c r="AA52" s="86">
        <v>0</v>
      </c>
      <c r="AB52" s="86">
        <v>0</v>
      </c>
      <c r="AC52" s="86">
        <v>0</v>
      </c>
      <c r="AD52" s="86">
        <v>0</v>
      </c>
      <c r="AE52" s="86">
        <v>0</v>
      </c>
      <c r="AF52" s="86">
        <v>0</v>
      </c>
      <c r="AG52" s="86">
        <v>0</v>
      </c>
      <c r="AH52" s="86">
        <v>0</v>
      </c>
      <c r="AI52" s="88">
        <v>0</v>
      </c>
    </row>
    <row r="53" spans="1:35" x14ac:dyDescent="0.25">
      <c r="A53" s="66"/>
      <c r="B53" s="66"/>
      <c r="C53" s="41" t="s">
        <v>68</v>
      </c>
      <c r="D53" s="159">
        <v>0</v>
      </c>
      <c r="E53" s="160">
        <v>0</v>
      </c>
      <c r="F53" s="160">
        <v>0</v>
      </c>
      <c r="G53" s="160">
        <v>0</v>
      </c>
      <c r="H53" s="160">
        <v>0</v>
      </c>
      <c r="I53" s="160">
        <v>0</v>
      </c>
      <c r="J53" s="160">
        <v>0</v>
      </c>
      <c r="K53" s="160">
        <v>0</v>
      </c>
      <c r="L53" s="160">
        <v>0</v>
      </c>
      <c r="M53" s="160">
        <v>0</v>
      </c>
      <c r="N53" s="160">
        <v>0</v>
      </c>
      <c r="O53" s="160">
        <v>0</v>
      </c>
      <c r="P53" s="160">
        <v>0</v>
      </c>
      <c r="Q53" s="160">
        <v>0</v>
      </c>
      <c r="R53" s="160">
        <v>0</v>
      </c>
      <c r="S53" s="160">
        <v>0</v>
      </c>
      <c r="T53" s="160">
        <v>0</v>
      </c>
      <c r="U53" s="160">
        <v>0</v>
      </c>
      <c r="V53" s="160">
        <v>0</v>
      </c>
      <c r="W53" s="160">
        <v>0</v>
      </c>
      <c r="X53" s="160">
        <v>0</v>
      </c>
      <c r="Y53" s="160">
        <v>0</v>
      </c>
      <c r="Z53" s="160">
        <v>0</v>
      </c>
      <c r="AA53" s="160">
        <v>0</v>
      </c>
      <c r="AB53" s="160">
        <v>0</v>
      </c>
      <c r="AC53" s="160">
        <v>0</v>
      </c>
      <c r="AD53" s="160">
        <v>0</v>
      </c>
      <c r="AE53" s="160">
        <v>0</v>
      </c>
      <c r="AF53" s="160">
        <v>0</v>
      </c>
      <c r="AG53" s="160">
        <v>0</v>
      </c>
      <c r="AH53" s="160">
        <v>0</v>
      </c>
      <c r="AI53" s="161">
        <v>0</v>
      </c>
    </row>
    <row r="54" spans="1:35" x14ac:dyDescent="0.25">
      <c r="A54" s="40">
        <v>11</v>
      </c>
      <c r="B54" s="40" t="s">
        <v>249</v>
      </c>
      <c r="C54" s="40" t="s">
        <v>8</v>
      </c>
      <c r="D54" s="45">
        <v>0</v>
      </c>
      <c r="E54" s="86">
        <v>0</v>
      </c>
      <c r="F54" s="86">
        <v>0</v>
      </c>
      <c r="G54" s="86">
        <v>0</v>
      </c>
      <c r="H54" s="86">
        <v>0</v>
      </c>
      <c r="I54" s="86">
        <v>0</v>
      </c>
      <c r="J54" s="86">
        <v>0</v>
      </c>
      <c r="K54" s="86">
        <v>0</v>
      </c>
      <c r="L54" s="86">
        <v>0</v>
      </c>
      <c r="M54" s="86">
        <v>0</v>
      </c>
      <c r="N54" s="86">
        <v>0</v>
      </c>
      <c r="O54" s="86">
        <v>0</v>
      </c>
      <c r="P54" s="86">
        <v>0</v>
      </c>
      <c r="Q54" s="86">
        <v>0</v>
      </c>
      <c r="R54" s="86">
        <v>0</v>
      </c>
      <c r="S54" s="86">
        <v>0</v>
      </c>
      <c r="T54" s="86">
        <v>0</v>
      </c>
      <c r="U54" s="86">
        <v>0</v>
      </c>
      <c r="V54" s="86">
        <v>0</v>
      </c>
      <c r="W54" s="86">
        <v>0</v>
      </c>
      <c r="X54" s="86">
        <v>0</v>
      </c>
      <c r="Y54" s="86">
        <v>0</v>
      </c>
      <c r="Z54" s="86">
        <v>0</v>
      </c>
      <c r="AA54" s="86">
        <v>0</v>
      </c>
      <c r="AB54" s="86">
        <v>0</v>
      </c>
      <c r="AC54" s="86">
        <v>0</v>
      </c>
      <c r="AD54" s="86">
        <v>0</v>
      </c>
      <c r="AE54" s="86">
        <v>0</v>
      </c>
      <c r="AF54" s="86">
        <v>0</v>
      </c>
      <c r="AG54" s="86">
        <v>0</v>
      </c>
      <c r="AH54" s="86">
        <v>0</v>
      </c>
      <c r="AI54" s="88">
        <v>0</v>
      </c>
    </row>
    <row r="55" spans="1:35" x14ac:dyDescent="0.25">
      <c r="A55" s="66"/>
      <c r="B55" s="66"/>
      <c r="C55" s="41" t="s">
        <v>68</v>
      </c>
      <c r="D55" s="159">
        <v>0</v>
      </c>
      <c r="E55" s="160">
        <v>0</v>
      </c>
      <c r="F55" s="160">
        <v>0</v>
      </c>
      <c r="G55" s="160">
        <v>0</v>
      </c>
      <c r="H55" s="160">
        <v>0</v>
      </c>
      <c r="I55" s="160">
        <v>0</v>
      </c>
      <c r="J55" s="160">
        <v>0</v>
      </c>
      <c r="K55" s="160">
        <v>0</v>
      </c>
      <c r="L55" s="160">
        <v>0</v>
      </c>
      <c r="M55" s="160">
        <v>0</v>
      </c>
      <c r="N55" s="160">
        <v>0</v>
      </c>
      <c r="O55" s="160">
        <v>0</v>
      </c>
      <c r="P55" s="160">
        <v>0</v>
      </c>
      <c r="Q55" s="160">
        <v>0</v>
      </c>
      <c r="R55" s="160">
        <v>0</v>
      </c>
      <c r="S55" s="160">
        <v>0</v>
      </c>
      <c r="T55" s="160">
        <v>0</v>
      </c>
      <c r="U55" s="160">
        <v>0</v>
      </c>
      <c r="V55" s="160">
        <v>0</v>
      </c>
      <c r="W55" s="160">
        <v>0</v>
      </c>
      <c r="X55" s="160">
        <v>0</v>
      </c>
      <c r="Y55" s="160">
        <v>0</v>
      </c>
      <c r="Z55" s="160">
        <v>0</v>
      </c>
      <c r="AA55" s="160">
        <v>0</v>
      </c>
      <c r="AB55" s="160">
        <v>0</v>
      </c>
      <c r="AC55" s="160">
        <v>0</v>
      </c>
      <c r="AD55" s="160">
        <v>0</v>
      </c>
      <c r="AE55" s="160">
        <v>0</v>
      </c>
      <c r="AF55" s="160">
        <v>0</v>
      </c>
      <c r="AG55" s="160">
        <v>0</v>
      </c>
      <c r="AH55" s="160">
        <v>0</v>
      </c>
      <c r="AI55" s="161">
        <v>0</v>
      </c>
    </row>
    <row r="56" spans="1:35" x14ac:dyDescent="0.25">
      <c r="A56" s="40">
        <v>12</v>
      </c>
      <c r="B56" s="40" t="s">
        <v>249</v>
      </c>
      <c r="C56" s="40" t="s">
        <v>8</v>
      </c>
      <c r="D56" s="45">
        <v>0</v>
      </c>
      <c r="E56" s="86">
        <v>0</v>
      </c>
      <c r="F56" s="86">
        <v>0</v>
      </c>
      <c r="G56" s="86">
        <v>0</v>
      </c>
      <c r="H56" s="86">
        <v>0</v>
      </c>
      <c r="I56" s="86">
        <v>0</v>
      </c>
      <c r="J56" s="86">
        <v>0</v>
      </c>
      <c r="K56" s="86">
        <v>0</v>
      </c>
      <c r="L56" s="86">
        <v>0</v>
      </c>
      <c r="M56" s="86">
        <v>0</v>
      </c>
      <c r="N56" s="86">
        <v>0</v>
      </c>
      <c r="O56" s="86">
        <v>0</v>
      </c>
      <c r="P56" s="86">
        <v>0</v>
      </c>
      <c r="Q56" s="86">
        <v>0</v>
      </c>
      <c r="R56" s="86">
        <v>0</v>
      </c>
      <c r="S56" s="86">
        <v>0</v>
      </c>
      <c r="T56" s="86">
        <v>0</v>
      </c>
      <c r="U56" s="86">
        <v>0</v>
      </c>
      <c r="V56" s="86">
        <v>0</v>
      </c>
      <c r="W56" s="86">
        <v>0</v>
      </c>
      <c r="X56" s="86">
        <v>0</v>
      </c>
      <c r="Y56" s="86">
        <v>0</v>
      </c>
      <c r="Z56" s="86">
        <v>0</v>
      </c>
      <c r="AA56" s="86">
        <v>0</v>
      </c>
      <c r="AB56" s="86">
        <v>0</v>
      </c>
      <c r="AC56" s="86">
        <v>0</v>
      </c>
      <c r="AD56" s="86">
        <v>0</v>
      </c>
      <c r="AE56" s="86">
        <v>0</v>
      </c>
      <c r="AF56" s="86">
        <v>0</v>
      </c>
      <c r="AG56" s="86">
        <v>0</v>
      </c>
      <c r="AH56" s="86">
        <v>0</v>
      </c>
      <c r="AI56" s="88">
        <v>0</v>
      </c>
    </row>
    <row r="57" spans="1:35" x14ac:dyDescent="0.25">
      <c r="A57" s="66"/>
      <c r="B57" s="66"/>
      <c r="C57" s="41" t="s">
        <v>68</v>
      </c>
      <c r="D57" s="159">
        <v>0</v>
      </c>
      <c r="E57" s="160">
        <v>0</v>
      </c>
      <c r="F57" s="160">
        <v>0</v>
      </c>
      <c r="G57" s="160">
        <v>0</v>
      </c>
      <c r="H57" s="160">
        <v>0</v>
      </c>
      <c r="I57" s="160">
        <v>0</v>
      </c>
      <c r="J57" s="160">
        <v>0</v>
      </c>
      <c r="K57" s="160">
        <v>0</v>
      </c>
      <c r="L57" s="160">
        <v>0</v>
      </c>
      <c r="M57" s="160">
        <v>0</v>
      </c>
      <c r="N57" s="160">
        <v>0</v>
      </c>
      <c r="O57" s="160">
        <v>0</v>
      </c>
      <c r="P57" s="160">
        <v>0</v>
      </c>
      <c r="Q57" s="160">
        <v>0</v>
      </c>
      <c r="R57" s="160">
        <v>0</v>
      </c>
      <c r="S57" s="160">
        <v>0</v>
      </c>
      <c r="T57" s="160">
        <v>0</v>
      </c>
      <c r="U57" s="160">
        <v>0</v>
      </c>
      <c r="V57" s="160">
        <v>0</v>
      </c>
      <c r="W57" s="160">
        <v>0</v>
      </c>
      <c r="X57" s="160">
        <v>0</v>
      </c>
      <c r="Y57" s="160">
        <v>0</v>
      </c>
      <c r="Z57" s="160">
        <v>0</v>
      </c>
      <c r="AA57" s="160">
        <v>0</v>
      </c>
      <c r="AB57" s="160">
        <v>0</v>
      </c>
      <c r="AC57" s="160">
        <v>0</v>
      </c>
      <c r="AD57" s="160">
        <v>0</v>
      </c>
      <c r="AE57" s="160">
        <v>0</v>
      </c>
      <c r="AF57" s="160">
        <v>0</v>
      </c>
      <c r="AG57" s="160">
        <v>0</v>
      </c>
      <c r="AH57" s="160">
        <v>0</v>
      </c>
      <c r="AI57" s="161">
        <v>0</v>
      </c>
    </row>
    <row r="58" spans="1:35" x14ac:dyDescent="0.25">
      <c r="A58" s="40">
        <v>13</v>
      </c>
      <c r="B58" s="40" t="s">
        <v>249</v>
      </c>
      <c r="C58" s="40" t="s">
        <v>8</v>
      </c>
      <c r="D58" s="45">
        <v>0</v>
      </c>
      <c r="E58" s="86">
        <v>0</v>
      </c>
      <c r="F58" s="86">
        <v>0</v>
      </c>
      <c r="G58" s="86">
        <v>0</v>
      </c>
      <c r="H58" s="86">
        <v>0</v>
      </c>
      <c r="I58" s="86">
        <v>0</v>
      </c>
      <c r="J58" s="86">
        <v>0</v>
      </c>
      <c r="K58" s="86">
        <v>0</v>
      </c>
      <c r="L58" s="86">
        <v>0</v>
      </c>
      <c r="M58" s="86">
        <v>0</v>
      </c>
      <c r="N58" s="86">
        <v>0</v>
      </c>
      <c r="O58" s="86">
        <v>0</v>
      </c>
      <c r="P58" s="86">
        <v>0</v>
      </c>
      <c r="Q58" s="86">
        <v>0</v>
      </c>
      <c r="R58" s="86">
        <v>0</v>
      </c>
      <c r="S58" s="86">
        <v>0</v>
      </c>
      <c r="T58" s="86">
        <v>0</v>
      </c>
      <c r="U58" s="86">
        <v>0</v>
      </c>
      <c r="V58" s="86">
        <v>0</v>
      </c>
      <c r="W58" s="86">
        <v>0</v>
      </c>
      <c r="X58" s="86">
        <v>0</v>
      </c>
      <c r="Y58" s="86">
        <v>0</v>
      </c>
      <c r="Z58" s="86">
        <v>0</v>
      </c>
      <c r="AA58" s="86">
        <v>0</v>
      </c>
      <c r="AB58" s="86">
        <v>0</v>
      </c>
      <c r="AC58" s="86">
        <v>0</v>
      </c>
      <c r="AD58" s="86">
        <v>0</v>
      </c>
      <c r="AE58" s="86">
        <v>0</v>
      </c>
      <c r="AF58" s="86">
        <v>0</v>
      </c>
      <c r="AG58" s="86">
        <v>0</v>
      </c>
      <c r="AH58" s="86">
        <v>0</v>
      </c>
      <c r="AI58" s="88">
        <v>0</v>
      </c>
    </row>
    <row r="59" spans="1:35" x14ac:dyDescent="0.25">
      <c r="A59" s="66"/>
      <c r="B59" s="66"/>
      <c r="C59" s="41" t="s">
        <v>68</v>
      </c>
      <c r="D59" s="159">
        <v>0</v>
      </c>
      <c r="E59" s="160">
        <v>0</v>
      </c>
      <c r="F59" s="160">
        <v>0</v>
      </c>
      <c r="G59" s="160">
        <v>0</v>
      </c>
      <c r="H59" s="160">
        <v>0</v>
      </c>
      <c r="I59" s="160">
        <v>0</v>
      </c>
      <c r="J59" s="160">
        <v>0</v>
      </c>
      <c r="K59" s="160">
        <v>0</v>
      </c>
      <c r="L59" s="160">
        <v>0</v>
      </c>
      <c r="M59" s="160">
        <v>0</v>
      </c>
      <c r="N59" s="160">
        <v>0</v>
      </c>
      <c r="O59" s="160">
        <v>0</v>
      </c>
      <c r="P59" s="160">
        <v>0</v>
      </c>
      <c r="Q59" s="160">
        <v>0</v>
      </c>
      <c r="R59" s="160">
        <v>0</v>
      </c>
      <c r="S59" s="160">
        <v>0</v>
      </c>
      <c r="T59" s="160">
        <v>0</v>
      </c>
      <c r="U59" s="160">
        <v>0</v>
      </c>
      <c r="V59" s="160">
        <v>0</v>
      </c>
      <c r="W59" s="160">
        <v>0</v>
      </c>
      <c r="X59" s="160">
        <v>0</v>
      </c>
      <c r="Y59" s="160">
        <v>0</v>
      </c>
      <c r="Z59" s="160">
        <v>0</v>
      </c>
      <c r="AA59" s="160">
        <v>0</v>
      </c>
      <c r="AB59" s="160">
        <v>0</v>
      </c>
      <c r="AC59" s="160">
        <v>0</v>
      </c>
      <c r="AD59" s="160">
        <v>0</v>
      </c>
      <c r="AE59" s="160">
        <v>0</v>
      </c>
      <c r="AF59" s="160">
        <v>0</v>
      </c>
      <c r="AG59" s="160">
        <v>0</v>
      </c>
      <c r="AH59" s="160">
        <v>0</v>
      </c>
      <c r="AI59" s="161">
        <v>0</v>
      </c>
    </row>
    <row r="60" spans="1:35" x14ac:dyDescent="0.25">
      <c r="A60" s="40">
        <v>14</v>
      </c>
      <c r="B60" s="40" t="s">
        <v>249</v>
      </c>
      <c r="C60" s="40" t="s">
        <v>8</v>
      </c>
      <c r="D60" s="45">
        <v>0</v>
      </c>
      <c r="E60" s="86">
        <v>0</v>
      </c>
      <c r="F60" s="86">
        <v>0</v>
      </c>
      <c r="G60" s="86">
        <v>0</v>
      </c>
      <c r="H60" s="86">
        <v>0</v>
      </c>
      <c r="I60" s="86">
        <v>0</v>
      </c>
      <c r="J60" s="86">
        <v>0</v>
      </c>
      <c r="K60" s="86">
        <v>0</v>
      </c>
      <c r="L60" s="86">
        <v>0</v>
      </c>
      <c r="M60" s="86">
        <v>0</v>
      </c>
      <c r="N60" s="86">
        <v>0</v>
      </c>
      <c r="O60" s="86">
        <v>0</v>
      </c>
      <c r="P60" s="86">
        <v>0</v>
      </c>
      <c r="Q60" s="86">
        <v>0</v>
      </c>
      <c r="R60" s="86">
        <v>0</v>
      </c>
      <c r="S60" s="86">
        <v>0</v>
      </c>
      <c r="T60" s="86">
        <v>0</v>
      </c>
      <c r="U60" s="86">
        <v>0</v>
      </c>
      <c r="V60" s="86">
        <v>0</v>
      </c>
      <c r="W60" s="86">
        <v>0</v>
      </c>
      <c r="X60" s="86">
        <v>0</v>
      </c>
      <c r="Y60" s="86">
        <v>0</v>
      </c>
      <c r="Z60" s="86">
        <v>0</v>
      </c>
      <c r="AA60" s="86">
        <v>0</v>
      </c>
      <c r="AB60" s="86">
        <v>0</v>
      </c>
      <c r="AC60" s="86">
        <v>0</v>
      </c>
      <c r="AD60" s="86">
        <v>0</v>
      </c>
      <c r="AE60" s="86">
        <v>0</v>
      </c>
      <c r="AF60" s="86">
        <v>0</v>
      </c>
      <c r="AG60" s="86">
        <v>0</v>
      </c>
      <c r="AH60" s="86">
        <v>0</v>
      </c>
      <c r="AI60" s="88">
        <v>0</v>
      </c>
    </row>
    <row r="61" spans="1:35" x14ac:dyDescent="0.25">
      <c r="A61" s="66"/>
      <c r="B61" s="66"/>
      <c r="C61" s="41" t="s">
        <v>68</v>
      </c>
      <c r="D61" s="159">
        <v>0</v>
      </c>
      <c r="E61" s="160">
        <v>0</v>
      </c>
      <c r="F61" s="160">
        <v>0</v>
      </c>
      <c r="G61" s="160">
        <v>0</v>
      </c>
      <c r="H61" s="160">
        <v>0</v>
      </c>
      <c r="I61" s="160">
        <v>0</v>
      </c>
      <c r="J61" s="160">
        <v>0</v>
      </c>
      <c r="K61" s="160">
        <v>0</v>
      </c>
      <c r="L61" s="160">
        <v>0</v>
      </c>
      <c r="M61" s="160">
        <v>0</v>
      </c>
      <c r="N61" s="160">
        <v>0</v>
      </c>
      <c r="O61" s="160">
        <v>0</v>
      </c>
      <c r="P61" s="160">
        <v>0</v>
      </c>
      <c r="Q61" s="160">
        <v>0</v>
      </c>
      <c r="R61" s="160">
        <v>0</v>
      </c>
      <c r="S61" s="160">
        <v>0</v>
      </c>
      <c r="T61" s="160">
        <v>0</v>
      </c>
      <c r="U61" s="160">
        <v>0</v>
      </c>
      <c r="V61" s="160">
        <v>0</v>
      </c>
      <c r="W61" s="160">
        <v>0</v>
      </c>
      <c r="X61" s="160">
        <v>0</v>
      </c>
      <c r="Y61" s="160">
        <v>0</v>
      </c>
      <c r="Z61" s="160">
        <v>0</v>
      </c>
      <c r="AA61" s="160">
        <v>0</v>
      </c>
      <c r="AB61" s="160">
        <v>0</v>
      </c>
      <c r="AC61" s="160">
        <v>0</v>
      </c>
      <c r="AD61" s="160">
        <v>0</v>
      </c>
      <c r="AE61" s="160">
        <v>0</v>
      </c>
      <c r="AF61" s="160">
        <v>0</v>
      </c>
      <c r="AG61" s="160">
        <v>0</v>
      </c>
      <c r="AH61" s="160">
        <v>0</v>
      </c>
      <c r="AI61" s="161">
        <v>0</v>
      </c>
    </row>
    <row r="62" spans="1:35" x14ac:dyDescent="0.25">
      <c r="A62" s="40">
        <v>15</v>
      </c>
      <c r="B62" s="40" t="s">
        <v>249</v>
      </c>
      <c r="C62" s="40" t="s">
        <v>8</v>
      </c>
      <c r="D62" s="45">
        <v>0</v>
      </c>
      <c r="E62" s="86">
        <v>0</v>
      </c>
      <c r="F62" s="86">
        <v>0</v>
      </c>
      <c r="G62" s="86">
        <v>0</v>
      </c>
      <c r="H62" s="86">
        <v>0</v>
      </c>
      <c r="I62" s="86">
        <v>0</v>
      </c>
      <c r="J62" s="86">
        <v>0</v>
      </c>
      <c r="K62" s="86">
        <v>0</v>
      </c>
      <c r="L62" s="86">
        <v>0</v>
      </c>
      <c r="M62" s="86">
        <v>0</v>
      </c>
      <c r="N62" s="86">
        <v>0</v>
      </c>
      <c r="O62" s="86">
        <v>0</v>
      </c>
      <c r="P62" s="86">
        <v>0</v>
      </c>
      <c r="Q62" s="86">
        <v>0</v>
      </c>
      <c r="R62" s="86">
        <v>0</v>
      </c>
      <c r="S62" s="86">
        <v>0</v>
      </c>
      <c r="T62" s="86">
        <v>0</v>
      </c>
      <c r="U62" s="86">
        <v>0</v>
      </c>
      <c r="V62" s="86">
        <v>0</v>
      </c>
      <c r="W62" s="86">
        <v>0</v>
      </c>
      <c r="X62" s="86">
        <v>0</v>
      </c>
      <c r="Y62" s="86">
        <v>0</v>
      </c>
      <c r="Z62" s="86">
        <v>0</v>
      </c>
      <c r="AA62" s="86">
        <v>0</v>
      </c>
      <c r="AB62" s="86">
        <v>0</v>
      </c>
      <c r="AC62" s="86">
        <v>0</v>
      </c>
      <c r="AD62" s="86">
        <v>0</v>
      </c>
      <c r="AE62" s="86">
        <v>0</v>
      </c>
      <c r="AF62" s="86">
        <v>0</v>
      </c>
      <c r="AG62" s="86">
        <v>0</v>
      </c>
      <c r="AH62" s="86">
        <v>0</v>
      </c>
      <c r="AI62" s="88">
        <v>0</v>
      </c>
    </row>
    <row r="63" spans="1:35" x14ac:dyDescent="0.25">
      <c r="A63" s="66"/>
      <c r="B63" s="66"/>
      <c r="C63" s="41" t="s">
        <v>68</v>
      </c>
      <c r="D63" s="159">
        <v>0</v>
      </c>
      <c r="E63" s="160">
        <v>0</v>
      </c>
      <c r="F63" s="160">
        <v>0</v>
      </c>
      <c r="G63" s="160">
        <v>0</v>
      </c>
      <c r="H63" s="160">
        <v>0</v>
      </c>
      <c r="I63" s="160">
        <v>0</v>
      </c>
      <c r="J63" s="160">
        <v>0</v>
      </c>
      <c r="K63" s="160">
        <v>0</v>
      </c>
      <c r="L63" s="160">
        <v>0</v>
      </c>
      <c r="M63" s="160">
        <v>0</v>
      </c>
      <c r="N63" s="160">
        <v>0</v>
      </c>
      <c r="O63" s="160">
        <v>0</v>
      </c>
      <c r="P63" s="160">
        <v>0</v>
      </c>
      <c r="Q63" s="160">
        <v>0</v>
      </c>
      <c r="R63" s="160">
        <v>0</v>
      </c>
      <c r="S63" s="160">
        <v>0</v>
      </c>
      <c r="T63" s="160">
        <v>0</v>
      </c>
      <c r="U63" s="160">
        <v>0</v>
      </c>
      <c r="V63" s="160">
        <v>0</v>
      </c>
      <c r="W63" s="160">
        <v>0</v>
      </c>
      <c r="X63" s="160">
        <v>0</v>
      </c>
      <c r="Y63" s="160">
        <v>0</v>
      </c>
      <c r="Z63" s="160">
        <v>0</v>
      </c>
      <c r="AA63" s="160">
        <v>0</v>
      </c>
      <c r="AB63" s="160">
        <v>0</v>
      </c>
      <c r="AC63" s="160">
        <v>0</v>
      </c>
      <c r="AD63" s="160">
        <v>0</v>
      </c>
      <c r="AE63" s="160">
        <v>0</v>
      </c>
      <c r="AF63" s="160">
        <v>0</v>
      </c>
      <c r="AG63" s="160">
        <v>0</v>
      </c>
      <c r="AH63" s="160">
        <v>0</v>
      </c>
      <c r="AI63" s="161">
        <v>0</v>
      </c>
    </row>
    <row r="64" spans="1:35" x14ac:dyDescent="0.25">
      <c r="A64" s="40">
        <v>16</v>
      </c>
      <c r="B64" s="40" t="s">
        <v>249</v>
      </c>
      <c r="C64" s="40" t="s">
        <v>8</v>
      </c>
      <c r="D64" s="45">
        <v>0</v>
      </c>
      <c r="E64" s="86">
        <v>0</v>
      </c>
      <c r="F64" s="86">
        <v>0</v>
      </c>
      <c r="G64" s="86">
        <v>0</v>
      </c>
      <c r="H64" s="86">
        <v>0</v>
      </c>
      <c r="I64" s="86">
        <v>0</v>
      </c>
      <c r="J64" s="86">
        <v>0</v>
      </c>
      <c r="K64" s="86">
        <v>0</v>
      </c>
      <c r="L64" s="86">
        <v>0</v>
      </c>
      <c r="M64" s="86">
        <v>0</v>
      </c>
      <c r="N64" s="86">
        <v>0</v>
      </c>
      <c r="O64" s="86">
        <v>0</v>
      </c>
      <c r="P64" s="86">
        <v>0</v>
      </c>
      <c r="Q64" s="86">
        <v>0</v>
      </c>
      <c r="R64" s="86">
        <v>0</v>
      </c>
      <c r="S64" s="86">
        <v>0</v>
      </c>
      <c r="T64" s="86">
        <v>0</v>
      </c>
      <c r="U64" s="86">
        <v>0</v>
      </c>
      <c r="V64" s="86">
        <v>0</v>
      </c>
      <c r="W64" s="86">
        <v>0</v>
      </c>
      <c r="X64" s="86">
        <v>0</v>
      </c>
      <c r="Y64" s="86">
        <v>0</v>
      </c>
      <c r="Z64" s="86">
        <v>0</v>
      </c>
      <c r="AA64" s="86">
        <v>0</v>
      </c>
      <c r="AB64" s="86">
        <v>0</v>
      </c>
      <c r="AC64" s="86">
        <v>0</v>
      </c>
      <c r="AD64" s="86">
        <v>0</v>
      </c>
      <c r="AE64" s="86">
        <v>0</v>
      </c>
      <c r="AF64" s="86">
        <v>0</v>
      </c>
      <c r="AG64" s="86">
        <v>0</v>
      </c>
      <c r="AH64" s="86">
        <v>0</v>
      </c>
      <c r="AI64" s="88">
        <v>0</v>
      </c>
    </row>
    <row r="65" spans="1:35" x14ac:dyDescent="0.25">
      <c r="A65" s="66"/>
      <c r="B65" s="66"/>
      <c r="C65" s="41" t="s">
        <v>68</v>
      </c>
      <c r="D65" s="159">
        <v>0</v>
      </c>
      <c r="E65" s="160">
        <v>0</v>
      </c>
      <c r="F65" s="160">
        <v>0</v>
      </c>
      <c r="G65" s="160">
        <v>0</v>
      </c>
      <c r="H65" s="160">
        <v>0</v>
      </c>
      <c r="I65" s="160">
        <v>0</v>
      </c>
      <c r="J65" s="160">
        <v>0</v>
      </c>
      <c r="K65" s="160">
        <v>0</v>
      </c>
      <c r="L65" s="160">
        <v>0</v>
      </c>
      <c r="M65" s="160">
        <v>0</v>
      </c>
      <c r="N65" s="160">
        <v>0</v>
      </c>
      <c r="O65" s="160">
        <v>0</v>
      </c>
      <c r="P65" s="160">
        <v>0</v>
      </c>
      <c r="Q65" s="160">
        <v>0</v>
      </c>
      <c r="R65" s="160">
        <v>0</v>
      </c>
      <c r="S65" s="160">
        <v>0</v>
      </c>
      <c r="T65" s="160">
        <v>0</v>
      </c>
      <c r="U65" s="160">
        <v>0</v>
      </c>
      <c r="V65" s="160">
        <v>0</v>
      </c>
      <c r="W65" s="160">
        <v>0</v>
      </c>
      <c r="X65" s="160">
        <v>0</v>
      </c>
      <c r="Y65" s="160">
        <v>0</v>
      </c>
      <c r="Z65" s="160">
        <v>0</v>
      </c>
      <c r="AA65" s="160">
        <v>0</v>
      </c>
      <c r="AB65" s="160">
        <v>0</v>
      </c>
      <c r="AC65" s="160">
        <v>0</v>
      </c>
      <c r="AD65" s="160">
        <v>0</v>
      </c>
      <c r="AE65" s="160">
        <v>0</v>
      </c>
      <c r="AF65" s="160">
        <v>0</v>
      </c>
      <c r="AG65" s="160">
        <v>0</v>
      </c>
      <c r="AH65" s="160">
        <v>0</v>
      </c>
      <c r="AI65" s="161">
        <v>0</v>
      </c>
    </row>
    <row r="66" spans="1:35" x14ac:dyDescent="0.25">
      <c r="A66" s="40">
        <v>17</v>
      </c>
      <c r="B66" s="40" t="s">
        <v>249</v>
      </c>
      <c r="C66" s="40" t="s">
        <v>8</v>
      </c>
      <c r="D66" s="45">
        <v>0</v>
      </c>
      <c r="E66" s="86">
        <v>0</v>
      </c>
      <c r="F66" s="86">
        <v>0</v>
      </c>
      <c r="G66" s="86">
        <v>0</v>
      </c>
      <c r="H66" s="86">
        <v>0</v>
      </c>
      <c r="I66" s="86">
        <v>0</v>
      </c>
      <c r="J66" s="86">
        <v>0</v>
      </c>
      <c r="K66" s="86">
        <v>0</v>
      </c>
      <c r="L66" s="86">
        <v>0</v>
      </c>
      <c r="M66" s="86">
        <v>0</v>
      </c>
      <c r="N66" s="86">
        <v>0</v>
      </c>
      <c r="O66" s="86">
        <v>0</v>
      </c>
      <c r="P66" s="86">
        <v>0</v>
      </c>
      <c r="Q66" s="86">
        <v>0</v>
      </c>
      <c r="R66" s="86">
        <v>0</v>
      </c>
      <c r="S66" s="86">
        <v>0</v>
      </c>
      <c r="T66" s="86">
        <v>0</v>
      </c>
      <c r="U66" s="86">
        <v>0</v>
      </c>
      <c r="V66" s="86">
        <v>0</v>
      </c>
      <c r="W66" s="86">
        <v>0</v>
      </c>
      <c r="X66" s="86">
        <v>0</v>
      </c>
      <c r="Y66" s="86">
        <v>0</v>
      </c>
      <c r="Z66" s="86">
        <v>0</v>
      </c>
      <c r="AA66" s="86">
        <v>0</v>
      </c>
      <c r="AB66" s="86">
        <v>0</v>
      </c>
      <c r="AC66" s="86">
        <v>0</v>
      </c>
      <c r="AD66" s="86">
        <v>0</v>
      </c>
      <c r="AE66" s="86">
        <v>0</v>
      </c>
      <c r="AF66" s="86">
        <v>0</v>
      </c>
      <c r="AG66" s="86">
        <v>0</v>
      </c>
      <c r="AH66" s="86">
        <v>0</v>
      </c>
      <c r="AI66" s="88">
        <v>0</v>
      </c>
    </row>
    <row r="67" spans="1:35" x14ac:dyDescent="0.25">
      <c r="A67" s="66"/>
      <c r="B67" s="66"/>
      <c r="C67" s="41" t="s">
        <v>68</v>
      </c>
      <c r="D67" s="159">
        <v>0</v>
      </c>
      <c r="E67" s="160">
        <v>0</v>
      </c>
      <c r="F67" s="160">
        <v>0</v>
      </c>
      <c r="G67" s="160">
        <v>0</v>
      </c>
      <c r="H67" s="160">
        <v>0</v>
      </c>
      <c r="I67" s="160">
        <v>0</v>
      </c>
      <c r="J67" s="160">
        <v>0</v>
      </c>
      <c r="K67" s="160">
        <v>0</v>
      </c>
      <c r="L67" s="160">
        <v>0</v>
      </c>
      <c r="M67" s="160">
        <v>0</v>
      </c>
      <c r="N67" s="160">
        <v>0</v>
      </c>
      <c r="O67" s="160">
        <v>0</v>
      </c>
      <c r="P67" s="160">
        <v>0</v>
      </c>
      <c r="Q67" s="160">
        <v>0</v>
      </c>
      <c r="R67" s="160">
        <v>0</v>
      </c>
      <c r="S67" s="160">
        <v>0</v>
      </c>
      <c r="T67" s="160">
        <v>0</v>
      </c>
      <c r="U67" s="160">
        <v>0</v>
      </c>
      <c r="V67" s="160">
        <v>0</v>
      </c>
      <c r="W67" s="160">
        <v>0</v>
      </c>
      <c r="X67" s="160">
        <v>0</v>
      </c>
      <c r="Y67" s="160">
        <v>0</v>
      </c>
      <c r="Z67" s="160">
        <v>0</v>
      </c>
      <c r="AA67" s="160">
        <v>0</v>
      </c>
      <c r="AB67" s="160">
        <v>0</v>
      </c>
      <c r="AC67" s="160">
        <v>0</v>
      </c>
      <c r="AD67" s="160">
        <v>0</v>
      </c>
      <c r="AE67" s="160">
        <v>0</v>
      </c>
      <c r="AF67" s="160">
        <v>0</v>
      </c>
      <c r="AG67" s="160">
        <v>0</v>
      </c>
      <c r="AH67" s="160">
        <v>0</v>
      </c>
      <c r="AI67" s="161">
        <v>0</v>
      </c>
    </row>
    <row r="68" spans="1:35" x14ac:dyDescent="0.25">
      <c r="A68" s="40">
        <v>18</v>
      </c>
      <c r="B68" s="40" t="s">
        <v>249</v>
      </c>
      <c r="C68" s="40" t="s">
        <v>8</v>
      </c>
      <c r="D68" s="45">
        <v>0</v>
      </c>
      <c r="E68" s="86">
        <v>0</v>
      </c>
      <c r="F68" s="86">
        <v>0</v>
      </c>
      <c r="G68" s="86">
        <v>0</v>
      </c>
      <c r="H68" s="86">
        <v>0</v>
      </c>
      <c r="I68" s="86">
        <v>0</v>
      </c>
      <c r="J68" s="86">
        <v>0</v>
      </c>
      <c r="K68" s="86">
        <v>0</v>
      </c>
      <c r="L68" s="86">
        <v>0</v>
      </c>
      <c r="M68" s="86">
        <v>0</v>
      </c>
      <c r="N68" s="86">
        <v>0</v>
      </c>
      <c r="O68" s="86">
        <v>0</v>
      </c>
      <c r="P68" s="86">
        <v>0</v>
      </c>
      <c r="Q68" s="86">
        <v>0</v>
      </c>
      <c r="R68" s="86">
        <v>0</v>
      </c>
      <c r="S68" s="86">
        <v>0</v>
      </c>
      <c r="T68" s="86">
        <v>0</v>
      </c>
      <c r="U68" s="86">
        <v>0</v>
      </c>
      <c r="V68" s="86">
        <v>0</v>
      </c>
      <c r="W68" s="86">
        <v>0</v>
      </c>
      <c r="X68" s="86">
        <v>0</v>
      </c>
      <c r="Y68" s="86">
        <v>0</v>
      </c>
      <c r="Z68" s="86">
        <v>0</v>
      </c>
      <c r="AA68" s="86">
        <v>0</v>
      </c>
      <c r="AB68" s="86">
        <v>0</v>
      </c>
      <c r="AC68" s="86">
        <v>0</v>
      </c>
      <c r="AD68" s="86">
        <v>0</v>
      </c>
      <c r="AE68" s="86">
        <v>0</v>
      </c>
      <c r="AF68" s="86">
        <v>0</v>
      </c>
      <c r="AG68" s="86">
        <v>0</v>
      </c>
      <c r="AH68" s="86">
        <v>0</v>
      </c>
      <c r="AI68" s="88">
        <v>0</v>
      </c>
    </row>
    <row r="69" spans="1:35" x14ac:dyDescent="0.25">
      <c r="A69" s="66"/>
      <c r="B69" s="66"/>
      <c r="C69" s="41" t="s">
        <v>68</v>
      </c>
      <c r="D69" s="159">
        <v>0</v>
      </c>
      <c r="E69" s="160">
        <v>0</v>
      </c>
      <c r="F69" s="160">
        <v>0</v>
      </c>
      <c r="G69" s="160">
        <v>0</v>
      </c>
      <c r="H69" s="160">
        <v>0</v>
      </c>
      <c r="I69" s="160">
        <v>0</v>
      </c>
      <c r="J69" s="160">
        <v>0</v>
      </c>
      <c r="K69" s="160">
        <v>0</v>
      </c>
      <c r="L69" s="160">
        <v>0</v>
      </c>
      <c r="M69" s="160">
        <v>0</v>
      </c>
      <c r="N69" s="160">
        <v>0</v>
      </c>
      <c r="O69" s="160">
        <v>0</v>
      </c>
      <c r="P69" s="160">
        <v>0</v>
      </c>
      <c r="Q69" s="160">
        <v>0</v>
      </c>
      <c r="R69" s="160">
        <v>0</v>
      </c>
      <c r="S69" s="160">
        <v>0</v>
      </c>
      <c r="T69" s="160">
        <v>0</v>
      </c>
      <c r="U69" s="160">
        <v>0</v>
      </c>
      <c r="V69" s="160">
        <v>0</v>
      </c>
      <c r="W69" s="160">
        <v>0</v>
      </c>
      <c r="X69" s="160">
        <v>0</v>
      </c>
      <c r="Y69" s="160">
        <v>0</v>
      </c>
      <c r="Z69" s="160">
        <v>0</v>
      </c>
      <c r="AA69" s="160">
        <v>0</v>
      </c>
      <c r="AB69" s="160">
        <v>0</v>
      </c>
      <c r="AC69" s="160">
        <v>0</v>
      </c>
      <c r="AD69" s="160">
        <v>0</v>
      </c>
      <c r="AE69" s="160">
        <v>0</v>
      </c>
      <c r="AF69" s="160">
        <v>0</v>
      </c>
      <c r="AG69" s="160">
        <v>0</v>
      </c>
      <c r="AH69" s="160">
        <v>0</v>
      </c>
      <c r="AI69" s="161">
        <v>0</v>
      </c>
    </row>
    <row r="70" spans="1:35" x14ac:dyDescent="0.25">
      <c r="A70" s="40">
        <v>19</v>
      </c>
      <c r="B70" s="40" t="s">
        <v>249</v>
      </c>
      <c r="C70" s="40" t="s">
        <v>8</v>
      </c>
      <c r="D70" s="45">
        <v>0</v>
      </c>
      <c r="E70" s="86">
        <v>0</v>
      </c>
      <c r="F70" s="86">
        <v>0</v>
      </c>
      <c r="G70" s="86">
        <v>0</v>
      </c>
      <c r="H70" s="86">
        <v>0</v>
      </c>
      <c r="I70" s="86">
        <v>0</v>
      </c>
      <c r="J70" s="86">
        <v>0</v>
      </c>
      <c r="K70" s="86">
        <v>0</v>
      </c>
      <c r="L70" s="86">
        <v>0</v>
      </c>
      <c r="M70" s="86">
        <v>0</v>
      </c>
      <c r="N70" s="86">
        <v>0</v>
      </c>
      <c r="O70" s="86">
        <v>0</v>
      </c>
      <c r="P70" s="86">
        <v>0</v>
      </c>
      <c r="Q70" s="86">
        <v>0</v>
      </c>
      <c r="R70" s="86">
        <v>0</v>
      </c>
      <c r="S70" s="86">
        <v>0</v>
      </c>
      <c r="T70" s="86">
        <v>0</v>
      </c>
      <c r="U70" s="86">
        <v>0</v>
      </c>
      <c r="V70" s="86">
        <v>0</v>
      </c>
      <c r="W70" s="86">
        <v>0</v>
      </c>
      <c r="X70" s="86">
        <v>0</v>
      </c>
      <c r="Y70" s="86">
        <v>0</v>
      </c>
      <c r="Z70" s="86">
        <v>0</v>
      </c>
      <c r="AA70" s="86">
        <v>0</v>
      </c>
      <c r="AB70" s="86">
        <v>0</v>
      </c>
      <c r="AC70" s="86">
        <v>0</v>
      </c>
      <c r="AD70" s="86">
        <v>0</v>
      </c>
      <c r="AE70" s="86">
        <v>0</v>
      </c>
      <c r="AF70" s="86">
        <v>0</v>
      </c>
      <c r="AG70" s="86">
        <v>0</v>
      </c>
      <c r="AH70" s="86">
        <v>0</v>
      </c>
      <c r="AI70" s="88">
        <v>0</v>
      </c>
    </row>
    <row r="71" spans="1:35" x14ac:dyDescent="0.25">
      <c r="A71" s="66"/>
      <c r="B71" s="66"/>
      <c r="C71" s="41" t="s">
        <v>68</v>
      </c>
      <c r="D71" s="159">
        <v>0</v>
      </c>
      <c r="E71" s="160">
        <v>0</v>
      </c>
      <c r="F71" s="160">
        <v>0</v>
      </c>
      <c r="G71" s="160">
        <v>0</v>
      </c>
      <c r="H71" s="160">
        <v>0</v>
      </c>
      <c r="I71" s="160">
        <v>0</v>
      </c>
      <c r="J71" s="160">
        <v>0</v>
      </c>
      <c r="K71" s="160">
        <v>0</v>
      </c>
      <c r="L71" s="160">
        <v>0</v>
      </c>
      <c r="M71" s="160">
        <v>0</v>
      </c>
      <c r="N71" s="160">
        <v>0</v>
      </c>
      <c r="O71" s="160">
        <v>0</v>
      </c>
      <c r="P71" s="160">
        <v>0</v>
      </c>
      <c r="Q71" s="160">
        <v>0</v>
      </c>
      <c r="R71" s="160">
        <v>0</v>
      </c>
      <c r="S71" s="160">
        <v>0</v>
      </c>
      <c r="T71" s="160">
        <v>0</v>
      </c>
      <c r="U71" s="160">
        <v>0</v>
      </c>
      <c r="V71" s="160">
        <v>0</v>
      </c>
      <c r="W71" s="160">
        <v>0</v>
      </c>
      <c r="X71" s="160">
        <v>0</v>
      </c>
      <c r="Y71" s="160">
        <v>0</v>
      </c>
      <c r="Z71" s="160">
        <v>0</v>
      </c>
      <c r="AA71" s="160">
        <v>0</v>
      </c>
      <c r="AB71" s="160">
        <v>0</v>
      </c>
      <c r="AC71" s="160">
        <v>0</v>
      </c>
      <c r="AD71" s="160">
        <v>0</v>
      </c>
      <c r="AE71" s="160">
        <v>0</v>
      </c>
      <c r="AF71" s="160">
        <v>0</v>
      </c>
      <c r="AG71" s="160">
        <v>0</v>
      </c>
      <c r="AH71" s="160">
        <v>0</v>
      </c>
      <c r="AI71" s="161">
        <v>0</v>
      </c>
    </row>
    <row r="72" spans="1:35" x14ac:dyDescent="0.25">
      <c r="A72" s="40">
        <v>20</v>
      </c>
      <c r="B72" s="40" t="s">
        <v>249</v>
      </c>
      <c r="C72" s="40" t="s">
        <v>8</v>
      </c>
      <c r="D72" s="45">
        <v>0</v>
      </c>
      <c r="E72" s="86">
        <v>0</v>
      </c>
      <c r="F72" s="86">
        <v>0</v>
      </c>
      <c r="G72" s="86">
        <v>0</v>
      </c>
      <c r="H72" s="86">
        <v>0</v>
      </c>
      <c r="I72" s="86">
        <v>0</v>
      </c>
      <c r="J72" s="86">
        <v>0</v>
      </c>
      <c r="K72" s="86">
        <v>0</v>
      </c>
      <c r="L72" s="86">
        <v>0</v>
      </c>
      <c r="M72" s="86">
        <v>0</v>
      </c>
      <c r="N72" s="86">
        <v>0</v>
      </c>
      <c r="O72" s="86">
        <v>0</v>
      </c>
      <c r="P72" s="86">
        <v>0</v>
      </c>
      <c r="Q72" s="86">
        <v>0</v>
      </c>
      <c r="R72" s="86">
        <v>0</v>
      </c>
      <c r="S72" s="86">
        <v>0</v>
      </c>
      <c r="T72" s="86">
        <v>0</v>
      </c>
      <c r="U72" s="86">
        <v>0</v>
      </c>
      <c r="V72" s="86">
        <v>0</v>
      </c>
      <c r="W72" s="86">
        <v>0</v>
      </c>
      <c r="X72" s="86">
        <v>0</v>
      </c>
      <c r="Y72" s="86">
        <v>0</v>
      </c>
      <c r="Z72" s="86">
        <v>0</v>
      </c>
      <c r="AA72" s="86">
        <v>0</v>
      </c>
      <c r="AB72" s="86">
        <v>0</v>
      </c>
      <c r="AC72" s="86">
        <v>0</v>
      </c>
      <c r="AD72" s="86">
        <v>0</v>
      </c>
      <c r="AE72" s="86">
        <v>0</v>
      </c>
      <c r="AF72" s="86">
        <v>0</v>
      </c>
      <c r="AG72" s="86">
        <v>0</v>
      </c>
      <c r="AH72" s="86">
        <v>0</v>
      </c>
      <c r="AI72" s="88">
        <v>0</v>
      </c>
    </row>
    <row r="73" spans="1:35" x14ac:dyDescent="0.25">
      <c r="A73" s="66"/>
      <c r="B73" s="66"/>
      <c r="C73" s="41" t="s">
        <v>68</v>
      </c>
      <c r="D73" s="159">
        <v>0</v>
      </c>
      <c r="E73" s="160">
        <v>0</v>
      </c>
      <c r="F73" s="160">
        <v>0</v>
      </c>
      <c r="G73" s="160">
        <v>0</v>
      </c>
      <c r="H73" s="160">
        <v>0</v>
      </c>
      <c r="I73" s="160">
        <v>0</v>
      </c>
      <c r="J73" s="160">
        <v>0</v>
      </c>
      <c r="K73" s="160">
        <v>0</v>
      </c>
      <c r="L73" s="160">
        <v>0</v>
      </c>
      <c r="M73" s="160">
        <v>0</v>
      </c>
      <c r="N73" s="160">
        <v>0</v>
      </c>
      <c r="O73" s="160">
        <v>0</v>
      </c>
      <c r="P73" s="160">
        <v>0</v>
      </c>
      <c r="Q73" s="160">
        <v>0</v>
      </c>
      <c r="R73" s="160">
        <v>0</v>
      </c>
      <c r="S73" s="160">
        <v>0</v>
      </c>
      <c r="T73" s="160">
        <v>0</v>
      </c>
      <c r="U73" s="160">
        <v>0</v>
      </c>
      <c r="V73" s="160">
        <v>0</v>
      </c>
      <c r="W73" s="160">
        <v>0</v>
      </c>
      <c r="X73" s="160">
        <v>0</v>
      </c>
      <c r="Y73" s="160">
        <v>0</v>
      </c>
      <c r="Z73" s="160">
        <v>0</v>
      </c>
      <c r="AA73" s="160">
        <v>0</v>
      </c>
      <c r="AB73" s="160">
        <v>0</v>
      </c>
      <c r="AC73" s="160">
        <v>0</v>
      </c>
      <c r="AD73" s="160">
        <v>0</v>
      </c>
      <c r="AE73" s="160">
        <v>0</v>
      </c>
      <c r="AF73" s="160">
        <v>0</v>
      </c>
      <c r="AG73" s="160">
        <v>0</v>
      </c>
      <c r="AH73" s="160">
        <v>0</v>
      </c>
      <c r="AI73" s="161">
        <v>0</v>
      </c>
    </row>
    <row r="74" spans="1:35" x14ac:dyDescent="0.25">
      <c r="A74" s="40">
        <v>21</v>
      </c>
      <c r="B74" s="40" t="s">
        <v>249</v>
      </c>
      <c r="C74" s="40" t="s">
        <v>8</v>
      </c>
      <c r="D74" s="45">
        <v>0</v>
      </c>
      <c r="E74" s="86">
        <v>0</v>
      </c>
      <c r="F74" s="86">
        <v>0</v>
      </c>
      <c r="G74" s="86">
        <v>0</v>
      </c>
      <c r="H74" s="86">
        <v>0</v>
      </c>
      <c r="I74" s="86">
        <v>0</v>
      </c>
      <c r="J74" s="86">
        <v>0</v>
      </c>
      <c r="K74" s="86">
        <v>0</v>
      </c>
      <c r="L74" s="86">
        <v>0</v>
      </c>
      <c r="M74" s="86">
        <v>0</v>
      </c>
      <c r="N74" s="86">
        <v>0</v>
      </c>
      <c r="O74" s="86">
        <v>0</v>
      </c>
      <c r="P74" s="86">
        <v>0</v>
      </c>
      <c r="Q74" s="86">
        <v>0</v>
      </c>
      <c r="R74" s="86">
        <v>0</v>
      </c>
      <c r="S74" s="86">
        <v>0</v>
      </c>
      <c r="T74" s="86">
        <v>0</v>
      </c>
      <c r="U74" s="86">
        <v>0</v>
      </c>
      <c r="V74" s="86">
        <v>0</v>
      </c>
      <c r="W74" s="86">
        <v>0</v>
      </c>
      <c r="X74" s="86">
        <v>0</v>
      </c>
      <c r="Y74" s="86">
        <v>0</v>
      </c>
      <c r="Z74" s="86">
        <v>0</v>
      </c>
      <c r="AA74" s="86">
        <v>0</v>
      </c>
      <c r="AB74" s="86">
        <v>0</v>
      </c>
      <c r="AC74" s="86">
        <v>0</v>
      </c>
      <c r="AD74" s="86">
        <v>0</v>
      </c>
      <c r="AE74" s="86">
        <v>0</v>
      </c>
      <c r="AF74" s="86">
        <v>0</v>
      </c>
      <c r="AG74" s="86">
        <v>0</v>
      </c>
      <c r="AH74" s="86">
        <v>0</v>
      </c>
      <c r="AI74" s="88">
        <v>0</v>
      </c>
    </row>
    <row r="75" spans="1:35" x14ac:dyDescent="0.25">
      <c r="A75" s="66"/>
      <c r="B75" s="66"/>
      <c r="C75" s="41" t="s">
        <v>68</v>
      </c>
      <c r="D75" s="159">
        <v>0</v>
      </c>
      <c r="E75" s="160">
        <v>0</v>
      </c>
      <c r="F75" s="160">
        <v>0</v>
      </c>
      <c r="G75" s="160">
        <v>0</v>
      </c>
      <c r="H75" s="160">
        <v>0</v>
      </c>
      <c r="I75" s="160">
        <v>0</v>
      </c>
      <c r="J75" s="160">
        <v>0</v>
      </c>
      <c r="K75" s="160">
        <v>0</v>
      </c>
      <c r="L75" s="160">
        <v>0</v>
      </c>
      <c r="M75" s="160">
        <v>0</v>
      </c>
      <c r="N75" s="160">
        <v>0</v>
      </c>
      <c r="O75" s="160">
        <v>0</v>
      </c>
      <c r="P75" s="160">
        <v>0</v>
      </c>
      <c r="Q75" s="160">
        <v>0</v>
      </c>
      <c r="R75" s="160">
        <v>0</v>
      </c>
      <c r="S75" s="160">
        <v>0</v>
      </c>
      <c r="T75" s="160">
        <v>0</v>
      </c>
      <c r="U75" s="160">
        <v>0</v>
      </c>
      <c r="V75" s="160">
        <v>0</v>
      </c>
      <c r="W75" s="160">
        <v>0</v>
      </c>
      <c r="X75" s="160">
        <v>0</v>
      </c>
      <c r="Y75" s="160">
        <v>0</v>
      </c>
      <c r="Z75" s="160">
        <v>0</v>
      </c>
      <c r="AA75" s="160">
        <v>0</v>
      </c>
      <c r="AB75" s="160">
        <v>0</v>
      </c>
      <c r="AC75" s="160">
        <v>0</v>
      </c>
      <c r="AD75" s="160">
        <v>0</v>
      </c>
      <c r="AE75" s="160">
        <v>0</v>
      </c>
      <c r="AF75" s="160">
        <v>0</v>
      </c>
      <c r="AG75" s="160">
        <v>0</v>
      </c>
      <c r="AH75" s="160">
        <v>0</v>
      </c>
      <c r="AI75" s="161">
        <v>0</v>
      </c>
    </row>
    <row r="76" spans="1:35" x14ac:dyDescent="0.25">
      <c r="A76" s="40">
        <v>22</v>
      </c>
      <c r="B76" s="40" t="s">
        <v>249</v>
      </c>
      <c r="C76" s="40" t="s">
        <v>8</v>
      </c>
      <c r="D76" s="45">
        <v>0</v>
      </c>
      <c r="E76" s="86">
        <v>0</v>
      </c>
      <c r="F76" s="86">
        <v>0</v>
      </c>
      <c r="G76" s="86">
        <v>0</v>
      </c>
      <c r="H76" s="86">
        <v>0</v>
      </c>
      <c r="I76" s="86">
        <v>0</v>
      </c>
      <c r="J76" s="86">
        <v>0</v>
      </c>
      <c r="K76" s="86">
        <v>0</v>
      </c>
      <c r="L76" s="86">
        <v>0</v>
      </c>
      <c r="M76" s="86">
        <v>0</v>
      </c>
      <c r="N76" s="86">
        <v>0</v>
      </c>
      <c r="O76" s="86">
        <v>0</v>
      </c>
      <c r="P76" s="86">
        <v>0</v>
      </c>
      <c r="Q76" s="86">
        <v>0</v>
      </c>
      <c r="R76" s="86">
        <v>0</v>
      </c>
      <c r="S76" s="86">
        <v>0</v>
      </c>
      <c r="T76" s="86">
        <v>0</v>
      </c>
      <c r="U76" s="86">
        <v>0</v>
      </c>
      <c r="V76" s="86">
        <v>0</v>
      </c>
      <c r="W76" s="86">
        <v>0</v>
      </c>
      <c r="X76" s="86">
        <v>0</v>
      </c>
      <c r="Y76" s="86">
        <v>0</v>
      </c>
      <c r="Z76" s="86">
        <v>0</v>
      </c>
      <c r="AA76" s="86">
        <v>0</v>
      </c>
      <c r="AB76" s="86">
        <v>0</v>
      </c>
      <c r="AC76" s="86">
        <v>0</v>
      </c>
      <c r="AD76" s="86">
        <v>0</v>
      </c>
      <c r="AE76" s="86">
        <v>0</v>
      </c>
      <c r="AF76" s="86">
        <v>0</v>
      </c>
      <c r="AG76" s="86">
        <v>0</v>
      </c>
      <c r="AH76" s="86">
        <v>0</v>
      </c>
      <c r="AI76" s="88">
        <v>0</v>
      </c>
    </row>
    <row r="77" spans="1:35" x14ac:dyDescent="0.25">
      <c r="A77" s="66"/>
      <c r="B77" s="66"/>
      <c r="C77" s="41" t="s">
        <v>68</v>
      </c>
      <c r="D77" s="159">
        <v>0</v>
      </c>
      <c r="E77" s="160">
        <v>0</v>
      </c>
      <c r="F77" s="160">
        <v>0</v>
      </c>
      <c r="G77" s="160">
        <v>0</v>
      </c>
      <c r="H77" s="160">
        <v>0</v>
      </c>
      <c r="I77" s="160">
        <v>0</v>
      </c>
      <c r="J77" s="160">
        <v>0</v>
      </c>
      <c r="K77" s="160">
        <v>0</v>
      </c>
      <c r="L77" s="160">
        <v>0</v>
      </c>
      <c r="M77" s="160">
        <v>0</v>
      </c>
      <c r="N77" s="160">
        <v>0</v>
      </c>
      <c r="O77" s="160">
        <v>0</v>
      </c>
      <c r="P77" s="160">
        <v>0</v>
      </c>
      <c r="Q77" s="160">
        <v>0</v>
      </c>
      <c r="R77" s="160">
        <v>0</v>
      </c>
      <c r="S77" s="160">
        <v>0</v>
      </c>
      <c r="T77" s="160">
        <v>0</v>
      </c>
      <c r="U77" s="160">
        <v>0</v>
      </c>
      <c r="V77" s="160">
        <v>0</v>
      </c>
      <c r="W77" s="160">
        <v>0</v>
      </c>
      <c r="X77" s="160">
        <v>0</v>
      </c>
      <c r="Y77" s="160">
        <v>0</v>
      </c>
      <c r="Z77" s="160">
        <v>0</v>
      </c>
      <c r="AA77" s="160">
        <v>0</v>
      </c>
      <c r="AB77" s="160">
        <v>0</v>
      </c>
      <c r="AC77" s="160">
        <v>0</v>
      </c>
      <c r="AD77" s="160">
        <v>0</v>
      </c>
      <c r="AE77" s="160">
        <v>0</v>
      </c>
      <c r="AF77" s="160">
        <v>0</v>
      </c>
      <c r="AG77" s="160">
        <v>0</v>
      </c>
      <c r="AH77" s="160">
        <v>0</v>
      </c>
      <c r="AI77" s="161">
        <v>0</v>
      </c>
    </row>
    <row r="78" spans="1:35" x14ac:dyDescent="0.25">
      <c r="A78" s="40">
        <v>23</v>
      </c>
      <c r="B78" s="40" t="s">
        <v>249</v>
      </c>
      <c r="C78" s="40" t="s">
        <v>8</v>
      </c>
      <c r="D78" s="45">
        <v>0</v>
      </c>
      <c r="E78" s="86">
        <v>0</v>
      </c>
      <c r="F78" s="86">
        <v>0</v>
      </c>
      <c r="G78" s="86">
        <v>0</v>
      </c>
      <c r="H78" s="86">
        <v>0</v>
      </c>
      <c r="I78" s="86">
        <v>0</v>
      </c>
      <c r="J78" s="86">
        <v>0</v>
      </c>
      <c r="K78" s="86">
        <v>0</v>
      </c>
      <c r="L78" s="86">
        <v>0</v>
      </c>
      <c r="M78" s="86">
        <v>0</v>
      </c>
      <c r="N78" s="86">
        <v>0</v>
      </c>
      <c r="O78" s="86">
        <v>0</v>
      </c>
      <c r="P78" s="86">
        <v>0</v>
      </c>
      <c r="Q78" s="86">
        <v>0</v>
      </c>
      <c r="R78" s="86">
        <v>0</v>
      </c>
      <c r="S78" s="86">
        <v>0</v>
      </c>
      <c r="T78" s="86">
        <v>0</v>
      </c>
      <c r="U78" s="86">
        <v>0</v>
      </c>
      <c r="V78" s="86">
        <v>0</v>
      </c>
      <c r="W78" s="86">
        <v>0</v>
      </c>
      <c r="X78" s="86">
        <v>0</v>
      </c>
      <c r="Y78" s="86">
        <v>0</v>
      </c>
      <c r="Z78" s="86">
        <v>0</v>
      </c>
      <c r="AA78" s="86">
        <v>0</v>
      </c>
      <c r="AB78" s="86">
        <v>0</v>
      </c>
      <c r="AC78" s="86">
        <v>0</v>
      </c>
      <c r="AD78" s="86">
        <v>0</v>
      </c>
      <c r="AE78" s="86">
        <v>0</v>
      </c>
      <c r="AF78" s="86">
        <v>0</v>
      </c>
      <c r="AG78" s="86">
        <v>0</v>
      </c>
      <c r="AH78" s="86">
        <v>0</v>
      </c>
      <c r="AI78" s="88">
        <v>0</v>
      </c>
    </row>
    <row r="79" spans="1:35" x14ac:dyDescent="0.25">
      <c r="A79" s="66"/>
      <c r="B79" s="66"/>
      <c r="C79" s="41" t="s">
        <v>68</v>
      </c>
      <c r="D79" s="159">
        <v>0</v>
      </c>
      <c r="E79" s="160">
        <v>0</v>
      </c>
      <c r="F79" s="160">
        <v>0</v>
      </c>
      <c r="G79" s="160">
        <v>0</v>
      </c>
      <c r="H79" s="160">
        <v>0</v>
      </c>
      <c r="I79" s="160">
        <v>0</v>
      </c>
      <c r="J79" s="160">
        <v>0</v>
      </c>
      <c r="K79" s="160">
        <v>0</v>
      </c>
      <c r="L79" s="160">
        <v>0</v>
      </c>
      <c r="M79" s="160">
        <v>0</v>
      </c>
      <c r="N79" s="160">
        <v>0</v>
      </c>
      <c r="O79" s="160">
        <v>0</v>
      </c>
      <c r="P79" s="160">
        <v>0</v>
      </c>
      <c r="Q79" s="160">
        <v>0</v>
      </c>
      <c r="R79" s="160">
        <v>0</v>
      </c>
      <c r="S79" s="160">
        <v>0</v>
      </c>
      <c r="T79" s="160">
        <v>0</v>
      </c>
      <c r="U79" s="160">
        <v>0</v>
      </c>
      <c r="V79" s="160">
        <v>0</v>
      </c>
      <c r="W79" s="160">
        <v>0</v>
      </c>
      <c r="X79" s="160">
        <v>0</v>
      </c>
      <c r="Y79" s="160">
        <v>0</v>
      </c>
      <c r="Z79" s="160">
        <v>0</v>
      </c>
      <c r="AA79" s="160">
        <v>0</v>
      </c>
      <c r="AB79" s="160">
        <v>0</v>
      </c>
      <c r="AC79" s="160">
        <v>0</v>
      </c>
      <c r="AD79" s="160">
        <v>0</v>
      </c>
      <c r="AE79" s="160">
        <v>0</v>
      </c>
      <c r="AF79" s="160">
        <v>0</v>
      </c>
      <c r="AG79" s="160">
        <v>0</v>
      </c>
      <c r="AH79" s="160">
        <v>0</v>
      </c>
      <c r="AI79" s="161">
        <v>0</v>
      </c>
    </row>
    <row r="80" spans="1:35" x14ac:dyDescent="0.25">
      <c r="A80" s="40" t="s">
        <v>21</v>
      </c>
      <c r="B80" s="65"/>
      <c r="C80" s="65"/>
      <c r="D80" s="45">
        <v>269</v>
      </c>
      <c r="E80" s="86">
        <v>1245</v>
      </c>
      <c r="F80" s="86">
        <v>6610</v>
      </c>
      <c r="G80" s="86">
        <v>1135</v>
      </c>
      <c r="H80" s="86">
        <v>-240</v>
      </c>
      <c r="I80" s="86">
        <v>0</v>
      </c>
      <c r="J80" s="86">
        <v>0</v>
      </c>
      <c r="K80" s="86">
        <v>0</v>
      </c>
      <c r="L80" s="86">
        <v>0</v>
      </c>
      <c r="M80" s="86">
        <v>0</v>
      </c>
      <c r="N80" s="86">
        <v>0</v>
      </c>
      <c r="O80" s="86">
        <v>0</v>
      </c>
      <c r="P80" s="86">
        <v>0</v>
      </c>
      <c r="Q80" s="86">
        <v>0</v>
      </c>
      <c r="R80" s="86">
        <v>0</v>
      </c>
      <c r="S80" s="86">
        <v>0</v>
      </c>
      <c r="T80" s="86">
        <v>0</v>
      </c>
      <c r="U80" s="86">
        <v>0</v>
      </c>
      <c r="V80" s="86">
        <v>0</v>
      </c>
      <c r="W80" s="86">
        <v>0</v>
      </c>
      <c r="X80" s="86">
        <v>0</v>
      </c>
      <c r="Y80" s="86">
        <v>0</v>
      </c>
      <c r="Z80" s="86">
        <v>0</v>
      </c>
      <c r="AA80" s="86">
        <v>0</v>
      </c>
      <c r="AB80" s="86">
        <v>0</v>
      </c>
      <c r="AC80" s="86">
        <v>0</v>
      </c>
      <c r="AD80" s="86">
        <v>0</v>
      </c>
      <c r="AE80" s="86">
        <v>0</v>
      </c>
      <c r="AF80" s="86">
        <v>0</v>
      </c>
      <c r="AG80" s="86">
        <v>0</v>
      </c>
      <c r="AH80" s="86">
        <v>0</v>
      </c>
      <c r="AI80" s="88">
        <v>9019</v>
      </c>
    </row>
    <row r="81" spans="1:35" x14ac:dyDescent="0.25">
      <c r="A81" s="42" t="s">
        <v>75</v>
      </c>
      <c r="B81" s="67"/>
      <c r="C81" s="67"/>
      <c r="D81" s="162">
        <v>0</v>
      </c>
      <c r="E81" s="163">
        <v>0</v>
      </c>
      <c r="F81" s="163">
        <v>138418</v>
      </c>
      <c r="G81" s="163">
        <v>20450</v>
      </c>
      <c r="H81" s="163">
        <v>-6240</v>
      </c>
      <c r="I81" s="163">
        <v>0</v>
      </c>
      <c r="J81" s="163">
        <v>0</v>
      </c>
      <c r="K81" s="163">
        <v>0</v>
      </c>
      <c r="L81" s="163">
        <v>0</v>
      </c>
      <c r="M81" s="163">
        <v>0</v>
      </c>
      <c r="N81" s="163">
        <v>0</v>
      </c>
      <c r="O81" s="163">
        <v>0</v>
      </c>
      <c r="P81" s="163">
        <v>0</v>
      </c>
      <c r="Q81" s="163">
        <v>0</v>
      </c>
      <c r="R81" s="163">
        <v>0</v>
      </c>
      <c r="S81" s="163">
        <v>0</v>
      </c>
      <c r="T81" s="163">
        <v>0</v>
      </c>
      <c r="U81" s="163">
        <v>0</v>
      </c>
      <c r="V81" s="163">
        <v>0</v>
      </c>
      <c r="W81" s="163">
        <v>0</v>
      </c>
      <c r="X81" s="163">
        <v>0</v>
      </c>
      <c r="Y81" s="163">
        <v>0</v>
      </c>
      <c r="Z81" s="163">
        <v>0</v>
      </c>
      <c r="AA81" s="163">
        <v>0</v>
      </c>
      <c r="AB81" s="163">
        <v>0</v>
      </c>
      <c r="AC81" s="163">
        <v>0</v>
      </c>
      <c r="AD81" s="163">
        <v>0</v>
      </c>
      <c r="AE81" s="163">
        <v>0</v>
      </c>
      <c r="AF81" s="163">
        <v>0</v>
      </c>
      <c r="AG81" s="163">
        <v>0</v>
      </c>
      <c r="AH81" s="163">
        <v>0</v>
      </c>
      <c r="AI81" s="164">
        <v>152628</v>
      </c>
    </row>
  </sheetData>
  <pageMargins left="0.75" right="0.75" top="1" bottom="1" header="0.5" footer="0.5"/>
  <pageSetup scale="25" fitToHeight="0" orientation="portrait" r:id="rId2"/>
  <headerFooter alignWithMargins="0">
    <oddHeader>&amp;CDeal Summary</oddHeader>
    <oddFooter>12_9ACT.XLS</oddFooter>
  </headerFooter>
  <drawing r:id="rId3"/>
  <legacyDrawing r:id="rId4"/>
  <mc:AlternateContent xmlns:mc="http://schemas.openxmlformats.org/markup-compatibility/2006">
    <mc:Choice Requires="x14">
      <controls>
        <mc:AlternateContent xmlns:mc="http://schemas.openxmlformats.org/markup-compatibility/2006">
          <mc:Choice Requires="x14">
            <control shapeId="1027" r:id="rId5" name="Button 3">
              <controlPr defaultSize="0" print="0" autoFill="0" autoLine="0" autoPict="0" macro="[0]!RefreshPivot">
                <anchor moveWithCells="1" sizeWithCells="1">
                  <from>
                    <xdr:col>0</xdr:col>
                    <xdr:colOff>0</xdr:colOff>
                    <xdr:row>0</xdr:row>
                    <xdr:rowOff>0</xdr:rowOff>
                  </from>
                  <to>
                    <xdr:col>1</xdr:col>
                    <xdr:colOff>0</xdr:colOff>
                    <xdr:row>1</xdr:row>
                    <xdr:rowOff>0</xdr:rowOff>
                  </to>
                </anchor>
              </controlPr>
            </control>
          </mc:Choice>
        </mc:AlternateContent>
      </controls>
    </mc:Choice>
  </mc:AlternateConten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workbookViewId="0">
      <selection activeCell="C40" sqref="C40"/>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259</v>
      </c>
    </row>
    <row r="2" spans="1:4" x14ac:dyDescent="0.25">
      <c r="A2" t="s">
        <v>260</v>
      </c>
    </row>
    <row r="4" spans="1:4" x14ac:dyDescent="0.25">
      <c r="A4" s="448" t="s">
        <v>261</v>
      </c>
      <c r="B4" s="448" t="s">
        <v>264</v>
      </c>
      <c r="C4" s="449" t="s">
        <v>262</v>
      </c>
      <c r="D4" s="449" t="s">
        <v>263</v>
      </c>
    </row>
    <row r="5" spans="1:4" x14ac:dyDescent="0.25">
      <c r="A5" s="450"/>
      <c r="B5" s="515"/>
      <c r="C5" s="452"/>
      <c r="D5" s="452"/>
    </row>
    <row r="6" spans="1:4" x14ac:dyDescent="0.25">
      <c r="A6" s="450">
        <v>36592</v>
      </c>
      <c r="B6" s="451" t="s">
        <v>318</v>
      </c>
      <c r="C6" s="452" t="s">
        <v>317</v>
      </c>
      <c r="D6" s="452" t="s">
        <v>320</v>
      </c>
    </row>
    <row r="7" spans="1:4" x14ac:dyDescent="0.25">
      <c r="A7" s="453"/>
      <c r="B7" s="451" t="s">
        <v>319</v>
      </c>
      <c r="C7" s="452"/>
      <c r="D7" s="452" t="s">
        <v>321</v>
      </c>
    </row>
    <row r="8" spans="1:4" x14ac:dyDescent="0.25">
      <c r="A8" s="546"/>
      <c r="B8" s="451"/>
      <c r="C8" s="452"/>
      <c r="D8" s="452" t="s">
        <v>322</v>
      </c>
    </row>
    <row r="9" spans="1:4" x14ac:dyDescent="0.25">
      <c r="A9" s="453"/>
      <c r="B9" s="451"/>
      <c r="C9" s="452"/>
      <c r="D9" s="452"/>
    </row>
    <row r="10" spans="1:4" x14ac:dyDescent="0.25">
      <c r="A10" s="450">
        <v>36603</v>
      </c>
      <c r="B10" s="451" t="s">
        <v>323</v>
      </c>
      <c r="C10" s="452" t="s">
        <v>325</v>
      </c>
      <c r="D10" s="452" t="s">
        <v>331</v>
      </c>
    </row>
    <row r="11" spans="1:4" x14ac:dyDescent="0.25">
      <c r="A11" s="453"/>
      <c r="B11" s="451" t="s">
        <v>324</v>
      </c>
      <c r="C11" s="452"/>
      <c r="D11" s="452" t="s">
        <v>328</v>
      </c>
    </row>
    <row r="12" spans="1:4" x14ac:dyDescent="0.25">
      <c r="A12" s="453"/>
      <c r="B12" s="451"/>
      <c r="C12" s="452"/>
      <c r="D12" s="452" t="s">
        <v>326</v>
      </c>
    </row>
    <row r="13" spans="1:4" x14ac:dyDescent="0.25">
      <c r="A13" s="453"/>
      <c r="B13" s="451"/>
      <c r="C13" s="452"/>
      <c r="D13" s="452" t="s">
        <v>327</v>
      </c>
    </row>
    <row r="14" spans="1:4" x14ac:dyDescent="0.25">
      <c r="A14" s="453"/>
      <c r="B14" s="451"/>
      <c r="C14" s="452"/>
      <c r="D14" s="452"/>
    </row>
    <row r="15" spans="1:4" x14ac:dyDescent="0.25">
      <c r="A15" s="450">
        <v>36603</v>
      </c>
      <c r="B15" s="451" t="s">
        <v>329</v>
      </c>
      <c r="C15" s="452" t="s">
        <v>325</v>
      </c>
      <c r="D15" s="452" t="s">
        <v>332</v>
      </c>
    </row>
    <row r="16" spans="1:4" x14ac:dyDescent="0.25">
      <c r="A16" s="453"/>
      <c r="B16" s="451" t="s">
        <v>330</v>
      </c>
      <c r="C16" s="452"/>
      <c r="D16" s="452" t="s">
        <v>333</v>
      </c>
    </row>
    <row r="17" spans="1:4" x14ac:dyDescent="0.25">
      <c r="A17" s="546"/>
      <c r="B17" s="451"/>
      <c r="C17" s="452"/>
      <c r="D17" s="452" t="s">
        <v>335</v>
      </c>
    </row>
    <row r="18" spans="1:4" x14ac:dyDescent="0.25">
      <c r="A18" s="453"/>
      <c r="B18" s="451"/>
      <c r="C18" s="452"/>
      <c r="D18" s="452" t="s">
        <v>336</v>
      </c>
    </row>
    <row r="19" spans="1:4" x14ac:dyDescent="0.25">
      <c r="A19" s="453"/>
      <c r="B19" s="451"/>
      <c r="C19" s="452"/>
      <c r="D19" s="452" t="s">
        <v>334</v>
      </c>
    </row>
    <row r="20" spans="1:4" x14ac:dyDescent="0.25">
      <c r="A20" s="450">
        <v>36644</v>
      </c>
      <c r="B20" s="451" t="s">
        <v>342</v>
      </c>
      <c r="C20" s="452" t="s">
        <v>341</v>
      </c>
      <c r="D20" s="452" t="s">
        <v>337</v>
      </c>
    </row>
    <row r="21" spans="1:4" x14ac:dyDescent="0.25">
      <c r="A21" s="450"/>
      <c r="B21" s="451"/>
      <c r="C21" s="452"/>
      <c r="D21" s="452"/>
    </row>
    <row r="22" spans="1:4" x14ac:dyDescent="0.25">
      <c r="A22" s="450">
        <v>36730</v>
      </c>
      <c r="B22" s="451" t="s">
        <v>371</v>
      </c>
      <c r="C22" s="452" t="s">
        <v>372</v>
      </c>
      <c r="D22" s="452" t="s">
        <v>373</v>
      </c>
    </row>
    <row r="23" spans="1:4" x14ac:dyDescent="0.25">
      <c r="A23" s="453"/>
      <c r="B23" s="451"/>
      <c r="C23" s="452"/>
      <c r="D23" s="452"/>
    </row>
    <row r="24" spans="1:4" x14ac:dyDescent="0.25">
      <c r="A24" s="450">
        <v>36733</v>
      </c>
      <c r="B24" s="451" t="s">
        <v>374</v>
      </c>
      <c r="C24" s="452" t="s">
        <v>375</v>
      </c>
      <c r="D24" s="452" t="s">
        <v>376</v>
      </c>
    </row>
    <row r="25" spans="1:4" x14ac:dyDescent="0.25">
      <c r="A25" s="453"/>
      <c r="B25" s="451"/>
      <c r="C25" s="452"/>
      <c r="D25" s="452"/>
    </row>
    <row r="26" spans="1:4" x14ac:dyDescent="0.25">
      <c r="A26" s="450">
        <v>36733</v>
      </c>
      <c r="B26" s="451" t="s">
        <v>378</v>
      </c>
      <c r="C26" s="452" t="s">
        <v>375</v>
      </c>
      <c r="D26" s="452" t="s">
        <v>377</v>
      </c>
    </row>
    <row r="27" spans="1:4" x14ac:dyDescent="0.25">
      <c r="A27" s="453"/>
      <c r="B27" s="451"/>
      <c r="C27" s="452"/>
      <c r="D27" s="452"/>
    </row>
    <row r="28" spans="1:4" x14ac:dyDescent="0.25">
      <c r="A28" s="450">
        <v>36734</v>
      </c>
      <c r="B28" s="451" t="s">
        <v>380</v>
      </c>
      <c r="C28" s="452" t="s">
        <v>375</v>
      </c>
      <c r="D28" s="452" t="s">
        <v>379</v>
      </c>
    </row>
    <row r="29" spans="1:4" x14ac:dyDescent="0.25">
      <c r="A29" s="453"/>
      <c r="B29" s="451"/>
      <c r="C29" s="452"/>
      <c r="D29" s="452"/>
    </row>
    <row r="30" spans="1:4" x14ac:dyDescent="0.25">
      <c r="A30" s="450">
        <v>36734</v>
      </c>
      <c r="B30" s="451" t="s">
        <v>381</v>
      </c>
      <c r="C30" s="452"/>
      <c r="D30" s="452" t="s">
        <v>382</v>
      </c>
    </row>
    <row r="31" spans="1:4" x14ac:dyDescent="0.25">
      <c r="A31" s="453"/>
      <c r="B31" s="451"/>
      <c r="C31" s="452"/>
      <c r="D31" s="452"/>
    </row>
    <row r="32" spans="1:4" x14ac:dyDescent="0.25">
      <c r="A32" s="450">
        <v>36778</v>
      </c>
      <c r="B32" s="451" t="s">
        <v>385</v>
      </c>
      <c r="C32" s="452" t="s">
        <v>388</v>
      </c>
      <c r="D32" s="452" t="s">
        <v>387</v>
      </c>
    </row>
    <row r="33" spans="1:4" x14ac:dyDescent="0.25">
      <c r="A33" s="453"/>
      <c r="B33" s="451"/>
      <c r="C33" s="452"/>
      <c r="D33" s="452"/>
    </row>
    <row r="34" spans="1:4" x14ac:dyDescent="0.25">
      <c r="A34" s="450">
        <v>36778</v>
      </c>
      <c r="B34" s="451" t="s">
        <v>389</v>
      </c>
      <c r="C34" s="452" t="s">
        <v>386</v>
      </c>
      <c r="D34" s="452" t="s">
        <v>390</v>
      </c>
    </row>
    <row r="35" spans="1:4" x14ac:dyDescent="0.25">
      <c r="A35" s="453"/>
      <c r="B35" s="451"/>
      <c r="C35" s="452"/>
      <c r="D35" s="452"/>
    </row>
    <row r="36" spans="1:4" x14ac:dyDescent="0.25">
      <c r="A36" s="450">
        <v>36779</v>
      </c>
      <c r="B36" s="451" t="s">
        <v>391</v>
      </c>
      <c r="C36" s="452" t="s">
        <v>393</v>
      </c>
      <c r="D36" s="452" t="s">
        <v>392</v>
      </c>
    </row>
    <row r="37" spans="1:4" x14ac:dyDescent="0.25">
      <c r="A37" s="453"/>
      <c r="B37" s="451"/>
      <c r="C37" s="452"/>
      <c r="D37" s="452"/>
    </row>
    <row r="38" spans="1:4" x14ac:dyDescent="0.25">
      <c r="A38" s="450">
        <v>36779</v>
      </c>
      <c r="B38" s="451" t="s">
        <v>394</v>
      </c>
      <c r="C38" s="452" t="s">
        <v>393</v>
      </c>
      <c r="D38" s="452" t="s">
        <v>395</v>
      </c>
    </row>
    <row r="39" spans="1:4" x14ac:dyDescent="0.25">
      <c r="A39" s="453"/>
      <c r="B39" s="451"/>
      <c r="C39" s="452"/>
      <c r="D39" s="452"/>
    </row>
    <row r="40" spans="1:4" x14ac:dyDescent="0.25">
      <c r="A40" s="450">
        <v>36803</v>
      </c>
      <c r="B40" s="451" t="s">
        <v>402</v>
      </c>
      <c r="C40" s="452" t="s">
        <v>403</v>
      </c>
      <c r="D40" s="452" t="s">
        <v>404</v>
      </c>
    </row>
    <row r="41" spans="1:4" x14ac:dyDescent="0.25">
      <c r="A41" s="453"/>
      <c r="B41" s="451"/>
      <c r="C41" s="452"/>
      <c r="D41" s="452"/>
    </row>
    <row r="42" spans="1:4" x14ac:dyDescent="0.25">
      <c r="A42" s="450">
        <v>36839</v>
      </c>
      <c r="B42" s="451" t="s">
        <v>410</v>
      </c>
      <c r="C42" s="452"/>
      <c r="D42" s="452" t="s">
        <v>411</v>
      </c>
    </row>
    <row r="43" spans="1:4" x14ac:dyDescent="0.25">
      <c r="A43" s="453"/>
      <c r="B43" s="451"/>
      <c r="C43" s="452"/>
      <c r="D43" s="452"/>
    </row>
    <row r="44" spans="1:4" x14ac:dyDescent="0.25">
      <c r="A44" s="450">
        <v>36847</v>
      </c>
      <c r="B44" s="451" t="s">
        <v>415</v>
      </c>
      <c r="C44" s="452" t="s">
        <v>416</v>
      </c>
      <c r="D44" s="452" t="s">
        <v>417</v>
      </c>
    </row>
    <row r="45" spans="1:4" x14ac:dyDescent="0.25">
      <c r="A45" s="453"/>
      <c r="B45" s="451"/>
      <c r="C45" s="452"/>
      <c r="D45" s="452"/>
    </row>
    <row r="46" spans="1:4" x14ac:dyDescent="0.25">
      <c r="A46" s="453"/>
      <c r="B46" s="451"/>
      <c r="C46" s="452"/>
      <c r="D46" s="452"/>
    </row>
    <row r="47" spans="1:4" x14ac:dyDescent="0.25">
      <c r="A47" s="453"/>
      <c r="B47" s="451"/>
      <c r="C47" s="452"/>
      <c r="D47" s="452"/>
    </row>
    <row r="48" spans="1:4" x14ac:dyDescent="0.25">
      <c r="A48" s="453"/>
      <c r="B48" s="451"/>
      <c r="C48" s="452"/>
      <c r="D48" s="452"/>
    </row>
    <row r="49" spans="1:4" x14ac:dyDescent="0.25">
      <c r="A49" s="453"/>
      <c r="B49" s="451"/>
      <c r="C49" s="452"/>
      <c r="D49" s="452"/>
    </row>
    <row r="50" spans="1:4" x14ac:dyDescent="0.25">
      <c r="A50" s="453"/>
      <c r="B50" s="451"/>
      <c r="C50" s="452"/>
      <c r="D50" s="452"/>
    </row>
    <row r="51" spans="1:4" x14ac:dyDescent="0.25">
      <c r="A51" s="453"/>
      <c r="B51" s="451"/>
      <c r="C51" s="452"/>
      <c r="D51" s="452"/>
    </row>
    <row r="52" spans="1:4" x14ac:dyDescent="0.25">
      <c r="A52" s="453"/>
      <c r="B52" s="451"/>
      <c r="C52" s="452"/>
      <c r="D52" s="452"/>
    </row>
    <row r="53" spans="1:4" x14ac:dyDescent="0.25">
      <c r="A53" s="453"/>
      <c r="B53" s="451"/>
      <c r="C53" s="452"/>
      <c r="D53" s="452"/>
    </row>
    <row r="54" spans="1:4" x14ac:dyDescent="0.25">
      <c r="A54" s="453"/>
      <c r="B54" s="451"/>
      <c r="C54" s="452"/>
      <c r="D54" s="452"/>
    </row>
    <row r="55" spans="1:4" x14ac:dyDescent="0.25">
      <c r="A55" s="453"/>
      <c r="B55" s="451"/>
      <c r="C55" s="452"/>
      <c r="D55" s="452"/>
    </row>
    <row r="56" spans="1:4" x14ac:dyDescent="0.25">
      <c r="A56" s="453"/>
      <c r="B56" s="451"/>
      <c r="C56" s="452"/>
      <c r="D56" s="452"/>
    </row>
    <row r="57" spans="1:4" x14ac:dyDescent="0.25">
      <c r="A57" s="453"/>
      <c r="B57" s="451"/>
      <c r="C57" s="452"/>
      <c r="D57" s="452"/>
    </row>
    <row r="58" spans="1:4" x14ac:dyDescent="0.25">
      <c r="A58" s="453"/>
      <c r="B58" s="451"/>
      <c r="C58" s="452"/>
      <c r="D58" s="452"/>
    </row>
    <row r="59" spans="1:4" x14ac:dyDescent="0.25">
      <c r="A59" s="453"/>
      <c r="B59" s="451"/>
      <c r="C59" s="452"/>
      <c r="D59" s="452"/>
    </row>
    <row r="60" spans="1:4" x14ac:dyDescent="0.25">
      <c r="A60" s="453"/>
      <c r="B60" s="451"/>
      <c r="C60" s="452"/>
      <c r="D60" s="452"/>
    </row>
    <row r="61" spans="1:4" x14ac:dyDescent="0.25">
      <c r="A61" s="453"/>
      <c r="B61" s="451"/>
      <c r="C61" s="452"/>
      <c r="D61" s="452"/>
    </row>
    <row r="62" spans="1:4" x14ac:dyDescent="0.25">
      <c r="A62" s="453"/>
      <c r="B62" s="451"/>
      <c r="C62" s="452"/>
      <c r="D62" s="452"/>
    </row>
    <row r="63" spans="1:4" x14ac:dyDescent="0.25">
      <c r="A63" s="453"/>
      <c r="B63" s="451"/>
      <c r="C63" s="452"/>
      <c r="D63" s="452"/>
    </row>
    <row r="64" spans="1:4" x14ac:dyDescent="0.25">
      <c r="A64" s="453"/>
      <c r="B64" s="451"/>
      <c r="C64" s="452"/>
      <c r="D64" s="452"/>
    </row>
    <row r="65" spans="1:4" x14ac:dyDescent="0.25">
      <c r="A65" s="453"/>
      <c r="B65" s="451"/>
      <c r="C65" s="452"/>
      <c r="D65" s="452"/>
    </row>
    <row r="66" spans="1:4" x14ac:dyDescent="0.25">
      <c r="A66" s="453"/>
      <c r="B66" s="451"/>
      <c r="C66" s="452"/>
      <c r="D66" s="452"/>
    </row>
    <row r="67" spans="1:4" x14ac:dyDescent="0.25">
      <c r="A67" s="453"/>
      <c r="B67" s="451"/>
      <c r="C67" s="452"/>
      <c r="D67" s="452"/>
    </row>
    <row r="68" spans="1:4" x14ac:dyDescent="0.25">
      <c r="A68" s="453"/>
      <c r="B68" s="451"/>
      <c r="C68" s="452"/>
      <c r="D68" s="452"/>
    </row>
    <row r="69" spans="1:4" x14ac:dyDescent="0.25">
      <c r="A69" s="453"/>
      <c r="B69" s="451"/>
      <c r="C69" s="452"/>
      <c r="D69" s="452"/>
    </row>
    <row r="70" spans="1:4" x14ac:dyDescent="0.25">
      <c r="A70" s="453"/>
      <c r="B70" s="451"/>
      <c r="C70" s="452"/>
      <c r="D70" s="452"/>
    </row>
    <row r="71" spans="1:4" x14ac:dyDescent="0.25">
      <c r="A71" s="453"/>
      <c r="B71" s="451"/>
      <c r="C71" s="452"/>
      <c r="D71" s="452"/>
    </row>
    <row r="72" spans="1:4" x14ac:dyDescent="0.25">
      <c r="A72" s="453"/>
      <c r="B72" s="451"/>
      <c r="C72" s="452"/>
      <c r="D72" s="452"/>
    </row>
    <row r="73" spans="1:4" x14ac:dyDescent="0.25">
      <c r="A73" s="453"/>
      <c r="B73" s="451"/>
      <c r="C73" s="452"/>
      <c r="D73" s="452"/>
    </row>
    <row r="74" spans="1:4" x14ac:dyDescent="0.25">
      <c r="A74" s="453"/>
      <c r="B74" s="451"/>
      <c r="C74" s="452"/>
      <c r="D74" s="452"/>
    </row>
    <row r="75" spans="1:4" x14ac:dyDescent="0.25">
      <c r="A75" s="453"/>
      <c r="B75" s="451"/>
      <c r="C75" s="452"/>
      <c r="D75" s="452"/>
    </row>
    <row r="76" spans="1:4" x14ac:dyDescent="0.25">
      <c r="A76" s="453"/>
      <c r="B76" s="451"/>
      <c r="C76" s="452"/>
      <c r="D76" s="452"/>
    </row>
    <row r="77" spans="1:4" x14ac:dyDescent="0.25">
      <c r="A77" s="453"/>
      <c r="B77" s="451"/>
      <c r="C77" s="452"/>
      <c r="D77" s="452"/>
    </row>
    <row r="78" spans="1:4" x14ac:dyDescent="0.25">
      <c r="A78" s="453"/>
      <c r="B78" s="451"/>
      <c r="C78" s="452"/>
      <c r="D78" s="452"/>
    </row>
    <row r="79" spans="1:4" x14ac:dyDescent="0.25">
      <c r="A79" s="453"/>
      <c r="B79" s="451"/>
      <c r="C79" s="452"/>
      <c r="D79" s="452"/>
    </row>
    <row r="80" spans="1:4" x14ac:dyDescent="0.25">
      <c r="A80" s="453"/>
      <c r="B80" s="451"/>
      <c r="C80" s="452"/>
      <c r="D80" s="452"/>
    </row>
    <row r="81" spans="1:4" x14ac:dyDescent="0.25">
      <c r="A81" s="453"/>
      <c r="B81" s="451"/>
      <c r="C81" s="452"/>
      <c r="D81" s="452"/>
    </row>
    <row r="82" spans="1:4" x14ac:dyDescent="0.25">
      <c r="A82" s="453"/>
      <c r="B82" s="451"/>
      <c r="C82" s="452"/>
      <c r="D82" s="452"/>
    </row>
    <row r="83" spans="1:4" x14ac:dyDescent="0.25">
      <c r="A83" s="453"/>
      <c r="B83" s="451"/>
      <c r="C83" s="452"/>
      <c r="D83" s="452"/>
    </row>
    <row r="84" spans="1:4" x14ac:dyDescent="0.25">
      <c r="A84" s="453"/>
      <c r="B84" s="451"/>
      <c r="C84" s="452"/>
      <c r="D84" s="452"/>
    </row>
    <row r="85" spans="1:4" x14ac:dyDescent="0.25">
      <c r="A85" s="453"/>
      <c r="B85" s="451"/>
      <c r="C85" s="452"/>
      <c r="D85" s="452"/>
    </row>
    <row r="86" spans="1:4" x14ac:dyDescent="0.25">
      <c r="A86" s="453"/>
      <c r="B86" s="451"/>
      <c r="C86" s="452"/>
      <c r="D86" s="452"/>
    </row>
    <row r="87" spans="1:4" x14ac:dyDescent="0.25">
      <c r="A87" s="453"/>
      <c r="B87" s="451"/>
      <c r="C87" s="452"/>
      <c r="D87" s="452"/>
    </row>
    <row r="88" spans="1:4" x14ac:dyDescent="0.25">
      <c r="A88" s="453"/>
      <c r="B88" s="451"/>
      <c r="C88" s="452"/>
      <c r="D88" s="452"/>
    </row>
    <row r="89" spans="1:4" x14ac:dyDescent="0.25">
      <c r="A89" s="453"/>
      <c r="B89" s="451"/>
      <c r="C89" s="452"/>
      <c r="D89" s="452"/>
    </row>
    <row r="90" spans="1:4" x14ac:dyDescent="0.25">
      <c r="A90" s="453"/>
      <c r="B90" s="451"/>
      <c r="C90" s="452"/>
      <c r="D90" s="452"/>
    </row>
    <row r="91" spans="1:4" x14ac:dyDescent="0.25">
      <c r="A91" s="453"/>
      <c r="B91" s="451"/>
      <c r="C91" s="452"/>
      <c r="D91" s="452"/>
    </row>
    <row r="92" spans="1:4" x14ac:dyDescent="0.25">
      <c r="A92" s="453"/>
      <c r="B92" s="451"/>
      <c r="C92" s="452"/>
      <c r="D92" s="452"/>
    </row>
    <row r="93" spans="1:4" x14ac:dyDescent="0.25">
      <c r="A93" s="453"/>
      <c r="B93" s="451"/>
      <c r="C93" s="452"/>
      <c r="D93" s="452"/>
    </row>
    <row r="94" spans="1:4" x14ac:dyDescent="0.25">
      <c r="A94" s="453"/>
      <c r="B94" s="451"/>
      <c r="C94" s="452"/>
      <c r="D94" s="452"/>
    </row>
    <row r="95" spans="1:4" x14ac:dyDescent="0.25">
      <c r="A95" s="453"/>
      <c r="B95" s="451"/>
      <c r="C95" s="452"/>
      <c r="D95" s="452"/>
    </row>
    <row r="96" spans="1:4" x14ac:dyDescent="0.25">
      <c r="A96" s="453"/>
      <c r="B96" s="451"/>
      <c r="C96" s="452"/>
      <c r="D96" s="452"/>
    </row>
    <row r="97" spans="1:4" x14ac:dyDescent="0.25">
      <c r="A97" s="453"/>
      <c r="B97" s="451"/>
      <c r="C97" s="452"/>
      <c r="D97" s="452"/>
    </row>
    <row r="98" spans="1:4" x14ac:dyDescent="0.25">
      <c r="A98" s="453"/>
      <c r="B98" s="451"/>
      <c r="C98" s="452"/>
      <c r="D98" s="452"/>
    </row>
    <row r="99" spans="1:4" x14ac:dyDescent="0.25">
      <c r="A99" s="453"/>
      <c r="B99" s="451"/>
      <c r="C99" s="452"/>
      <c r="D99" s="452"/>
    </row>
    <row r="100" spans="1:4" x14ac:dyDescent="0.25">
      <c r="A100" s="453"/>
      <c r="B100" s="451"/>
      <c r="C100" s="452"/>
      <c r="D100" s="452"/>
    </row>
    <row r="101" spans="1:4" x14ac:dyDescent="0.25">
      <c r="A101" s="453"/>
      <c r="B101" s="451"/>
      <c r="C101" s="452"/>
      <c r="D101" s="452"/>
    </row>
    <row r="102" spans="1:4" x14ac:dyDescent="0.25">
      <c r="A102" s="453"/>
      <c r="B102" s="451"/>
      <c r="C102" s="452"/>
      <c r="D102" s="452"/>
    </row>
    <row r="103" spans="1:4" x14ac:dyDescent="0.25">
      <c r="A103" s="453"/>
      <c r="B103" s="451"/>
      <c r="C103" s="452"/>
      <c r="D103" s="452"/>
    </row>
    <row r="104" spans="1:4" x14ac:dyDescent="0.25">
      <c r="A104" s="453"/>
      <c r="B104" s="451"/>
      <c r="C104" s="452"/>
      <c r="D104" s="452"/>
    </row>
    <row r="105" spans="1:4" x14ac:dyDescent="0.25">
      <c r="A105" s="453"/>
      <c r="B105" s="451"/>
      <c r="C105" s="452"/>
      <c r="D105" s="452"/>
    </row>
    <row r="106" spans="1:4" x14ac:dyDescent="0.25">
      <c r="A106" s="453"/>
      <c r="B106" s="451"/>
      <c r="C106" s="452"/>
      <c r="D106" s="452"/>
    </row>
    <row r="107" spans="1:4" x14ac:dyDescent="0.25">
      <c r="A107" s="453"/>
      <c r="B107" s="451"/>
      <c r="C107" s="452"/>
      <c r="D107" s="452"/>
    </row>
    <row r="108" spans="1:4" x14ac:dyDescent="0.25">
      <c r="A108" s="453"/>
      <c r="B108" s="451"/>
      <c r="C108" s="452"/>
      <c r="D108" s="452"/>
    </row>
    <row r="109" spans="1:4" x14ac:dyDescent="0.25">
      <c r="A109" s="453"/>
      <c r="B109" s="451"/>
      <c r="C109" s="452"/>
      <c r="D109" s="452"/>
    </row>
    <row r="110" spans="1:4" x14ac:dyDescent="0.25">
      <c r="A110" s="453"/>
      <c r="B110" s="451"/>
      <c r="C110" s="452"/>
      <c r="D110" s="452"/>
    </row>
    <row r="111" spans="1:4" x14ac:dyDescent="0.25">
      <c r="A111" s="453"/>
      <c r="B111" s="451"/>
      <c r="C111" s="452"/>
      <c r="D111" s="452"/>
    </row>
    <row r="112" spans="1:4" x14ac:dyDescent="0.25">
      <c r="A112" s="453"/>
      <c r="B112" s="451"/>
      <c r="C112" s="452"/>
      <c r="D112" s="452"/>
    </row>
    <row r="113" spans="1:4" x14ac:dyDescent="0.25">
      <c r="A113" s="453"/>
      <c r="B113" s="451"/>
      <c r="C113" s="452"/>
      <c r="D113" s="452"/>
    </row>
    <row r="114" spans="1:4" x14ac:dyDescent="0.25">
      <c r="A114" s="453"/>
      <c r="B114" s="451"/>
      <c r="C114" s="452"/>
      <c r="D114" s="452"/>
    </row>
    <row r="115" spans="1:4" x14ac:dyDescent="0.25">
      <c r="A115" s="453"/>
      <c r="B115" s="451"/>
      <c r="C115" s="452"/>
      <c r="D115" s="452"/>
    </row>
    <row r="116" spans="1:4" x14ac:dyDescent="0.25">
      <c r="A116" s="453"/>
      <c r="B116" s="451"/>
      <c r="C116" s="452"/>
      <c r="D116" s="452"/>
    </row>
    <row r="117" spans="1:4" x14ac:dyDescent="0.25">
      <c r="A117" s="453"/>
      <c r="B117" s="451"/>
      <c r="C117" s="452"/>
      <c r="D117" s="452"/>
    </row>
    <row r="118" spans="1:4" x14ac:dyDescent="0.25">
      <c r="A118" s="453"/>
      <c r="B118" s="451"/>
      <c r="C118" s="452"/>
      <c r="D118" s="452"/>
    </row>
    <row r="119" spans="1:4" x14ac:dyDescent="0.25">
      <c r="A119" s="453"/>
      <c r="B119" s="451"/>
      <c r="C119" s="452"/>
      <c r="D119" s="452"/>
    </row>
    <row r="120" spans="1:4" x14ac:dyDescent="0.25">
      <c r="A120" s="453"/>
      <c r="B120" s="451"/>
      <c r="C120" s="452"/>
      <c r="D120" s="452"/>
    </row>
    <row r="121" spans="1:4" x14ac:dyDescent="0.25">
      <c r="A121" s="453"/>
      <c r="B121" s="451"/>
      <c r="C121" s="452"/>
      <c r="D121" s="452"/>
    </row>
    <row r="122" spans="1:4" x14ac:dyDescent="0.25">
      <c r="A122" s="453"/>
      <c r="B122" s="451"/>
      <c r="C122" s="452"/>
      <c r="D122" s="452"/>
    </row>
    <row r="123" spans="1:4" x14ac:dyDescent="0.25">
      <c r="A123" s="453"/>
      <c r="B123" s="451"/>
      <c r="C123" s="452"/>
      <c r="D123" s="452"/>
    </row>
    <row r="124" spans="1:4" x14ac:dyDescent="0.25">
      <c r="A124" s="453"/>
      <c r="B124" s="451"/>
      <c r="C124" s="452"/>
      <c r="D124" s="452"/>
    </row>
    <row r="125" spans="1:4" x14ac:dyDescent="0.25">
      <c r="A125" s="453"/>
      <c r="B125" s="451"/>
      <c r="C125" s="452"/>
      <c r="D125" s="452"/>
    </row>
    <row r="126" spans="1:4" x14ac:dyDescent="0.25">
      <c r="A126" s="453"/>
      <c r="B126" s="451"/>
      <c r="C126" s="452"/>
      <c r="D126" s="452"/>
    </row>
    <row r="127" spans="1:4" x14ac:dyDescent="0.25">
      <c r="A127" s="453"/>
      <c r="B127" s="451"/>
      <c r="C127" s="452"/>
      <c r="D127" s="452"/>
    </row>
    <row r="128" spans="1:4" x14ac:dyDescent="0.25">
      <c r="A128" s="453"/>
      <c r="B128" s="451"/>
      <c r="C128" s="452"/>
      <c r="D128" s="452"/>
    </row>
    <row r="129" spans="1:4" x14ac:dyDescent="0.25">
      <c r="A129" s="453"/>
      <c r="B129" s="451"/>
      <c r="C129" s="452"/>
      <c r="D129" s="452"/>
    </row>
    <row r="130" spans="1:4" x14ac:dyDescent="0.25">
      <c r="A130" s="453"/>
      <c r="B130" s="451"/>
      <c r="C130" s="452"/>
      <c r="D130" s="452"/>
    </row>
    <row r="131" spans="1:4" x14ac:dyDescent="0.25">
      <c r="A131" s="453"/>
      <c r="B131" s="451"/>
      <c r="C131" s="452"/>
      <c r="D131" s="452"/>
    </row>
    <row r="132" spans="1:4" x14ac:dyDescent="0.25">
      <c r="A132" s="453"/>
      <c r="B132" s="451"/>
      <c r="C132" s="452"/>
      <c r="D132" s="452"/>
    </row>
    <row r="133" spans="1:4" x14ac:dyDescent="0.25">
      <c r="A133" s="453"/>
      <c r="B133" s="451"/>
      <c r="C133" s="452"/>
      <c r="D133" s="452"/>
    </row>
    <row r="134" spans="1:4" x14ac:dyDescent="0.25">
      <c r="A134" s="453"/>
      <c r="B134" s="451"/>
      <c r="C134" s="452"/>
      <c r="D134" s="452"/>
    </row>
    <row r="135" spans="1:4" x14ac:dyDescent="0.25">
      <c r="A135" s="453"/>
      <c r="B135" s="451"/>
      <c r="C135" s="452"/>
      <c r="D135" s="452"/>
    </row>
    <row r="136" spans="1:4" x14ac:dyDescent="0.25">
      <c r="A136" s="453"/>
      <c r="B136" s="451"/>
      <c r="C136" s="452"/>
      <c r="D136" s="452"/>
    </row>
    <row r="137" spans="1:4" x14ac:dyDescent="0.25">
      <c r="A137" s="453"/>
      <c r="B137" s="451"/>
      <c r="C137" s="452"/>
      <c r="D137" s="452"/>
    </row>
    <row r="138" spans="1:4" x14ac:dyDescent="0.25">
      <c r="A138" s="453"/>
      <c r="B138" s="451"/>
      <c r="C138" s="452"/>
      <c r="D138" s="452"/>
    </row>
    <row r="139" spans="1:4" x14ac:dyDescent="0.25">
      <c r="A139" s="453"/>
      <c r="B139" s="451"/>
      <c r="C139" s="452"/>
      <c r="D139" s="452"/>
    </row>
    <row r="140" spans="1:4" x14ac:dyDescent="0.25">
      <c r="A140" s="453"/>
      <c r="B140" s="451"/>
      <c r="C140" s="452"/>
      <c r="D140" s="452"/>
    </row>
    <row r="141" spans="1:4" x14ac:dyDescent="0.25">
      <c r="A141" s="453"/>
      <c r="B141" s="451"/>
      <c r="C141" s="452"/>
      <c r="D141" s="452"/>
    </row>
    <row r="142" spans="1:4" x14ac:dyDescent="0.25">
      <c r="A142" s="453"/>
      <c r="B142" s="451"/>
      <c r="C142" s="452"/>
      <c r="D142" s="452"/>
    </row>
    <row r="143" spans="1:4" x14ac:dyDescent="0.25">
      <c r="A143" s="453"/>
      <c r="B143" s="451"/>
      <c r="C143" s="452"/>
      <c r="D143" s="452"/>
    </row>
    <row r="144" spans="1:4" x14ac:dyDescent="0.25">
      <c r="A144" s="453"/>
      <c r="B144" s="451"/>
      <c r="C144" s="452"/>
      <c r="D144" s="452"/>
    </row>
    <row r="145" spans="1:4" x14ac:dyDescent="0.25">
      <c r="A145" s="453"/>
      <c r="B145" s="451"/>
      <c r="C145" s="452"/>
      <c r="D145" s="452"/>
    </row>
    <row r="146" spans="1:4" x14ac:dyDescent="0.25">
      <c r="A146" s="453"/>
      <c r="B146" s="451"/>
      <c r="C146" s="452"/>
      <c r="D146" s="452"/>
    </row>
    <row r="147" spans="1:4" x14ac:dyDescent="0.25">
      <c r="A147" s="453"/>
      <c r="B147" s="451"/>
      <c r="C147" s="452"/>
      <c r="D147" s="452"/>
    </row>
    <row r="148" spans="1:4" x14ac:dyDescent="0.25">
      <c r="A148" s="453"/>
      <c r="B148" s="451"/>
      <c r="C148" s="452"/>
      <c r="D148" s="452"/>
    </row>
    <row r="149" spans="1:4" x14ac:dyDescent="0.25">
      <c r="A149" s="453"/>
      <c r="B149" s="451"/>
      <c r="C149" s="452"/>
      <c r="D149" s="452"/>
    </row>
    <row r="150" spans="1:4" x14ac:dyDescent="0.25">
      <c r="A150" s="453"/>
      <c r="B150" s="451"/>
      <c r="C150" s="452"/>
      <c r="D150" s="452"/>
    </row>
    <row r="151" spans="1:4" x14ac:dyDescent="0.25">
      <c r="A151" s="453"/>
      <c r="B151" s="451"/>
      <c r="C151" s="452"/>
      <c r="D151" s="452"/>
    </row>
    <row r="152" spans="1:4" x14ac:dyDescent="0.25">
      <c r="A152" s="453"/>
      <c r="B152" s="451"/>
      <c r="C152" s="452"/>
      <c r="D152" s="452"/>
    </row>
    <row r="153" spans="1:4" x14ac:dyDescent="0.25">
      <c r="A153" s="453"/>
      <c r="B153" s="451"/>
      <c r="C153" s="452"/>
      <c r="D153" s="452"/>
    </row>
    <row r="154" spans="1:4" x14ac:dyDescent="0.25">
      <c r="A154" s="453"/>
      <c r="B154" s="451"/>
      <c r="C154" s="452"/>
      <c r="D154" s="452"/>
    </row>
    <row r="155" spans="1:4" x14ac:dyDescent="0.25">
      <c r="A155" s="453"/>
      <c r="B155" s="451"/>
      <c r="C155" s="452"/>
      <c r="D155" s="452"/>
    </row>
    <row r="156" spans="1:4" x14ac:dyDescent="0.25">
      <c r="A156" s="453"/>
      <c r="B156" s="451"/>
      <c r="C156" s="452"/>
      <c r="D156" s="452"/>
    </row>
    <row r="157" spans="1:4" x14ac:dyDescent="0.25">
      <c r="A157" s="453"/>
      <c r="B157" s="451"/>
      <c r="C157" s="452"/>
      <c r="D157" s="452"/>
    </row>
    <row r="158" spans="1:4" x14ac:dyDescent="0.25">
      <c r="A158" s="453"/>
      <c r="B158" s="451"/>
      <c r="C158" s="452"/>
      <c r="D158" s="452"/>
    </row>
    <row r="159" spans="1:4" x14ac:dyDescent="0.25">
      <c r="A159" s="453"/>
      <c r="B159" s="451"/>
      <c r="C159" s="452"/>
      <c r="D159" s="452"/>
    </row>
    <row r="160" spans="1:4" x14ac:dyDescent="0.25">
      <c r="A160" s="453"/>
      <c r="B160" s="451"/>
      <c r="C160" s="452"/>
      <c r="D160" s="452"/>
    </row>
    <row r="161" spans="1:4" x14ac:dyDescent="0.25">
      <c r="A161" s="453"/>
      <c r="B161" s="451"/>
      <c r="C161" s="452"/>
      <c r="D161" s="452"/>
    </row>
    <row r="162" spans="1:4" x14ac:dyDescent="0.25">
      <c r="A162" s="453"/>
      <c r="B162" s="451"/>
      <c r="C162" s="452"/>
      <c r="D162" s="452"/>
    </row>
    <row r="163" spans="1:4" x14ac:dyDescent="0.25">
      <c r="A163" s="453"/>
      <c r="B163" s="451"/>
      <c r="C163" s="452"/>
      <c r="D163" s="452"/>
    </row>
    <row r="164" spans="1:4" x14ac:dyDescent="0.25">
      <c r="A164" s="453"/>
      <c r="B164" s="451"/>
      <c r="C164" s="452"/>
      <c r="D164" s="452"/>
    </row>
    <row r="165" spans="1:4" x14ac:dyDescent="0.25">
      <c r="A165" s="453"/>
      <c r="B165" s="451"/>
      <c r="C165" s="452"/>
      <c r="D165" s="452"/>
    </row>
    <row r="166" spans="1:4" x14ac:dyDescent="0.25">
      <c r="A166" s="453"/>
      <c r="B166" s="451"/>
      <c r="C166" s="452"/>
      <c r="D166" s="452"/>
    </row>
    <row r="167" spans="1:4" x14ac:dyDescent="0.25">
      <c r="A167" s="453"/>
      <c r="B167" s="451"/>
      <c r="C167" s="452"/>
      <c r="D167" s="452"/>
    </row>
    <row r="168" spans="1:4" x14ac:dyDescent="0.25">
      <c r="A168" s="453"/>
      <c r="B168" s="451"/>
      <c r="C168" s="452"/>
      <c r="D168" s="452"/>
    </row>
    <row r="169" spans="1:4" x14ac:dyDescent="0.25">
      <c r="A169" s="453"/>
      <c r="B169" s="451"/>
      <c r="C169" s="452"/>
      <c r="D169" s="452"/>
    </row>
    <row r="170" spans="1:4" x14ac:dyDescent="0.25">
      <c r="A170" s="453"/>
      <c r="B170" s="451"/>
      <c r="C170" s="452"/>
      <c r="D170" s="452"/>
    </row>
    <row r="171" spans="1:4" x14ac:dyDescent="0.25">
      <c r="A171" s="453"/>
      <c r="B171" s="451"/>
      <c r="C171" s="452"/>
      <c r="D171" s="452"/>
    </row>
    <row r="172" spans="1:4" x14ac:dyDescent="0.25">
      <c r="A172" s="453"/>
      <c r="B172" s="451"/>
      <c r="C172" s="452"/>
      <c r="D172" s="452"/>
    </row>
    <row r="173" spans="1:4" x14ac:dyDescent="0.25">
      <c r="A173" s="453"/>
      <c r="B173" s="451"/>
      <c r="C173" s="452"/>
      <c r="D173" s="452"/>
    </row>
    <row r="174" spans="1:4" x14ac:dyDescent="0.25">
      <c r="A174" s="453"/>
      <c r="B174" s="451"/>
      <c r="C174" s="452"/>
      <c r="D174" s="452"/>
    </row>
    <row r="175" spans="1:4" x14ac:dyDescent="0.25">
      <c r="A175" s="453"/>
      <c r="B175" s="451"/>
      <c r="C175" s="452"/>
      <c r="D175" s="452"/>
    </row>
    <row r="176" spans="1:4" x14ac:dyDescent="0.25">
      <c r="A176" s="453"/>
      <c r="B176" s="451"/>
      <c r="C176" s="452"/>
      <c r="D176" s="452"/>
    </row>
    <row r="177" spans="1:4" x14ac:dyDescent="0.25">
      <c r="A177" s="453"/>
      <c r="B177" s="451"/>
      <c r="C177" s="452"/>
      <c r="D177" s="452"/>
    </row>
    <row r="178" spans="1:4" x14ac:dyDescent="0.25">
      <c r="A178" s="453"/>
      <c r="B178" s="451"/>
      <c r="C178" s="452"/>
      <c r="D178" s="452"/>
    </row>
    <row r="179" spans="1:4" x14ac:dyDescent="0.25">
      <c r="A179" s="453"/>
      <c r="B179" s="451"/>
      <c r="C179" s="452"/>
      <c r="D179" s="452"/>
    </row>
    <row r="180" spans="1:4" x14ac:dyDescent="0.25">
      <c r="A180" s="453"/>
      <c r="B180" s="451"/>
      <c r="C180" s="452"/>
      <c r="D180" s="452"/>
    </row>
    <row r="181" spans="1:4" x14ac:dyDescent="0.25">
      <c r="A181" s="453"/>
      <c r="B181" s="451"/>
      <c r="C181" s="452"/>
      <c r="D181" s="452"/>
    </row>
    <row r="182" spans="1:4" x14ac:dyDescent="0.25">
      <c r="A182" s="453"/>
      <c r="B182" s="451"/>
      <c r="C182" s="452"/>
      <c r="D182" s="452"/>
    </row>
    <row r="183" spans="1:4" x14ac:dyDescent="0.25">
      <c r="A183" s="453"/>
      <c r="B183" s="451"/>
      <c r="C183" s="452"/>
      <c r="D183" s="452"/>
    </row>
    <row r="184" spans="1:4" x14ac:dyDescent="0.25">
      <c r="A184" s="453"/>
      <c r="B184" s="451"/>
      <c r="C184" s="452"/>
      <c r="D184" s="452"/>
    </row>
    <row r="185" spans="1:4" x14ac:dyDescent="0.25">
      <c r="A185" s="453"/>
      <c r="B185" s="451"/>
      <c r="C185" s="452"/>
      <c r="D185" s="452"/>
    </row>
    <row r="186" spans="1:4" x14ac:dyDescent="0.25">
      <c r="A186" s="453"/>
      <c r="B186" s="451"/>
      <c r="C186" s="452"/>
      <c r="D186" s="452"/>
    </row>
    <row r="187" spans="1:4" x14ac:dyDescent="0.25">
      <c r="A187" s="453"/>
      <c r="B187" s="451"/>
      <c r="C187" s="452"/>
      <c r="D187" s="452"/>
    </row>
    <row r="188" spans="1:4" x14ac:dyDescent="0.25">
      <c r="A188" s="453"/>
      <c r="B188" s="451"/>
      <c r="C188" s="452"/>
      <c r="D188" s="452"/>
    </row>
    <row r="189" spans="1:4" x14ac:dyDescent="0.25">
      <c r="A189" s="453"/>
      <c r="B189" s="451"/>
      <c r="C189" s="452"/>
      <c r="D189" s="452"/>
    </row>
    <row r="190" spans="1:4" x14ac:dyDescent="0.25">
      <c r="A190" s="453"/>
      <c r="B190" s="451"/>
      <c r="C190" s="452"/>
      <c r="D190" s="452"/>
    </row>
    <row r="191" spans="1:4" x14ac:dyDescent="0.25">
      <c r="A191" s="453"/>
      <c r="B191" s="451"/>
      <c r="C191" s="452"/>
      <c r="D191" s="452"/>
    </row>
    <row r="192" spans="1:4" x14ac:dyDescent="0.25">
      <c r="A192" s="453"/>
      <c r="B192" s="451"/>
      <c r="C192" s="452"/>
      <c r="D192" s="452"/>
    </row>
    <row r="193" spans="1:4" x14ac:dyDescent="0.25">
      <c r="A193" s="453"/>
      <c r="B193" s="451"/>
      <c r="C193" s="452"/>
      <c r="D193" s="452"/>
    </row>
    <row r="194" spans="1:4" x14ac:dyDescent="0.25">
      <c r="A194" s="453"/>
      <c r="B194" s="451"/>
      <c r="C194" s="452"/>
      <c r="D194" s="452"/>
    </row>
    <row r="195" spans="1:4" x14ac:dyDescent="0.25">
      <c r="A195" s="453"/>
      <c r="B195" s="451"/>
      <c r="C195" s="452"/>
      <c r="D195" s="452"/>
    </row>
    <row r="196" spans="1:4" x14ac:dyDescent="0.25">
      <c r="A196" s="453"/>
      <c r="B196" s="451"/>
      <c r="C196" s="452"/>
      <c r="D196" s="452"/>
    </row>
    <row r="197" spans="1:4" x14ac:dyDescent="0.25">
      <c r="A197" s="453"/>
      <c r="B197" s="451"/>
      <c r="C197" s="452"/>
      <c r="D197" s="452"/>
    </row>
    <row r="198" spans="1:4" x14ac:dyDescent="0.25">
      <c r="A198" s="453"/>
      <c r="B198" s="451"/>
      <c r="C198" s="452"/>
      <c r="D198" s="452"/>
    </row>
    <row r="199" spans="1:4" x14ac:dyDescent="0.25">
      <c r="A199" s="453"/>
      <c r="B199" s="451"/>
      <c r="C199" s="452"/>
      <c r="D199" s="452"/>
    </row>
    <row r="200" spans="1:4" x14ac:dyDescent="0.25">
      <c r="A200" s="453"/>
      <c r="B200" s="451"/>
      <c r="C200" s="452"/>
      <c r="D200" s="452"/>
    </row>
    <row r="201" spans="1:4" x14ac:dyDescent="0.25">
      <c r="A201" s="453"/>
      <c r="B201" s="451"/>
      <c r="C201" s="452"/>
      <c r="D201" s="452"/>
    </row>
    <row r="202" spans="1:4" x14ac:dyDescent="0.25">
      <c r="A202" s="453"/>
      <c r="B202" s="451"/>
      <c r="C202" s="452"/>
      <c r="D202" s="452"/>
    </row>
    <row r="203" spans="1:4" x14ac:dyDescent="0.25">
      <c r="A203" s="453"/>
      <c r="B203" s="451"/>
      <c r="C203" s="452"/>
      <c r="D203" s="452"/>
    </row>
    <row r="204" spans="1:4" x14ac:dyDescent="0.25">
      <c r="A204" s="453"/>
      <c r="B204" s="451"/>
      <c r="C204" s="452"/>
      <c r="D204" s="452"/>
    </row>
    <row r="205" spans="1:4" x14ac:dyDescent="0.25">
      <c r="A205" s="453"/>
      <c r="B205" s="451"/>
      <c r="C205" s="452"/>
      <c r="D205" s="452"/>
    </row>
    <row r="206" spans="1:4" x14ac:dyDescent="0.25">
      <c r="A206" s="453"/>
      <c r="B206" s="451"/>
      <c r="C206" s="452"/>
      <c r="D206" s="452"/>
    </row>
    <row r="207" spans="1:4" x14ac:dyDescent="0.25">
      <c r="A207" s="453"/>
      <c r="B207" s="451"/>
      <c r="C207" s="452"/>
      <c r="D207" s="452"/>
    </row>
    <row r="208" spans="1:4" x14ac:dyDescent="0.25">
      <c r="A208" s="453"/>
      <c r="B208" s="451"/>
      <c r="C208" s="452"/>
      <c r="D208" s="452"/>
    </row>
    <row r="209" spans="1:4" x14ac:dyDescent="0.25">
      <c r="A209" s="453"/>
      <c r="B209" s="451"/>
      <c r="C209" s="452"/>
      <c r="D209" s="452"/>
    </row>
    <row r="210" spans="1:4" x14ac:dyDescent="0.25">
      <c r="A210" s="453"/>
      <c r="B210" s="451"/>
      <c r="C210" s="452"/>
      <c r="D210" s="452"/>
    </row>
    <row r="211" spans="1:4" x14ac:dyDescent="0.25">
      <c r="A211" s="453"/>
      <c r="B211" s="451"/>
      <c r="C211" s="452"/>
      <c r="D211" s="452"/>
    </row>
    <row r="212" spans="1:4" x14ac:dyDescent="0.25">
      <c r="A212" s="453"/>
      <c r="B212" s="451"/>
      <c r="C212" s="452"/>
      <c r="D212" s="452"/>
    </row>
    <row r="213" spans="1:4" x14ac:dyDescent="0.25">
      <c r="A213" s="453"/>
      <c r="B213" s="451"/>
      <c r="C213" s="452"/>
      <c r="D213" s="452"/>
    </row>
    <row r="214" spans="1:4" x14ac:dyDescent="0.25">
      <c r="A214" s="453"/>
      <c r="B214" s="451"/>
      <c r="C214" s="452"/>
      <c r="D214" s="452"/>
    </row>
    <row r="215" spans="1:4" x14ac:dyDescent="0.25">
      <c r="A215" s="453"/>
      <c r="B215" s="451"/>
      <c r="C215" s="452"/>
      <c r="D215" s="452"/>
    </row>
    <row r="216" spans="1:4" x14ac:dyDescent="0.25">
      <c r="A216" s="453"/>
      <c r="B216" s="451"/>
      <c r="C216" s="452"/>
      <c r="D216" s="452"/>
    </row>
    <row r="217" spans="1:4" x14ac:dyDescent="0.25">
      <c r="A217" s="453"/>
      <c r="B217" s="451"/>
      <c r="C217" s="452"/>
      <c r="D217" s="452"/>
    </row>
    <row r="218" spans="1:4" x14ac:dyDescent="0.25">
      <c r="A218" s="453"/>
      <c r="B218" s="451"/>
      <c r="C218" s="452"/>
      <c r="D218" s="452"/>
    </row>
    <row r="219" spans="1:4" x14ac:dyDescent="0.25">
      <c r="A219" s="453"/>
      <c r="B219" s="451"/>
      <c r="C219" s="452"/>
      <c r="D219" s="452"/>
    </row>
    <row r="220" spans="1:4" x14ac:dyDescent="0.25">
      <c r="A220" s="453"/>
      <c r="B220" s="451"/>
      <c r="C220" s="452"/>
      <c r="D220" s="452"/>
    </row>
    <row r="221" spans="1:4" x14ac:dyDescent="0.25">
      <c r="A221" s="453"/>
      <c r="B221" s="451"/>
      <c r="C221" s="452"/>
      <c r="D221" s="452"/>
    </row>
    <row r="222" spans="1:4" x14ac:dyDescent="0.25">
      <c r="A222" s="453"/>
      <c r="B222" s="451"/>
      <c r="C222" s="452"/>
      <c r="D222" s="452"/>
    </row>
    <row r="223" spans="1:4" x14ac:dyDescent="0.25">
      <c r="A223" s="453"/>
      <c r="B223" s="451"/>
      <c r="C223" s="452"/>
      <c r="D223" s="452"/>
    </row>
    <row r="224" spans="1:4" x14ac:dyDescent="0.25">
      <c r="A224" s="453"/>
      <c r="B224" s="451"/>
      <c r="C224" s="452"/>
      <c r="D224" s="452"/>
    </row>
    <row r="225" spans="1:4" x14ac:dyDescent="0.25">
      <c r="A225" s="453"/>
      <c r="B225" s="451"/>
      <c r="C225" s="452"/>
      <c r="D225" s="452"/>
    </row>
    <row r="226" spans="1:4" x14ac:dyDescent="0.25">
      <c r="A226" s="453"/>
      <c r="B226" s="451"/>
      <c r="C226" s="452"/>
      <c r="D226" s="452"/>
    </row>
    <row r="227" spans="1:4" x14ac:dyDescent="0.25">
      <c r="A227" s="453"/>
      <c r="B227" s="451"/>
      <c r="C227" s="452"/>
      <c r="D227" s="452"/>
    </row>
    <row r="228" spans="1:4" x14ac:dyDescent="0.25">
      <c r="A228" s="453"/>
      <c r="B228" s="451"/>
      <c r="C228" s="452"/>
      <c r="D228" s="452"/>
    </row>
    <row r="229" spans="1:4" x14ac:dyDescent="0.25">
      <c r="A229" s="453"/>
      <c r="B229" s="451"/>
      <c r="C229" s="452"/>
      <c r="D229" s="452"/>
    </row>
    <row r="230" spans="1:4" x14ac:dyDescent="0.25">
      <c r="A230" s="453"/>
      <c r="B230" s="451"/>
      <c r="C230" s="452"/>
      <c r="D230" s="452"/>
    </row>
    <row r="231" spans="1:4" x14ac:dyDescent="0.25">
      <c r="A231" s="453"/>
      <c r="B231" s="451"/>
      <c r="C231" s="452"/>
      <c r="D231" s="452"/>
    </row>
    <row r="232" spans="1:4" x14ac:dyDescent="0.25">
      <c r="A232" s="453"/>
      <c r="B232" s="451"/>
      <c r="C232" s="452"/>
      <c r="D232" s="452"/>
    </row>
    <row r="233" spans="1:4" x14ac:dyDescent="0.25">
      <c r="A233" s="453"/>
      <c r="B233" s="451"/>
      <c r="C233" s="452"/>
      <c r="D233" s="452"/>
    </row>
    <row r="234" spans="1:4" x14ac:dyDescent="0.25">
      <c r="A234" s="453"/>
      <c r="B234" s="451"/>
      <c r="C234" s="452"/>
      <c r="D234" s="452"/>
    </row>
    <row r="235" spans="1:4" x14ac:dyDescent="0.25">
      <c r="A235" s="453"/>
      <c r="B235" s="451"/>
      <c r="C235" s="452"/>
      <c r="D235" s="452"/>
    </row>
    <row r="236" spans="1:4" x14ac:dyDescent="0.25">
      <c r="A236" s="453"/>
      <c r="B236" s="451"/>
      <c r="C236" s="452"/>
      <c r="D236" s="452"/>
    </row>
    <row r="237" spans="1:4" x14ac:dyDescent="0.25">
      <c r="A237" s="453"/>
      <c r="B237" s="451"/>
      <c r="C237" s="452"/>
      <c r="D237" s="452"/>
    </row>
    <row r="238" spans="1:4" x14ac:dyDescent="0.25">
      <c r="A238" s="453"/>
      <c r="B238" s="451"/>
      <c r="C238" s="452"/>
      <c r="D238" s="452"/>
    </row>
    <row r="239" spans="1:4" x14ac:dyDescent="0.25">
      <c r="A239" s="453"/>
      <c r="B239" s="451"/>
      <c r="C239" s="452"/>
      <c r="D239" s="452"/>
    </row>
    <row r="240" spans="1:4" x14ac:dyDescent="0.25">
      <c r="A240" s="453"/>
      <c r="B240" s="451"/>
      <c r="C240" s="452"/>
      <c r="D240" s="452"/>
    </row>
    <row r="241" spans="1:4" x14ac:dyDescent="0.25">
      <c r="A241" s="453"/>
      <c r="B241" s="451"/>
      <c r="C241" s="452"/>
      <c r="D241" s="452"/>
    </row>
    <row r="242" spans="1:4" x14ac:dyDescent="0.25">
      <c r="A242" s="453"/>
      <c r="B242" s="451"/>
      <c r="C242" s="452"/>
      <c r="D242" s="452"/>
    </row>
    <row r="243" spans="1:4" x14ac:dyDescent="0.25">
      <c r="A243" s="453"/>
      <c r="B243" s="451"/>
      <c r="C243" s="452"/>
      <c r="D243" s="452"/>
    </row>
    <row r="244" spans="1:4" x14ac:dyDescent="0.25">
      <c r="A244" s="453"/>
      <c r="B244" s="451"/>
      <c r="C244" s="452"/>
      <c r="D244" s="452"/>
    </row>
    <row r="245" spans="1:4" x14ac:dyDescent="0.25">
      <c r="A245" s="453"/>
      <c r="B245" s="451"/>
      <c r="C245" s="452"/>
      <c r="D245" s="452"/>
    </row>
    <row r="246" spans="1:4" x14ac:dyDescent="0.25">
      <c r="A246" s="453"/>
      <c r="B246" s="451"/>
      <c r="C246" s="452"/>
      <c r="D246" s="452"/>
    </row>
    <row r="247" spans="1:4" x14ac:dyDescent="0.25">
      <c r="A247" s="453"/>
      <c r="B247" s="451"/>
      <c r="C247" s="452"/>
      <c r="D247" s="452"/>
    </row>
    <row r="248" spans="1:4" x14ac:dyDescent="0.25">
      <c r="A248" s="453"/>
      <c r="B248" s="451"/>
      <c r="C248" s="452"/>
      <c r="D248" s="452"/>
    </row>
    <row r="249" spans="1:4" x14ac:dyDescent="0.25">
      <c r="A249" s="453"/>
      <c r="B249" s="451"/>
      <c r="C249" s="452"/>
      <c r="D249" s="452"/>
    </row>
    <row r="250" spans="1:4" x14ac:dyDescent="0.25">
      <c r="A250" s="453"/>
      <c r="B250" s="451"/>
      <c r="C250" s="452"/>
      <c r="D250" s="452"/>
    </row>
    <row r="251" spans="1:4" x14ac:dyDescent="0.25">
      <c r="A251" s="453"/>
      <c r="B251" s="451"/>
      <c r="C251" s="452"/>
      <c r="D251" s="452"/>
    </row>
    <row r="252" spans="1:4" x14ac:dyDescent="0.25">
      <c r="A252" s="453"/>
      <c r="B252" s="451"/>
      <c r="C252" s="452"/>
      <c r="D252" s="452"/>
    </row>
    <row r="253" spans="1:4" x14ac:dyDescent="0.25">
      <c r="A253" s="453"/>
      <c r="B253" s="451"/>
      <c r="C253" s="452"/>
      <c r="D253" s="452"/>
    </row>
    <row r="254" spans="1:4" x14ac:dyDescent="0.25">
      <c r="A254" s="453"/>
      <c r="B254" s="451"/>
      <c r="C254" s="452"/>
      <c r="D254" s="452"/>
    </row>
    <row r="255" spans="1:4" x14ac:dyDescent="0.25">
      <c r="A255" s="453"/>
      <c r="B255" s="451"/>
      <c r="C255" s="452"/>
      <c r="D255" s="452"/>
    </row>
    <row r="256" spans="1:4" x14ac:dyDescent="0.25">
      <c r="A256" s="453"/>
      <c r="B256" s="451"/>
      <c r="C256" s="452"/>
      <c r="D256" s="452"/>
    </row>
    <row r="257" spans="1:4" x14ac:dyDescent="0.25">
      <c r="A257" s="453"/>
      <c r="B257" s="451"/>
      <c r="C257" s="452"/>
      <c r="D257" s="452"/>
    </row>
    <row r="258" spans="1:4" x14ac:dyDescent="0.25">
      <c r="A258" s="453"/>
      <c r="B258" s="451"/>
      <c r="C258" s="452"/>
      <c r="D258" s="452"/>
    </row>
    <row r="259" spans="1:4" x14ac:dyDescent="0.25">
      <c r="A259" s="453"/>
      <c r="B259" s="451"/>
      <c r="C259" s="452"/>
      <c r="D259" s="452"/>
    </row>
    <row r="260" spans="1:4" x14ac:dyDescent="0.25">
      <c r="A260" s="453"/>
      <c r="B260" s="451"/>
      <c r="C260" s="452"/>
      <c r="D260" s="452"/>
    </row>
    <row r="261" spans="1:4" x14ac:dyDescent="0.25">
      <c r="A261" s="453"/>
      <c r="B261" s="451"/>
      <c r="C261" s="452"/>
      <c r="D261" s="452"/>
    </row>
    <row r="262" spans="1:4" x14ac:dyDescent="0.25">
      <c r="A262" s="453"/>
      <c r="B262" s="451"/>
      <c r="C262" s="452"/>
      <c r="D262" s="452"/>
    </row>
    <row r="263" spans="1:4" x14ac:dyDescent="0.25">
      <c r="A263" s="453"/>
      <c r="B263" s="451"/>
      <c r="C263" s="452"/>
      <c r="D263" s="452"/>
    </row>
    <row r="264" spans="1:4" x14ac:dyDescent="0.25">
      <c r="A264" s="453"/>
      <c r="B264" s="451"/>
      <c r="C264" s="452"/>
      <c r="D264" s="452"/>
    </row>
    <row r="265" spans="1:4" x14ac:dyDescent="0.25">
      <c r="A265" s="453"/>
      <c r="B265" s="451"/>
      <c r="C265" s="452"/>
      <c r="D265" s="452"/>
    </row>
    <row r="266" spans="1:4" x14ac:dyDescent="0.25">
      <c r="A266" s="453"/>
      <c r="B266" s="451"/>
      <c r="C266" s="452"/>
      <c r="D266" s="452"/>
    </row>
    <row r="267" spans="1:4" x14ac:dyDescent="0.25">
      <c r="A267" s="453"/>
      <c r="B267" s="451"/>
      <c r="C267" s="452"/>
      <c r="D267" s="452"/>
    </row>
    <row r="268" spans="1:4" x14ac:dyDescent="0.25">
      <c r="A268" s="453"/>
      <c r="B268" s="451"/>
      <c r="C268" s="452"/>
      <c r="D268" s="452"/>
    </row>
    <row r="269" spans="1:4" x14ac:dyDescent="0.25">
      <c r="A269" s="453"/>
      <c r="B269" s="451"/>
      <c r="C269" s="452"/>
      <c r="D269" s="452"/>
    </row>
    <row r="270" spans="1:4" x14ac:dyDescent="0.25">
      <c r="A270" s="453"/>
      <c r="B270" s="451"/>
      <c r="C270" s="452"/>
      <c r="D270" s="452"/>
    </row>
    <row r="271" spans="1:4" x14ac:dyDescent="0.25">
      <c r="A271" s="453"/>
      <c r="B271" s="451"/>
      <c r="C271" s="452"/>
      <c r="D271" s="452"/>
    </row>
    <row r="272" spans="1:4" x14ac:dyDescent="0.25">
      <c r="A272" s="453"/>
      <c r="B272" s="451"/>
      <c r="C272" s="452"/>
      <c r="D272" s="452"/>
    </row>
    <row r="273" spans="1:4" x14ac:dyDescent="0.25">
      <c r="A273" s="453"/>
      <c r="B273" s="451"/>
      <c r="C273" s="452"/>
      <c r="D273" s="452"/>
    </row>
    <row r="274" spans="1:4" x14ac:dyDescent="0.25">
      <c r="A274" s="453"/>
      <c r="B274" s="451"/>
      <c r="C274" s="452"/>
      <c r="D274" s="452"/>
    </row>
    <row r="275" spans="1:4" x14ac:dyDescent="0.25">
      <c r="A275" s="453"/>
      <c r="B275" s="451"/>
      <c r="C275" s="452"/>
      <c r="D275" s="452"/>
    </row>
    <row r="276" spans="1:4" x14ac:dyDescent="0.25">
      <c r="A276" s="453"/>
      <c r="B276" s="451"/>
      <c r="C276" s="452"/>
      <c r="D276" s="452"/>
    </row>
    <row r="277" spans="1:4" x14ac:dyDescent="0.25">
      <c r="A277" s="453"/>
      <c r="B277" s="451"/>
      <c r="C277" s="452"/>
      <c r="D277" s="452"/>
    </row>
    <row r="278" spans="1:4" x14ac:dyDescent="0.25">
      <c r="A278" s="453"/>
      <c r="B278" s="451"/>
      <c r="C278" s="452"/>
      <c r="D278" s="452"/>
    </row>
    <row r="279" spans="1:4" x14ac:dyDescent="0.25">
      <c r="A279" s="453"/>
      <c r="B279" s="451"/>
      <c r="C279" s="452"/>
      <c r="D279" s="452"/>
    </row>
    <row r="280" spans="1:4" x14ac:dyDescent="0.25">
      <c r="A280" s="453"/>
      <c r="B280" s="451"/>
      <c r="C280" s="452"/>
      <c r="D280" s="452"/>
    </row>
    <row r="281" spans="1:4" x14ac:dyDescent="0.25">
      <c r="A281" s="453"/>
      <c r="B281" s="451"/>
      <c r="C281" s="452"/>
      <c r="D281" s="452"/>
    </row>
    <row r="282" spans="1:4" x14ac:dyDescent="0.25">
      <c r="A282" s="453"/>
      <c r="B282" s="451"/>
      <c r="C282" s="452"/>
      <c r="D282" s="452"/>
    </row>
    <row r="283" spans="1:4" x14ac:dyDescent="0.25">
      <c r="A283" s="453"/>
      <c r="B283" s="451"/>
      <c r="C283" s="452"/>
      <c r="D283" s="452"/>
    </row>
    <row r="284" spans="1:4" x14ac:dyDescent="0.25">
      <c r="A284" s="453"/>
      <c r="B284" s="451"/>
      <c r="C284" s="452"/>
      <c r="D284" s="452"/>
    </row>
    <row r="285" spans="1:4" x14ac:dyDescent="0.25">
      <c r="A285" s="453"/>
      <c r="B285" s="451"/>
      <c r="C285" s="452"/>
      <c r="D285" s="452"/>
    </row>
    <row r="286" spans="1:4" x14ac:dyDescent="0.25">
      <c r="A286" s="453"/>
      <c r="B286" s="451"/>
      <c r="C286" s="452"/>
      <c r="D286" s="452"/>
    </row>
    <row r="287" spans="1:4" x14ac:dyDescent="0.25">
      <c r="A287" s="453"/>
      <c r="B287" s="451"/>
      <c r="C287" s="452"/>
      <c r="D287" s="452"/>
    </row>
    <row r="288" spans="1:4" x14ac:dyDescent="0.25">
      <c r="A288" s="453"/>
      <c r="B288" s="451"/>
      <c r="C288" s="452"/>
      <c r="D288" s="452"/>
    </row>
    <row r="289" spans="1:4" x14ac:dyDescent="0.25">
      <c r="A289" s="453"/>
      <c r="B289" s="451"/>
      <c r="C289" s="452"/>
      <c r="D289" s="452"/>
    </row>
    <row r="290" spans="1:4" x14ac:dyDescent="0.25">
      <c r="A290" s="453"/>
      <c r="B290" s="451"/>
      <c r="C290" s="452"/>
      <c r="D290" s="452"/>
    </row>
    <row r="291" spans="1:4" x14ac:dyDescent="0.25">
      <c r="A291" s="453"/>
      <c r="B291" s="451"/>
      <c r="C291" s="452"/>
      <c r="D291" s="452"/>
    </row>
    <row r="292" spans="1:4" x14ac:dyDescent="0.25">
      <c r="A292" s="453"/>
      <c r="B292" s="451"/>
      <c r="C292" s="452"/>
      <c r="D292" s="452"/>
    </row>
    <row r="293" spans="1:4" x14ac:dyDescent="0.25">
      <c r="A293" s="453"/>
      <c r="B293" s="451"/>
      <c r="C293" s="452"/>
      <c r="D293" s="452"/>
    </row>
    <row r="294" spans="1:4" x14ac:dyDescent="0.25">
      <c r="A294" s="453"/>
      <c r="B294" s="451"/>
      <c r="C294" s="452"/>
      <c r="D294" s="452"/>
    </row>
    <row r="295" spans="1:4" x14ac:dyDescent="0.25">
      <c r="A295" s="453"/>
      <c r="B295" s="451"/>
      <c r="C295" s="452"/>
      <c r="D295" s="452"/>
    </row>
    <row r="296" spans="1:4" x14ac:dyDescent="0.25">
      <c r="A296" s="453"/>
      <c r="B296" s="451"/>
      <c r="C296" s="452"/>
      <c r="D296" s="452"/>
    </row>
    <row r="297" spans="1:4" x14ac:dyDescent="0.25">
      <c r="A297" s="453"/>
      <c r="B297" s="451"/>
      <c r="C297" s="452"/>
      <c r="D297" s="452"/>
    </row>
    <row r="298" spans="1:4" x14ac:dyDescent="0.25">
      <c r="A298" s="453"/>
      <c r="B298" s="451"/>
      <c r="C298" s="452"/>
      <c r="D298" s="452"/>
    </row>
    <row r="299" spans="1:4" x14ac:dyDescent="0.25">
      <c r="A299" s="453"/>
      <c r="B299" s="451"/>
      <c r="C299" s="452"/>
      <c r="D299" s="452"/>
    </row>
    <row r="300" spans="1:4" x14ac:dyDescent="0.25">
      <c r="A300" s="453"/>
      <c r="B300" s="451"/>
      <c r="C300" s="452"/>
      <c r="D300" s="452"/>
    </row>
    <row r="301" spans="1:4" x14ac:dyDescent="0.25">
      <c r="A301" s="453"/>
      <c r="B301" s="451"/>
      <c r="C301" s="452"/>
      <c r="D301" s="452"/>
    </row>
    <row r="302" spans="1:4" x14ac:dyDescent="0.25">
      <c r="A302" s="453"/>
      <c r="B302" s="451"/>
      <c r="C302" s="452"/>
      <c r="D302" s="452"/>
    </row>
    <row r="303" spans="1:4" x14ac:dyDescent="0.25">
      <c r="A303" s="453"/>
      <c r="B303" s="451"/>
      <c r="C303" s="452"/>
      <c r="D303" s="452"/>
    </row>
    <row r="304" spans="1:4" x14ac:dyDescent="0.25">
      <c r="A304" s="453"/>
      <c r="B304" s="451"/>
      <c r="C304" s="452"/>
      <c r="D304" s="452"/>
    </row>
    <row r="305" spans="1:4" x14ac:dyDescent="0.25">
      <c r="A305" s="453"/>
      <c r="B305" s="451"/>
      <c r="C305" s="452"/>
      <c r="D305" s="452"/>
    </row>
    <row r="306" spans="1:4" x14ac:dyDescent="0.25">
      <c r="A306" s="453"/>
      <c r="B306" s="451"/>
      <c r="C306" s="452"/>
      <c r="D306" s="452"/>
    </row>
    <row r="307" spans="1:4" x14ac:dyDescent="0.25">
      <c r="A307" s="453"/>
      <c r="B307" s="451"/>
      <c r="C307" s="452"/>
      <c r="D307" s="452"/>
    </row>
    <row r="308" spans="1:4" x14ac:dyDescent="0.25">
      <c r="A308" s="453"/>
      <c r="B308" s="451"/>
      <c r="C308" s="452"/>
      <c r="D308" s="452"/>
    </row>
    <row r="309" spans="1:4" x14ac:dyDescent="0.25">
      <c r="A309" s="453"/>
      <c r="B309" s="451"/>
      <c r="C309" s="452"/>
      <c r="D309" s="452"/>
    </row>
    <row r="310" spans="1:4" x14ac:dyDescent="0.25">
      <c r="A310" s="453"/>
      <c r="B310" s="451"/>
      <c r="C310" s="452"/>
      <c r="D310" s="452"/>
    </row>
    <row r="311" spans="1:4" x14ac:dyDescent="0.25">
      <c r="A311" s="453"/>
      <c r="B311" s="451"/>
      <c r="C311" s="452"/>
      <c r="D311" s="452"/>
    </row>
    <row r="312" spans="1:4" x14ac:dyDescent="0.25">
      <c r="A312" s="453"/>
      <c r="B312" s="451"/>
      <c r="C312" s="452"/>
      <c r="D312" s="452"/>
    </row>
    <row r="313" spans="1:4" x14ac:dyDescent="0.25">
      <c r="A313" s="453"/>
      <c r="B313" s="451"/>
      <c r="C313" s="452"/>
      <c r="D313" s="452"/>
    </row>
    <row r="314" spans="1:4" x14ac:dyDescent="0.25">
      <c r="A314" s="453"/>
      <c r="B314" s="451"/>
      <c r="C314" s="452"/>
      <c r="D314" s="452"/>
    </row>
    <row r="315" spans="1:4" x14ac:dyDescent="0.25">
      <c r="A315" s="453"/>
      <c r="B315" s="451"/>
      <c r="C315" s="452"/>
      <c r="D315" s="452"/>
    </row>
    <row r="316" spans="1:4" x14ac:dyDescent="0.25">
      <c r="A316" s="453"/>
      <c r="B316" s="451"/>
      <c r="C316" s="452"/>
      <c r="D316" s="452"/>
    </row>
    <row r="317" spans="1:4" x14ac:dyDescent="0.25">
      <c r="A317" s="453"/>
      <c r="B317" s="451"/>
      <c r="C317" s="452"/>
      <c r="D317" s="452"/>
    </row>
    <row r="318" spans="1:4" x14ac:dyDescent="0.25">
      <c r="A318" s="453"/>
      <c r="B318" s="451"/>
      <c r="C318" s="452"/>
      <c r="D318" s="452"/>
    </row>
    <row r="319" spans="1:4" x14ac:dyDescent="0.25">
      <c r="A319" s="453"/>
      <c r="B319" s="451"/>
      <c r="C319" s="452"/>
      <c r="D319" s="452"/>
    </row>
    <row r="320" spans="1:4" x14ac:dyDescent="0.25">
      <c r="A320" s="453"/>
      <c r="B320" s="451"/>
      <c r="C320" s="452"/>
      <c r="D320" s="452"/>
    </row>
    <row r="321" spans="1:4" x14ac:dyDescent="0.25">
      <c r="A321" s="453"/>
      <c r="B321" s="451"/>
      <c r="C321" s="452"/>
      <c r="D321" s="452"/>
    </row>
    <row r="322" spans="1:4" x14ac:dyDescent="0.25">
      <c r="A322" s="453"/>
      <c r="B322" s="451"/>
      <c r="C322" s="452"/>
      <c r="D322" s="452"/>
    </row>
    <row r="323" spans="1:4" x14ac:dyDescent="0.25">
      <c r="A323" s="453"/>
      <c r="B323" s="451"/>
      <c r="C323" s="452"/>
      <c r="D323" s="452"/>
    </row>
    <row r="324" spans="1:4" x14ac:dyDescent="0.25">
      <c r="A324" s="453"/>
      <c r="B324" s="451"/>
      <c r="C324" s="452"/>
      <c r="D324" s="452"/>
    </row>
    <row r="325" spans="1:4" x14ac:dyDescent="0.25">
      <c r="A325" s="453"/>
      <c r="B325" s="451"/>
      <c r="C325" s="452"/>
      <c r="D325" s="452"/>
    </row>
    <row r="326" spans="1:4" x14ac:dyDescent="0.25">
      <c r="A326" s="453"/>
      <c r="B326" s="451"/>
      <c r="C326" s="452"/>
      <c r="D326" s="452"/>
    </row>
    <row r="327" spans="1:4" x14ac:dyDescent="0.25">
      <c r="A327" s="453"/>
      <c r="B327" s="451"/>
      <c r="C327" s="452"/>
      <c r="D327" s="452"/>
    </row>
    <row r="328" spans="1:4" x14ac:dyDescent="0.25">
      <c r="A328" s="453"/>
      <c r="B328" s="451"/>
      <c r="C328" s="452"/>
      <c r="D328" s="452"/>
    </row>
    <row r="329" spans="1:4" x14ac:dyDescent="0.25">
      <c r="A329" s="453"/>
      <c r="B329" s="451"/>
      <c r="C329" s="452"/>
      <c r="D329" s="452"/>
    </row>
    <row r="330" spans="1:4" x14ac:dyDescent="0.25">
      <c r="A330" s="453"/>
      <c r="B330" s="451"/>
      <c r="C330" s="452"/>
      <c r="D330" s="452"/>
    </row>
    <row r="331" spans="1:4" x14ac:dyDescent="0.25">
      <c r="A331" s="453"/>
      <c r="B331" s="451"/>
      <c r="C331" s="452"/>
      <c r="D331" s="452"/>
    </row>
    <row r="332" spans="1:4" x14ac:dyDescent="0.25">
      <c r="A332" s="453"/>
      <c r="B332" s="451"/>
      <c r="C332" s="452"/>
      <c r="D332" s="452"/>
    </row>
    <row r="333" spans="1:4" x14ac:dyDescent="0.25">
      <c r="A333" s="453"/>
      <c r="B333" s="451"/>
      <c r="C333" s="452"/>
      <c r="D333" s="452"/>
    </row>
    <row r="334" spans="1:4" x14ac:dyDescent="0.25">
      <c r="A334" s="453"/>
      <c r="B334" s="451"/>
      <c r="C334" s="452"/>
      <c r="D334" s="452"/>
    </row>
    <row r="335" spans="1:4" x14ac:dyDescent="0.25">
      <c r="A335" s="453"/>
      <c r="B335" s="451"/>
      <c r="C335" s="452"/>
      <c r="D335" s="452"/>
    </row>
    <row r="336" spans="1:4" x14ac:dyDescent="0.25">
      <c r="A336" s="453"/>
      <c r="B336" s="451"/>
      <c r="C336" s="452"/>
      <c r="D336" s="452"/>
    </row>
    <row r="337" spans="1:4" x14ac:dyDescent="0.25">
      <c r="A337" s="453"/>
      <c r="B337" s="451"/>
      <c r="C337" s="452"/>
      <c r="D337" s="452"/>
    </row>
    <row r="338" spans="1:4" x14ac:dyDescent="0.25">
      <c r="A338" s="453"/>
      <c r="B338" s="451"/>
      <c r="C338" s="452"/>
      <c r="D338" s="452"/>
    </row>
    <row r="339" spans="1:4" x14ac:dyDescent="0.25">
      <c r="A339" s="453"/>
      <c r="B339" s="451"/>
      <c r="C339" s="452"/>
      <c r="D339" s="452"/>
    </row>
    <row r="340" spans="1:4" x14ac:dyDescent="0.25">
      <c r="A340" s="453"/>
      <c r="B340" s="451"/>
      <c r="C340" s="452"/>
      <c r="D340" s="452"/>
    </row>
    <row r="341" spans="1:4" x14ac:dyDescent="0.25">
      <c r="A341" s="453"/>
      <c r="B341" s="451"/>
      <c r="C341" s="452"/>
      <c r="D341" s="452"/>
    </row>
    <row r="342" spans="1:4" x14ac:dyDescent="0.25">
      <c r="A342" s="453"/>
      <c r="B342" s="451"/>
      <c r="C342" s="452"/>
      <c r="D342" s="452"/>
    </row>
    <row r="343" spans="1:4" x14ac:dyDescent="0.25">
      <c r="A343" s="453"/>
      <c r="B343" s="451"/>
      <c r="C343" s="452"/>
      <c r="D343" s="452"/>
    </row>
    <row r="344" spans="1:4" x14ac:dyDescent="0.25">
      <c r="A344" s="453"/>
      <c r="B344" s="451"/>
      <c r="C344" s="452"/>
      <c r="D344" s="452"/>
    </row>
    <row r="345" spans="1:4" x14ac:dyDescent="0.25">
      <c r="A345" s="453"/>
      <c r="B345" s="451"/>
      <c r="C345" s="452"/>
      <c r="D345" s="452"/>
    </row>
    <row r="346" spans="1:4" x14ac:dyDescent="0.25">
      <c r="A346" s="453"/>
      <c r="B346" s="451"/>
      <c r="C346" s="452"/>
      <c r="D346" s="452"/>
    </row>
    <row r="347" spans="1:4" x14ac:dyDescent="0.25">
      <c r="A347" s="453"/>
      <c r="B347" s="451"/>
      <c r="C347" s="452"/>
      <c r="D347" s="452"/>
    </row>
    <row r="348" spans="1:4" x14ac:dyDescent="0.25">
      <c r="A348" s="453"/>
      <c r="B348" s="451"/>
      <c r="C348" s="452"/>
      <c r="D348" s="452"/>
    </row>
    <row r="349" spans="1:4" x14ac:dyDescent="0.25">
      <c r="A349" s="453"/>
      <c r="B349" s="451"/>
      <c r="C349" s="452"/>
      <c r="D349" s="452"/>
    </row>
    <row r="350" spans="1:4" x14ac:dyDescent="0.25">
      <c r="A350" s="453"/>
      <c r="B350" s="451"/>
      <c r="C350" s="452"/>
      <c r="D350" s="452"/>
    </row>
    <row r="351" spans="1:4" x14ac:dyDescent="0.25">
      <c r="A351" s="453"/>
      <c r="B351" s="451"/>
      <c r="C351" s="452"/>
      <c r="D351" s="452"/>
    </row>
    <row r="352" spans="1:4" x14ac:dyDescent="0.25">
      <c r="A352" s="453"/>
      <c r="B352" s="451"/>
      <c r="C352" s="452"/>
      <c r="D352" s="452"/>
    </row>
    <row r="353" spans="1:4" x14ac:dyDescent="0.25">
      <c r="A353" s="453"/>
      <c r="B353" s="451"/>
      <c r="C353" s="452"/>
      <c r="D353" s="452"/>
    </row>
    <row r="354" spans="1:4" x14ac:dyDescent="0.25">
      <c r="A354" s="453"/>
      <c r="B354" s="451"/>
      <c r="C354" s="452"/>
      <c r="D354" s="452"/>
    </row>
    <row r="355" spans="1:4" x14ac:dyDescent="0.25">
      <c r="A355" s="453"/>
      <c r="B355" s="451"/>
      <c r="C355" s="452"/>
      <c r="D355" s="452"/>
    </row>
    <row r="356" spans="1:4" x14ac:dyDescent="0.25">
      <c r="A356" s="453"/>
      <c r="B356" s="451"/>
      <c r="C356" s="452"/>
      <c r="D356" s="452"/>
    </row>
    <row r="357" spans="1:4" x14ac:dyDescent="0.25">
      <c r="A357" s="453"/>
      <c r="B357" s="451"/>
      <c r="C357" s="452"/>
      <c r="D357" s="452"/>
    </row>
    <row r="358" spans="1:4" x14ac:dyDescent="0.25">
      <c r="A358" s="453"/>
      <c r="B358" s="451"/>
      <c r="C358" s="452"/>
      <c r="D358" s="452"/>
    </row>
    <row r="359" spans="1:4" x14ac:dyDescent="0.25">
      <c r="A359" s="453"/>
      <c r="B359" s="451"/>
      <c r="C359" s="452"/>
      <c r="D359" s="452"/>
    </row>
    <row r="360" spans="1:4" x14ac:dyDescent="0.25">
      <c r="A360" s="453"/>
      <c r="B360" s="451"/>
      <c r="C360" s="452"/>
      <c r="D360" s="452"/>
    </row>
    <row r="361" spans="1:4" x14ac:dyDescent="0.25">
      <c r="A361" s="453"/>
      <c r="B361" s="451"/>
      <c r="C361" s="452"/>
      <c r="D361" s="452"/>
    </row>
    <row r="362" spans="1:4" x14ac:dyDescent="0.25">
      <c r="A362" s="453"/>
      <c r="B362" s="451"/>
      <c r="C362" s="452"/>
      <c r="D362" s="452"/>
    </row>
    <row r="363" spans="1:4" x14ac:dyDescent="0.25">
      <c r="A363" s="453"/>
      <c r="B363" s="451"/>
      <c r="C363" s="452"/>
      <c r="D363" s="452"/>
    </row>
    <row r="364" spans="1:4" x14ac:dyDescent="0.25">
      <c r="A364" s="453"/>
      <c r="B364" s="451"/>
      <c r="C364" s="452"/>
      <c r="D364" s="452"/>
    </row>
    <row r="365" spans="1:4" x14ac:dyDescent="0.25">
      <c r="A365" s="453"/>
      <c r="B365" s="451"/>
      <c r="C365" s="452"/>
      <c r="D365" s="452"/>
    </row>
    <row r="366" spans="1:4" x14ac:dyDescent="0.25">
      <c r="A366" s="453"/>
      <c r="B366" s="451"/>
      <c r="C366" s="452"/>
      <c r="D366" s="452"/>
    </row>
    <row r="367" spans="1:4" x14ac:dyDescent="0.25">
      <c r="A367" s="453"/>
      <c r="B367" s="451"/>
      <c r="C367" s="452"/>
      <c r="D367" s="452"/>
    </row>
    <row r="368" spans="1:4" x14ac:dyDescent="0.25">
      <c r="A368" s="453"/>
      <c r="B368" s="451"/>
      <c r="C368" s="452"/>
      <c r="D368" s="452"/>
    </row>
    <row r="369" spans="1:4" x14ac:dyDescent="0.25">
      <c r="A369" s="453"/>
      <c r="B369" s="451"/>
      <c r="C369" s="452"/>
      <c r="D369" s="452"/>
    </row>
    <row r="370" spans="1:4" x14ac:dyDescent="0.25">
      <c r="A370" s="453"/>
      <c r="B370" s="451"/>
      <c r="C370" s="452"/>
      <c r="D370" s="452"/>
    </row>
    <row r="371" spans="1:4" x14ac:dyDescent="0.25">
      <c r="A371" s="453"/>
      <c r="B371" s="451"/>
      <c r="C371" s="452"/>
      <c r="D371" s="452"/>
    </row>
    <row r="372" spans="1:4" x14ac:dyDescent="0.25">
      <c r="A372" s="453"/>
      <c r="B372" s="451"/>
      <c r="C372" s="452"/>
      <c r="D372" s="452"/>
    </row>
    <row r="373" spans="1:4" x14ac:dyDescent="0.25">
      <c r="A373" s="453"/>
      <c r="B373" s="451"/>
      <c r="C373" s="452"/>
      <c r="D373" s="452"/>
    </row>
    <row r="374" spans="1:4" x14ac:dyDescent="0.25">
      <c r="A374" s="453"/>
      <c r="B374" s="451"/>
      <c r="C374" s="452"/>
      <c r="D374" s="452"/>
    </row>
    <row r="375" spans="1:4" x14ac:dyDescent="0.25">
      <c r="A375" s="453"/>
      <c r="B375" s="451"/>
      <c r="C375" s="452"/>
      <c r="D375" s="452"/>
    </row>
    <row r="376" spans="1:4" x14ac:dyDescent="0.25">
      <c r="A376" s="453"/>
      <c r="B376" s="451"/>
      <c r="C376" s="452"/>
      <c r="D376" s="452"/>
    </row>
    <row r="377" spans="1:4" x14ac:dyDescent="0.25">
      <c r="A377" s="453"/>
      <c r="B377" s="451"/>
      <c r="C377" s="452"/>
      <c r="D377" s="452"/>
    </row>
    <row r="378" spans="1:4" x14ac:dyDescent="0.25">
      <c r="A378" s="453"/>
      <c r="B378" s="451"/>
      <c r="C378" s="452"/>
      <c r="D378" s="452"/>
    </row>
    <row r="379" spans="1:4" x14ac:dyDescent="0.25">
      <c r="A379" s="453"/>
      <c r="B379" s="451"/>
      <c r="C379" s="452"/>
      <c r="D379" s="452"/>
    </row>
    <row r="380" spans="1:4" x14ac:dyDescent="0.25">
      <c r="A380" s="453"/>
      <c r="B380" s="451"/>
      <c r="C380" s="452"/>
      <c r="D380" s="452"/>
    </row>
    <row r="381" spans="1:4" x14ac:dyDescent="0.25">
      <c r="A381" s="452"/>
      <c r="B381" s="451"/>
      <c r="C381" s="452"/>
      <c r="D381" s="452"/>
    </row>
    <row r="382" spans="1:4" x14ac:dyDescent="0.25">
      <c r="A382" s="452"/>
      <c r="B382" s="451"/>
      <c r="C382" s="452"/>
      <c r="D382" s="452"/>
    </row>
    <row r="383" spans="1:4" x14ac:dyDescent="0.25">
      <c r="A383" s="452"/>
      <c r="B383" s="451"/>
      <c r="C383" s="452"/>
      <c r="D383" s="452"/>
    </row>
    <row r="384" spans="1:4" x14ac:dyDescent="0.25">
      <c r="A384" s="452"/>
      <c r="B384" s="451"/>
      <c r="C384" s="452"/>
      <c r="D384" s="452"/>
    </row>
    <row r="385" spans="1:4" x14ac:dyDescent="0.25">
      <c r="A385" s="452"/>
      <c r="B385" s="451"/>
      <c r="C385" s="452"/>
      <c r="D385" s="452"/>
    </row>
    <row r="386" spans="1:4" x14ac:dyDescent="0.25">
      <c r="A386" s="452"/>
      <c r="B386" s="451"/>
      <c r="C386" s="452"/>
      <c r="D386" s="452"/>
    </row>
    <row r="387" spans="1:4" x14ac:dyDescent="0.25">
      <c r="A387" s="452"/>
      <c r="B387" s="451"/>
      <c r="C387" s="452"/>
      <c r="D387" s="452"/>
    </row>
    <row r="388" spans="1:4" x14ac:dyDescent="0.25">
      <c r="A388" s="452"/>
      <c r="B388" s="451"/>
      <c r="C388" s="452"/>
      <c r="D388" s="452"/>
    </row>
    <row r="389" spans="1:4" x14ac:dyDescent="0.25">
      <c r="A389" s="452"/>
      <c r="B389" s="451"/>
      <c r="C389" s="452"/>
      <c r="D389" s="452"/>
    </row>
    <row r="390" spans="1:4" x14ac:dyDescent="0.25">
      <c r="A390" s="452"/>
      <c r="B390" s="451"/>
      <c r="C390" s="452"/>
      <c r="D390" s="452"/>
    </row>
    <row r="391" spans="1:4" x14ac:dyDescent="0.25">
      <c r="A391" s="452"/>
      <c r="B391" s="451"/>
      <c r="C391" s="452"/>
      <c r="D391" s="452"/>
    </row>
    <row r="392" spans="1:4" x14ac:dyDescent="0.25">
      <c r="A392" s="452"/>
      <c r="B392" s="451"/>
      <c r="C392" s="452"/>
      <c r="D392" s="452"/>
    </row>
    <row r="393" spans="1:4" x14ac:dyDescent="0.25">
      <c r="A393" s="452"/>
      <c r="B393" s="451"/>
      <c r="C393" s="452"/>
      <c r="D393" s="452"/>
    </row>
    <row r="394" spans="1:4" x14ac:dyDescent="0.25">
      <c r="A394" s="452"/>
      <c r="B394" s="451"/>
      <c r="C394" s="452"/>
      <c r="D394" s="452"/>
    </row>
    <row r="395" spans="1:4" x14ac:dyDescent="0.25">
      <c r="A395" s="452"/>
      <c r="B395" s="451"/>
      <c r="C395" s="452"/>
      <c r="D395" s="452"/>
    </row>
    <row r="396" spans="1:4" x14ac:dyDescent="0.25">
      <c r="A396" s="452"/>
      <c r="B396" s="451"/>
      <c r="C396" s="452"/>
      <c r="D396" s="452"/>
    </row>
    <row r="397" spans="1:4" x14ac:dyDescent="0.25">
      <c r="A397" s="452"/>
      <c r="B397" s="451"/>
      <c r="C397" s="452"/>
      <c r="D397" s="452"/>
    </row>
    <row r="398" spans="1:4" x14ac:dyDescent="0.25">
      <c r="A398" s="452"/>
      <c r="B398" s="451"/>
      <c r="C398" s="452"/>
      <c r="D398" s="452"/>
    </row>
    <row r="399" spans="1:4" x14ac:dyDescent="0.25">
      <c r="A399" s="452"/>
      <c r="B399" s="451"/>
      <c r="C399" s="452"/>
      <c r="D399" s="452"/>
    </row>
    <row r="400" spans="1:4" x14ac:dyDescent="0.25">
      <c r="A400" s="452"/>
      <c r="B400" s="451"/>
      <c r="C400" s="452"/>
      <c r="D400" s="452"/>
    </row>
    <row r="401" spans="1:4" x14ac:dyDescent="0.25">
      <c r="A401" s="452"/>
      <c r="B401" s="451"/>
      <c r="C401" s="452"/>
      <c r="D401" s="452"/>
    </row>
    <row r="402" spans="1:4" x14ac:dyDescent="0.25">
      <c r="A402" s="452"/>
      <c r="B402" s="451"/>
      <c r="C402" s="452"/>
      <c r="D402" s="452"/>
    </row>
    <row r="403" spans="1:4" x14ac:dyDescent="0.25">
      <c r="A403" s="452"/>
      <c r="B403" s="451"/>
      <c r="C403" s="452"/>
      <c r="D403" s="452"/>
    </row>
    <row r="404" spans="1:4" x14ac:dyDescent="0.25">
      <c r="A404" s="452"/>
      <c r="B404" s="451"/>
      <c r="C404" s="452"/>
      <c r="D404" s="452"/>
    </row>
    <row r="405" spans="1:4" x14ac:dyDescent="0.25">
      <c r="A405" s="452"/>
      <c r="B405" s="451"/>
      <c r="C405" s="452"/>
      <c r="D405" s="452"/>
    </row>
    <row r="406" spans="1:4" x14ac:dyDescent="0.25">
      <c r="A406" s="452"/>
      <c r="B406" s="451"/>
      <c r="C406" s="452"/>
      <c r="D406" s="452"/>
    </row>
    <row r="407" spans="1:4" x14ac:dyDescent="0.25">
      <c r="A407" s="452"/>
      <c r="B407" s="451"/>
      <c r="C407" s="452"/>
      <c r="D407" s="452"/>
    </row>
    <row r="408" spans="1:4" x14ac:dyDescent="0.25">
      <c r="A408" s="452"/>
      <c r="B408" s="451"/>
      <c r="C408" s="452"/>
      <c r="D408" s="452"/>
    </row>
    <row r="409" spans="1:4" x14ac:dyDescent="0.25">
      <c r="A409" s="452"/>
      <c r="B409" s="451"/>
      <c r="C409" s="452"/>
      <c r="D409" s="452"/>
    </row>
    <row r="410" spans="1:4" x14ac:dyDescent="0.25">
      <c r="A410" s="452"/>
      <c r="B410" s="451"/>
      <c r="C410" s="452"/>
      <c r="D410" s="452"/>
    </row>
    <row r="411" spans="1:4" x14ac:dyDescent="0.25">
      <c r="A411" s="452"/>
      <c r="B411" s="451"/>
      <c r="C411" s="452"/>
      <c r="D411" s="452"/>
    </row>
    <row r="412" spans="1:4" x14ac:dyDescent="0.25">
      <c r="A412" s="452"/>
      <c r="B412" s="451"/>
      <c r="C412" s="452"/>
      <c r="D412" s="452"/>
    </row>
    <row r="413" spans="1:4" x14ac:dyDescent="0.25">
      <c r="A413" s="452"/>
      <c r="B413" s="451"/>
      <c r="C413" s="452"/>
      <c r="D413" s="452"/>
    </row>
    <row r="414" spans="1:4" x14ac:dyDescent="0.25">
      <c r="A414" s="452"/>
      <c r="B414" s="451"/>
      <c r="C414" s="452"/>
      <c r="D414" s="452"/>
    </row>
    <row r="415" spans="1:4" x14ac:dyDescent="0.25">
      <c r="A415" s="452"/>
      <c r="B415" s="451"/>
      <c r="C415" s="452"/>
      <c r="D415" s="452"/>
    </row>
    <row r="416" spans="1:4" x14ac:dyDescent="0.25">
      <c r="A416" s="452"/>
      <c r="B416" s="451"/>
      <c r="C416" s="452"/>
      <c r="D416" s="452"/>
    </row>
    <row r="417" spans="1:4" x14ac:dyDescent="0.25">
      <c r="A417" s="452"/>
      <c r="B417" s="451"/>
      <c r="C417" s="452"/>
      <c r="D417" s="452"/>
    </row>
    <row r="418" spans="1:4" x14ac:dyDescent="0.25">
      <c r="A418" s="452"/>
      <c r="B418" s="451"/>
      <c r="C418" s="452"/>
      <c r="D418" s="452"/>
    </row>
    <row r="419" spans="1:4" x14ac:dyDescent="0.25">
      <c r="A419" s="452"/>
      <c r="B419" s="451"/>
      <c r="C419" s="452"/>
      <c r="D419" s="452"/>
    </row>
    <row r="420" spans="1:4" x14ac:dyDescent="0.25">
      <c r="A420" s="452"/>
      <c r="B420" s="451"/>
      <c r="C420" s="452"/>
      <c r="D420" s="452"/>
    </row>
    <row r="421" spans="1:4" x14ac:dyDescent="0.25">
      <c r="A421" s="452"/>
      <c r="B421" s="451"/>
      <c r="C421" s="452"/>
      <c r="D421" s="452"/>
    </row>
    <row r="422" spans="1:4" x14ac:dyDescent="0.25">
      <c r="A422" s="452"/>
      <c r="B422" s="451"/>
      <c r="C422" s="452"/>
      <c r="D422" s="452"/>
    </row>
    <row r="423" spans="1:4" x14ac:dyDescent="0.25">
      <c r="A423" s="452"/>
      <c r="B423" s="451"/>
      <c r="C423" s="452"/>
      <c r="D423" s="452"/>
    </row>
    <row r="424" spans="1:4" x14ac:dyDescent="0.25">
      <c r="A424" s="452"/>
      <c r="B424" s="451"/>
      <c r="C424" s="452"/>
      <c r="D424" s="452"/>
    </row>
    <row r="425" spans="1:4" x14ac:dyDescent="0.25">
      <c r="A425" s="452"/>
      <c r="B425" s="451"/>
      <c r="C425" s="452"/>
      <c r="D425" s="452"/>
    </row>
    <row r="426" spans="1:4" x14ac:dyDescent="0.25">
      <c r="A426" s="452"/>
      <c r="B426" s="451"/>
      <c r="C426" s="452"/>
      <c r="D426" s="452"/>
    </row>
    <row r="427" spans="1:4" x14ac:dyDescent="0.25">
      <c r="A427" s="452"/>
      <c r="B427" s="451"/>
      <c r="C427" s="452"/>
      <c r="D427" s="452"/>
    </row>
    <row r="428" spans="1:4" x14ac:dyDescent="0.25">
      <c r="A428" s="452"/>
      <c r="B428" s="451"/>
      <c r="C428" s="452"/>
      <c r="D428" s="452"/>
    </row>
    <row r="429" spans="1:4" x14ac:dyDescent="0.25">
      <c r="A429" s="452"/>
      <c r="B429" s="451"/>
      <c r="C429" s="452"/>
      <c r="D429" s="452"/>
    </row>
    <row r="430" spans="1:4" x14ac:dyDescent="0.25">
      <c r="A430" s="452"/>
      <c r="B430" s="451"/>
      <c r="C430" s="452"/>
      <c r="D430" s="452"/>
    </row>
    <row r="431" spans="1:4" x14ac:dyDescent="0.25">
      <c r="A431" s="452"/>
      <c r="B431" s="451"/>
      <c r="C431" s="452"/>
      <c r="D431" s="452"/>
    </row>
    <row r="432" spans="1:4" x14ac:dyDescent="0.25">
      <c r="A432" s="452"/>
      <c r="B432" s="451"/>
      <c r="C432" s="452"/>
      <c r="D432" s="452"/>
    </row>
    <row r="433" spans="1:4" x14ac:dyDescent="0.25">
      <c r="A433" s="452"/>
      <c r="B433" s="451"/>
      <c r="C433" s="452"/>
      <c r="D433" s="452"/>
    </row>
    <row r="434" spans="1:4" x14ac:dyDescent="0.25">
      <c r="A434" s="452"/>
      <c r="B434" s="451"/>
      <c r="C434" s="452"/>
      <c r="D434" s="452"/>
    </row>
    <row r="435" spans="1:4" x14ac:dyDescent="0.25">
      <c r="A435" s="452"/>
      <c r="B435" s="451"/>
      <c r="C435" s="452"/>
      <c r="D435" s="452"/>
    </row>
    <row r="436" spans="1:4" x14ac:dyDescent="0.25">
      <c r="A436" s="452"/>
      <c r="B436" s="451"/>
      <c r="C436" s="452"/>
      <c r="D436" s="452"/>
    </row>
    <row r="437" spans="1:4" x14ac:dyDescent="0.25">
      <c r="A437" s="452"/>
      <c r="B437" s="451"/>
      <c r="C437" s="452"/>
      <c r="D437" s="452"/>
    </row>
    <row r="438" spans="1:4" x14ac:dyDescent="0.25">
      <c r="A438" s="452"/>
      <c r="B438" s="451"/>
      <c r="C438" s="452"/>
      <c r="D438" s="452"/>
    </row>
    <row r="439" spans="1:4" x14ac:dyDescent="0.25">
      <c r="A439" s="452"/>
      <c r="B439" s="451"/>
      <c r="C439" s="452"/>
      <c r="D439" s="452"/>
    </row>
    <row r="440" spans="1:4" x14ac:dyDescent="0.25">
      <c r="A440" s="452"/>
      <c r="B440" s="451"/>
      <c r="C440" s="452"/>
      <c r="D440" s="452"/>
    </row>
    <row r="441" spans="1:4" x14ac:dyDescent="0.25">
      <c r="A441" s="452"/>
      <c r="B441" s="451"/>
      <c r="C441" s="452"/>
      <c r="D441" s="452"/>
    </row>
    <row r="442" spans="1:4" x14ac:dyDescent="0.25">
      <c r="A442" s="452"/>
      <c r="B442" s="451"/>
      <c r="C442" s="452"/>
      <c r="D442" s="452"/>
    </row>
    <row r="443" spans="1:4" x14ac:dyDescent="0.25">
      <c r="A443" s="452"/>
      <c r="B443" s="451"/>
      <c r="C443" s="452"/>
      <c r="D443" s="452"/>
    </row>
    <row r="444" spans="1:4" x14ac:dyDescent="0.25">
      <c r="A444" s="452"/>
      <c r="B444" s="451"/>
      <c r="C444" s="452"/>
      <c r="D444" s="452"/>
    </row>
    <row r="445" spans="1:4" x14ac:dyDescent="0.25">
      <c r="A445" s="452"/>
      <c r="B445" s="451"/>
      <c r="C445" s="452"/>
      <c r="D445" s="452"/>
    </row>
    <row r="446" spans="1:4" x14ac:dyDescent="0.25">
      <c r="A446" s="452"/>
      <c r="B446" s="451"/>
      <c r="C446" s="452"/>
      <c r="D446" s="452"/>
    </row>
    <row r="447" spans="1:4" x14ac:dyDescent="0.25">
      <c r="A447" s="452"/>
      <c r="B447" s="451"/>
      <c r="C447" s="452"/>
      <c r="D447" s="452"/>
    </row>
    <row r="448" spans="1:4" x14ac:dyDescent="0.25">
      <c r="A448" s="452"/>
      <c r="B448" s="451"/>
      <c r="C448" s="452"/>
      <c r="D448" s="452"/>
    </row>
    <row r="449" spans="1:4" x14ac:dyDescent="0.25">
      <c r="A449" s="452"/>
      <c r="B449" s="451"/>
      <c r="C449" s="452"/>
      <c r="D449" s="452"/>
    </row>
    <row r="450" spans="1:4" x14ac:dyDescent="0.25">
      <c r="A450" s="452"/>
      <c r="B450" s="451"/>
      <c r="C450" s="452"/>
      <c r="D450" s="452"/>
    </row>
    <row r="451" spans="1:4" x14ac:dyDescent="0.25">
      <c r="A451" s="452"/>
      <c r="B451" s="451"/>
      <c r="C451" s="452"/>
      <c r="D451" s="452"/>
    </row>
    <row r="452" spans="1:4" x14ac:dyDescent="0.25">
      <c r="A452" s="452"/>
      <c r="B452" s="451"/>
      <c r="C452" s="452"/>
      <c r="D452" s="452"/>
    </row>
    <row r="453" spans="1:4" x14ac:dyDescent="0.25">
      <c r="A453" s="452"/>
      <c r="B453" s="451"/>
      <c r="C453" s="452"/>
      <c r="D453" s="452"/>
    </row>
    <row r="454" spans="1:4" x14ac:dyDescent="0.25">
      <c r="A454" s="452"/>
      <c r="B454" s="451"/>
      <c r="C454" s="452"/>
      <c r="D454" s="452"/>
    </row>
    <row r="455" spans="1:4" x14ac:dyDescent="0.25">
      <c r="A455" s="452"/>
      <c r="B455" s="451"/>
      <c r="C455" s="452"/>
      <c r="D455" s="452"/>
    </row>
    <row r="456" spans="1:4" x14ac:dyDescent="0.25">
      <c r="A456" s="452"/>
      <c r="B456" s="451"/>
      <c r="C456" s="452"/>
      <c r="D456" s="452"/>
    </row>
    <row r="457" spans="1:4" x14ac:dyDescent="0.25">
      <c r="A457" s="452"/>
      <c r="B457" s="451"/>
      <c r="C457" s="452"/>
      <c r="D457" s="452"/>
    </row>
    <row r="458" spans="1:4" x14ac:dyDescent="0.25">
      <c r="A458" s="452"/>
      <c r="B458" s="451"/>
      <c r="C458" s="452"/>
      <c r="D458" s="452"/>
    </row>
    <row r="459" spans="1:4" x14ac:dyDescent="0.25">
      <c r="A459" s="452"/>
      <c r="B459" s="451"/>
      <c r="C459" s="452"/>
      <c r="D459" s="452"/>
    </row>
    <row r="460" spans="1:4" x14ac:dyDescent="0.25">
      <c r="A460" s="452"/>
      <c r="B460" s="451"/>
      <c r="C460" s="452"/>
      <c r="D460" s="452"/>
    </row>
    <row r="461" spans="1:4" x14ac:dyDescent="0.25">
      <c r="A461" s="452"/>
      <c r="B461" s="451"/>
      <c r="C461" s="452"/>
      <c r="D461" s="452"/>
    </row>
    <row r="462" spans="1:4" x14ac:dyDescent="0.25">
      <c r="A462" s="452"/>
      <c r="B462" s="451"/>
      <c r="C462" s="452"/>
      <c r="D462" s="452"/>
    </row>
    <row r="463" spans="1:4" x14ac:dyDescent="0.25">
      <c r="A463" s="452"/>
      <c r="B463" s="451"/>
      <c r="C463" s="452"/>
      <c r="D463" s="452"/>
    </row>
    <row r="464" spans="1:4" x14ac:dyDescent="0.25">
      <c r="A464" s="452"/>
      <c r="B464" s="451"/>
      <c r="C464" s="452"/>
      <c r="D464" s="452"/>
    </row>
    <row r="465" spans="1:4" x14ac:dyDescent="0.25">
      <c r="A465" s="452"/>
      <c r="B465" s="451"/>
      <c r="C465" s="452"/>
      <c r="D465" s="452"/>
    </row>
    <row r="466" spans="1:4" x14ac:dyDescent="0.25">
      <c r="A466" s="452"/>
      <c r="B466" s="451"/>
      <c r="C466" s="452"/>
      <c r="D466" s="452"/>
    </row>
    <row r="467" spans="1:4" x14ac:dyDescent="0.25">
      <c r="A467" s="452"/>
      <c r="B467" s="451"/>
      <c r="C467" s="452"/>
      <c r="D467" s="452"/>
    </row>
    <row r="468" spans="1:4" x14ac:dyDescent="0.25">
      <c r="A468" s="452"/>
      <c r="B468" s="451"/>
      <c r="C468" s="452"/>
      <c r="D468" s="452"/>
    </row>
    <row r="469" spans="1:4" x14ac:dyDescent="0.25">
      <c r="A469" s="452"/>
      <c r="B469" s="451"/>
      <c r="C469" s="452"/>
      <c r="D469" s="452"/>
    </row>
    <row r="470" spans="1:4" x14ac:dyDescent="0.25">
      <c r="A470" s="452"/>
      <c r="B470" s="451"/>
      <c r="C470" s="452"/>
      <c r="D470" s="452"/>
    </row>
    <row r="471" spans="1:4" x14ac:dyDescent="0.25">
      <c r="A471" s="452"/>
      <c r="B471" s="451"/>
      <c r="C471" s="452"/>
      <c r="D471" s="452"/>
    </row>
    <row r="472" spans="1:4" x14ac:dyDescent="0.25">
      <c r="A472" s="452"/>
      <c r="B472" s="451"/>
      <c r="C472" s="452"/>
      <c r="D472" s="452"/>
    </row>
    <row r="473" spans="1:4" x14ac:dyDescent="0.25">
      <c r="A473" s="452"/>
      <c r="B473" s="451"/>
      <c r="C473" s="452"/>
      <c r="D473" s="452"/>
    </row>
    <row r="474" spans="1:4" x14ac:dyDescent="0.25">
      <c r="A474" s="452"/>
      <c r="B474" s="451"/>
      <c r="C474" s="452"/>
      <c r="D474" s="452"/>
    </row>
    <row r="475" spans="1:4" x14ac:dyDescent="0.25">
      <c r="A475" s="452"/>
      <c r="B475" s="451"/>
      <c r="C475" s="452"/>
      <c r="D475" s="452"/>
    </row>
    <row r="476" spans="1:4" x14ac:dyDescent="0.25">
      <c r="A476" s="452"/>
      <c r="B476" s="451"/>
      <c r="C476" s="452"/>
      <c r="D476" s="452"/>
    </row>
    <row r="477" spans="1:4" x14ac:dyDescent="0.25">
      <c r="A477" s="452"/>
      <c r="B477" s="451"/>
      <c r="C477" s="452"/>
      <c r="D477" s="452"/>
    </row>
    <row r="478" spans="1:4" x14ac:dyDescent="0.25">
      <c r="A478" s="452"/>
      <c r="B478" s="451"/>
      <c r="C478" s="452"/>
      <c r="D478" s="452"/>
    </row>
    <row r="479" spans="1:4" x14ac:dyDescent="0.25">
      <c r="A479" s="452"/>
      <c r="B479" s="451"/>
      <c r="C479" s="452"/>
      <c r="D479" s="452"/>
    </row>
    <row r="480" spans="1:4" x14ac:dyDescent="0.25">
      <c r="A480" s="452"/>
      <c r="B480" s="451"/>
      <c r="C480" s="452"/>
      <c r="D480" s="452"/>
    </row>
    <row r="481" spans="1:4" x14ac:dyDescent="0.25">
      <c r="A481" s="452"/>
      <c r="B481" s="451"/>
      <c r="C481" s="452"/>
      <c r="D481" s="452"/>
    </row>
    <row r="482" spans="1:4" x14ac:dyDescent="0.25">
      <c r="A482" s="452"/>
      <c r="B482" s="451"/>
      <c r="C482" s="452"/>
      <c r="D482" s="452"/>
    </row>
    <row r="483" spans="1:4" x14ac:dyDescent="0.25">
      <c r="A483" s="452"/>
      <c r="B483" s="451"/>
      <c r="C483" s="452"/>
      <c r="D483" s="452"/>
    </row>
    <row r="484" spans="1:4" x14ac:dyDescent="0.25">
      <c r="A484" s="452"/>
      <c r="B484" s="451"/>
      <c r="C484" s="452"/>
      <c r="D484" s="452"/>
    </row>
    <row r="485" spans="1:4" x14ac:dyDescent="0.25">
      <c r="A485" s="452"/>
      <c r="B485" s="451"/>
      <c r="C485" s="452"/>
      <c r="D485" s="452"/>
    </row>
    <row r="486" spans="1:4" x14ac:dyDescent="0.25">
      <c r="A486" s="452"/>
      <c r="B486" s="451"/>
      <c r="C486" s="452"/>
      <c r="D486" s="452"/>
    </row>
    <row r="487" spans="1:4" x14ac:dyDescent="0.25">
      <c r="A487" s="452"/>
      <c r="B487" s="451"/>
      <c r="C487" s="452"/>
      <c r="D487" s="452"/>
    </row>
    <row r="488" spans="1:4" x14ac:dyDescent="0.25">
      <c r="A488" s="452"/>
      <c r="B488" s="451"/>
      <c r="C488" s="452"/>
      <c r="D488" s="452"/>
    </row>
    <row r="489" spans="1:4" x14ac:dyDescent="0.25">
      <c r="A489" s="452"/>
      <c r="B489" s="451"/>
      <c r="C489" s="452"/>
      <c r="D489" s="452"/>
    </row>
    <row r="490" spans="1:4" x14ac:dyDescent="0.25">
      <c r="A490" s="452"/>
      <c r="B490" s="451"/>
      <c r="C490" s="452"/>
      <c r="D490" s="452"/>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3.2" x14ac:dyDescent="0.25"/>
  <cols>
    <col min="1" max="1" width="38.6640625" customWidth="1"/>
    <col min="3" max="3" width="12.44140625" customWidth="1"/>
    <col min="4" max="6" width="10.6640625" customWidth="1"/>
  </cols>
  <sheetData>
    <row r="1" spans="1:6" x14ac:dyDescent="0.25">
      <c r="B1" t="s">
        <v>216</v>
      </c>
      <c r="C1" t="s">
        <v>217</v>
      </c>
      <c r="D1" t="s">
        <v>218</v>
      </c>
      <c r="E1" t="s">
        <v>219</v>
      </c>
      <c r="F1" t="s">
        <v>219</v>
      </c>
    </row>
    <row r="2" spans="1:6" x14ac:dyDescent="0.25">
      <c r="A2" t="s">
        <v>38</v>
      </c>
      <c r="B2" t="s">
        <v>220</v>
      </c>
      <c r="C2" t="s">
        <v>221</v>
      </c>
      <c r="D2" t="s">
        <v>222</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223</v>
      </c>
      <c r="E8" s="30"/>
      <c r="F8" s="30"/>
    </row>
    <row r="9" spans="1:6" x14ac:dyDescent="0.25">
      <c r="A9" t="s">
        <v>224</v>
      </c>
      <c r="C9">
        <v>8</v>
      </c>
      <c r="D9">
        <v>8</v>
      </c>
      <c r="E9" s="30">
        <v>10.557</v>
      </c>
      <c r="F9" s="30">
        <v>9.1679999999999993</v>
      </c>
    </row>
    <row r="10" spans="1:6" x14ac:dyDescent="0.25">
      <c r="A10" t="s">
        <v>225</v>
      </c>
      <c r="B10">
        <v>657</v>
      </c>
      <c r="C10">
        <v>8</v>
      </c>
      <c r="D10">
        <v>8</v>
      </c>
      <c r="E10" s="30">
        <v>10.887</v>
      </c>
      <c r="F10" s="30">
        <v>9.2119999999999997</v>
      </c>
    </row>
    <row r="11" spans="1:6" x14ac:dyDescent="0.25">
      <c r="A11" t="s">
        <v>226</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227</v>
      </c>
      <c r="B19">
        <v>657</v>
      </c>
      <c r="C19">
        <v>8</v>
      </c>
      <c r="D19">
        <v>8</v>
      </c>
      <c r="E19" s="30">
        <v>14.528</v>
      </c>
      <c r="F19" s="30">
        <v>12.987</v>
      </c>
    </row>
    <row r="20" spans="1:6" x14ac:dyDescent="0.25">
      <c r="A20" t="s">
        <v>228</v>
      </c>
      <c r="B20">
        <v>657</v>
      </c>
      <c r="C20">
        <v>8</v>
      </c>
      <c r="D20">
        <v>8</v>
      </c>
      <c r="E20" s="30">
        <v>14.528</v>
      </c>
      <c r="F20" s="30">
        <v>12.987</v>
      </c>
    </row>
    <row r="22" spans="1:6" x14ac:dyDescent="0.25">
      <c r="A22" t="s">
        <v>229</v>
      </c>
    </row>
    <row r="23" spans="1:6" x14ac:dyDescent="0.25">
      <c r="A23">
        <v>65535</v>
      </c>
      <c r="B23" s="27" t="s">
        <v>230</v>
      </c>
    </row>
    <row r="24" spans="1:6" x14ac:dyDescent="0.25">
      <c r="A24" t="s">
        <v>231</v>
      </c>
    </row>
    <row r="25" spans="1:6" x14ac:dyDescent="0.25">
      <c r="A25" t="s">
        <v>232</v>
      </c>
    </row>
    <row r="26" spans="1:6" x14ac:dyDescent="0.25">
      <c r="A26" t="s">
        <v>74</v>
      </c>
    </row>
    <row r="27" spans="1:6" x14ac:dyDescent="0.25">
      <c r="A27" t="s">
        <v>73</v>
      </c>
    </row>
    <row r="28" spans="1:6" x14ac:dyDescent="0.25">
      <c r="A28" t="s">
        <v>69</v>
      </c>
    </row>
    <row r="29" spans="1:6" x14ac:dyDescent="0.25">
      <c r="A29" t="s">
        <v>233</v>
      </c>
    </row>
    <row r="30" spans="1:6" x14ac:dyDescent="0.25">
      <c r="A30" t="s">
        <v>72</v>
      </c>
    </row>
    <row r="31" spans="1:6" x14ac:dyDescent="0.25">
      <c r="A31" t="s">
        <v>234</v>
      </c>
    </row>
    <row r="32" spans="1:6" x14ac:dyDescent="0.25">
      <c r="A32" t="s">
        <v>235</v>
      </c>
    </row>
    <row r="33" spans="1:2" x14ac:dyDescent="0.25">
      <c r="A33" t="s">
        <v>3</v>
      </c>
    </row>
    <row r="34" spans="1:2" x14ac:dyDescent="0.25">
      <c r="A34" t="s">
        <v>236</v>
      </c>
    </row>
    <row r="35" spans="1:2" x14ac:dyDescent="0.25">
      <c r="A35" t="s">
        <v>71</v>
      </c>
      <c r="B35" s="27" t="s">
        <v>237</v>
      </c>
    </row>
  </sheetData>
  <sheetProtection sheet="1" objects="1" scenarios="1"/>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238</v>
      </c>
      <c r="J1" s="28" t="s">
        <v>54</v>
      </c>
      <c r="K1" s="28" t="s">
        <v>101</v>
      </c>
    </row>
    <row r="2" spans="1:13" x14ac:dyDescent="0.25">
      <c r="B2" t="s">
        <v>46</v>
      </c>
      <c r="C2" t="s">
        <v>47</v>
      </c>
      <c r="D2" t="s">
        <v>48</v>
      </c>
      <c r="E2" t="s">
        <v>49</v>
      </c>
      <c r="F2" t="s">
        <v>50</v>
      </c>
      <c r="G2" t="s">
        <v>51</v>
      </c>
      <c r="H2" t="s">
        <v>52</v>
      </c>
      <c r="I2" t="s">
        <v>53</v>
      </c>
      <c r="J2" t="s">
        <v>54</v>
      </c>
      <c r="K2" t="s">
        <v>55</v>
      </c>
      <c r="L2" t="s">
        <v>56</v>
      </c>
      <c r="M2" t="s">
        <v>57</v>
      </c>
    </row>
    <row r="3" spans="1:13" x14ac:dyDescent="0.25">
      <c r="A3" t="s">
        <v>219</v>
      </c>
      <c r="B3" s="28" t="s">
        <v>239</v>
      </c>
      <c r="C3" s="28" t="s">
        <v>240</v>
      </c>
      <c r="D3" s="28" t="s">
        <v>241</v>
      </c>
      <c r="E3" s="28" t="s">
        <v>242</v>
      </c>
      <c r="F3" s="28" t="s">
        <v>243</v>
      </c>
      <c r="G3" s="28" t="s">
        <v>51</v>
      </c>
      <c r="H3" s="28" t="s">
        <v>52</v>
      </c>
      <c r="I3" s="28" t="s">
        <v>244</v>
      </c>
      <c r="J3" s="28" t="s">
        <v>54</v>
      </c>
      <c r="K3" s="28" t="s">
        <v>245</v>
      </c>
      <c r="L3" s="28" t="s">
        <v>246</v>
      </c>
      <c r="M3" s="28" t="s">
        <v>247</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I204" s="28">
        <v>9.2175052917910456</v>
      </c>
    </row>
    <row r="205" spans="1:9" x14ac:dyDescent="0.25">
      <c r="I205" s="28">
        <v>9.2132957158415838</v>
      </c>
    </row>
    <row r="206" spans="1:9" x14ac:dyDescent="0.25">
      <c r="I206" s="28">
        <v>9.2091995706896554</v>
      </c>
    </row>
    <row r="207" spans="1:9" x14ac:dyDescent="0.25">
      <c r="I207" s="28">
        <v>9.2052151882352931</v>
      </c>
    </row>
    <row r="208" spans="1:9" x14ac:dyDescent="0.25">
      <c r="I208" s="28">
        <v>9.2013409329268292</v>
      </c>
    </row>
    <row r="209" spans="9:9" x14ac:dyDescent="0.25">
      <c r="I209" s="28">
        <v>9.1975752009708742</v>
      </c>
    </row>
    <row r="210" spans="9:9" x14ac:dyDescent="0.25">
      <c r="I210" s="28">
        <v>9.1939164195652179</v>
      </c>
    </row>
    <row r="211" spans="9:9" x14ac:dyDescent="0.25">
      <c r="I211" s="28">
        <v>9.1903630461538466</v>
      </c>
    </row>
    <row r="212" spans="9:9" x14ac:dyDescent="0.25">
      <c r="I212" s="28">
        <v>9.1869135677033498</v>
      </c>
    </row>
    <row r="213" spans="9:9" x14ac:dyDescent="0.25">
      <c r="I213" s="28">
        <v>9.1835664999999995</v>
      </c>
    </row>
    <row r="214" spans="9:9" x14ac:dyDescent="0.25">
      <c r="I214" s="28">
        <v>9.1803203869668248</v>
      </c>
    </row>
    <row r="215" spans="9:9" x14ac:dyDescent="0.25">
      <c r="I215" s="28">
        <v>9.1771738000000003</v>
      </c>
    </row>
    <row r="216" spans="9:9" x14ac:dyDescent="0.25">
      <c r="I216" s="28">
        <v>9.1741253373239431</v>
      </c>
    </row>
    <row r="217" spans="9:9" x14ac:dyDescent="0.25">
      <c r="I217" s="28">
        <v>9.1711736233644849</v>
      </c>
    </row>
    <row r="218" spans="9:9" x14ac:dyDescent="0.25">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TMMData"/>
  <dimension ref="A1:AD1277"/>
  <sheetViews>
    <sheetView workbookViewId="0">
      <pane ySplit="1" topLeftCell="A3" activePane="bottomLeft" state="frozenSplit"/>
      <selection pane="bottomLeft" activeCell="L25" sqref="L25"/>
    </sheetView>
  </sheetViews>
  <sheetFormatPr defaultRowHeight="13.2" x14ac:dyDescent="0.25"/>
  <cols>
    <col min="1" max="1" width="12.5546875" customWidth="1"/>
    <col min="2" max="2" width="8.44140625" customWidth="1"/>
    <col min="3" max="3" width="7.5546875" customWidth="1"/>
    <col min="4" max="4" width="7.33203125" bestFit="1" customWidth="1"/>
    <col min="5" max="28" width="8.5546875" style="476" customWidth="1"/>
  </cols>
  <sheetData>
    <row r="1" spans="1:30" x14ac:dyDescent="0.25">
      <c r="A1" s="474" t="s">
        <v>284</v>
      </c>
      <c r="B1" s="474" t="s">
        <v>298</v>
      </c>
      <c r="C1" s="474" t="s">
        <v>289</v>
      </c>
      <c r="D1" s="474" t="s">
        <v>285</v>
      </c>
      <c r="E1" s="475">
        <v>1</v>
      </c>
      <c r="F1" s="475">
        <v>2</v>
      </c>
      <c r="G1" s="475">
        <v>3</v>
      </c>
      <c r="H1" s="475">
        <v>4</v>
      </c>
      <c r="I1" s="475">
        <v>5</v>
      </c>
      <c r="J1" s="475">
        <v>6</v>
      </c>
      <c r="K1" s="475">
        <v>7</v>
      </c>
      <c r="L1" s="475">
        <v>8</v>
      </c>
      <c r="M1" s="475">
        <v>9</v>
      </c>
      <c r="N1" s="475">
        <v>10</v>
      </c>
      <c r="O1" s="475">
        <v>11</v>
      </c>
      <c r="P1" s="475">
        <v>12</v>
      </c>
      <c r="Q1" s="475">
        <v>13</v>
      </c>
      <c r="R1" s="475">
        <v>14</v>
      </c>
      <c r="S1" s="475">
        <v>15</v>
      </c>
      <c r="T1" s="475">
        <v>16</v>
      </c>
      <c r="U1" s="475">
        <v>17</v>
      </c>
      <c r="V1" s="475">
        <v>18</v>
      </c>
      <c r="W1" s="475">
        <v>19</v>
      </c>
      <c r="X1" s="475">
        <v>20</v>
      </c>
      <c r="Y1" s="475">
        <v>21</v>
      </c>
      <c r="Z1" s="475">
        <v>22</v>
      </c>
      <c r="AA1" s="475">
        <v>23</v>
      </c>
      <c r="AB1" s="475">
        <v>24</v>
      </c>
      <c r="AC1" s="477" t="s">
        <v>250</v>
      </c>
      <c r="AD1" s="477" t="s">
        <v>286</v>
      </c>
    </row>
    <row r="2" spans="1:30" x14ac:dyDescent="0.25">
      <c r="A2" s="473" t="s">
        <v>291</v>
      </c>
      <c r="B2" s="473" t="s">
        <v>253</v>
      </c>
      <c r="C2" s="473" t="s">
        <v>288</v>
      </c>
      <c r="D2" s="473">
        <v>36228</v>
      </c>
      <c r="E2" s="30">
        <v>0.97900000000000009</v>
      </c>
      <c r="F2" s="30">
        <v>0.97929999999999995</v>
      </c>
      <c r="G2" s="30">
        <v>0.97899999999999998</v>
      </c>
      <c r="H2" s="30">
        <v>0.97915000000000008</v>
      </c>
      <c r="I2" s="30">
        <v>0.97800000000000009</v>
      </c>
      <c r="J2" s="30">
        <v>0.97715000000000007</v>
      </c>
      <c r="K2" s="30">
        <v>0.97284999999999988</v>
      </c>
      <c r="L2" s="30">
        <v>0.97115000000000007</v>
      </c>
      <c r="M2" s="30">
        <v>0.9708</v>
      </c>
      <c r="N2" s="30">
        <v>0.96919999999999995</v>
      </c>
      <c r="O2" s="30">
        <v>0.96884999999999988</v>
      </c>
      <c r="P2" s="30">
        <v>0.96819999999999995</v>
      </c>
      <c r="Q2" s="30">
        <v>0.97160000000000002</v>
      </c>
      <c r="R2" s="30">
        <v>0.97160000000000002</v>
      </c>
      <c r="S2" s="30">
        <v>0.9716499999999999</v>
      </c>
      <c r="T2" s="30">
        <v>0.97214999999999996</v>
      </c>
      <c r="U2" s="30">
        <v>0.97215000000000007</v>
      </c>
      <c r="V2" s="30">
        <v>0.96859999999999991</v>
      </c>
      <c r="W2" s="30">
        <v>0.96879999999999999</v>
      </c>
      <c r="X2" s="30">
        <v>0.96989999999999998</v>
      </c>
      <c r="Y2" s="30">
        <v>0.97160000000000002</v>
      </c>
      <c r="Z2" s="30">
        <v>0.97399999999999987</v>
      </c>
      <c r="AA2" s="30">
        <v>0.9768</v>
      </c>
      <c r="AB2" s="476">
        <v>0.97840000000000005</v>
      </c>
    </row>
    <row r="3" spans="1:30" x14ac:dyDescent="0.25">
      <c r="A3" s="473" t="s">
        <v>292</v>
      </c>
      <c r="B3" s="473" t="s">
        <v>252</v>
      </c>
      <c r="C3" s="473" t="s">
        <v>288</v>
      </c>
      <c r="D3" s="473">
        <v>36228</v>
      </c>
      <c r="E3" s="30">
        <v>0.97037499999999999</v>
      </c>
      <c r="F3" s="30">
        <v>0.96944999999999992</v>
      </c>
      <c r="G3" s="30">
        <v>0.96924999999999994</v>
      </c>
      <c r="H3" s="30">
        <v>0.96904999999999997</v>
      </c>
      <c r="I3" s="30">
        <v>0.96972500000000006</v>
      </c>
      <c r="J3" s="30">
        <v>0.96862499999999996</v>
      </c>
      <c r="K3" s="30">
        <v>0.96375</v>
      </c>
      <c r="L3" s="30">
        <v>0.96425000000000005</v>
      </c>
      <c r="M3" s="30">
        <v>0.96450000000000002</v>
      </c>
      <c r="N3" s="30">
        <v>0.96412500000000001</v>
      </c>
      <c r="O3" s="30">
        <v>0.96387500000000004</v>
      </c>
      <c r="P3" s="30">
        <v>0.96412500000000001</v>
      </c>
      <c r="Q3" s="30">
        <v>0.9637</v>
      </c>
      <c r="R3" s="30">
        <v>0.96314999999999995</v>
      </c>
      <c r="S3" s="30">
        <v>0.96325000000000005</v>
      </c>
      <c r="T3" s="30">
        <v>0.96365000000000001</v>
      </c>
      <c r="U3" s="30">
        <v>0.96489999999999998</v>
      </c>
      <c r="V3" s="30">
        <v>0.96419999999999995</v>
      </c>
      <c r="W3" s="30">
        <v>0.95399999999999996</v>
      </c>
      <c r="X3" s="30">
        <v>0.9556</v>
      </c>
      <c r="Y3" s="30">
        <v>0.95809999999999995</v>
      </c>
      <c r="Z3" s="30">
        <v>0.96160000000000001</v>
      </c>
      <c r="AA3" s="30">
        <v>0.96565000000000001</v>
      </c>
      <c r="AB3" s="476">
        <v>0.96809999999999996</v>
      </c>
    </row>
    <row r="4" spans="1:30" x14ac:dyDescent="0.25">
      <c r="A4" s="473" t="s">
        <v>293</v>
      </c>
      <c r="B4" s="473" t="s">
        <v>253</v>
      </c>
      <c r="C4" s="473" t="s">
        <v>288</v>
      </c>
      <c r="D4" s="473">
        <v>36229</v>
      </c>
      <c r="E4" s="30">
        <v>0.97889999999999999</v>
      </c>
      <c r="F4" s="30">
        <v>0.97940000000000005</v>
      </c>
      <c r="G4" s="30">
        <v>0.97960000000000003</v>
      </c>
      <c r="H4" s="30">
        <v>0.97940000000000005</v>
      </c>
      <c r="I4" s="30">
        <v>0.97840000000000005</v>
      </c>
      <c r="J4" s="30">
        <v>0.97599999999999998</v>
      </c>
      <c r="K4" s="30">
        <v>0.97350000000000003</v>
      </c>
      <c r="L4" s="30">
        <v>0.97230000000000005</v>
      </c>
      <c r="M4" s="30">
        <v>0.97160000000000002</v>
      </c>
      <c r="N4" s="30">
        <v>0.97119999999999995</v>
      </c>
      <c r="O4" s="30">
        <v>0.97099999999999997</v>
      </c>
      <c r="P4" s="30">
        <v>0.97109999999999996</v>
      </c>
      <c r="Q4" s="30">
        <v>0.97129999999999994</v>
      </c>
      <c r="R4" s="30">
        <v>0.97150000000000014</v>
      </c>
      <c r="S4" s="30">
        <v>0.9719000000000001</v>
      </c>
      <c r="T4" s="30">
        <v>0.97219999999999995</v>
      </c>
      <c r="U4" s="30">
        <v>0.97199999999999998</v>
      </c>
      <c r="V4" s="30">
        <v>0.96989999999999998</v>
      </c>
      <c r="W4" s="30">
        <v>0.96850000000000003</v>
      </c>
      <c r="X4" s="30">
        <v>0.96939999999999993</v>
      </c>
      <c r="Y4" s="30">
        <v>0.97089999999999999</v>
      </c>
      <c r="Z4" s="30">
        <v>0.97330000000000005</v>
      </c>
      <c r="AA4" s="30">
        <v>0.97560000000000002</v>
      </c>
      <c r="AB4" s="476">
        <v>0.97739999999999994</v>
      </c>
    </row>
    <row r="5" spans="1:30" x14ac:dyDescent="0.25">
      <c r="A5" s="473" t="s">
        <v>294</v>
      </c>
      <c r="B5" s="473" t="s">
        <v>252</v>
      </c>
      <c r="C5" s="473" t="s">
        <v>288</v>
      </c>
      <c r="D5" s="473">
        <v>36229</v>
      </c>
      <c r="E5" s="30">
        <v>0.96870000000000001</v>
      </c>
      <c r="F5" s="30">
        <v>0.96955000000000002</v>
      </c>
      <c r="G5" s="30">
        <v>0.9698</v>
      </c>
      <c r="H5" s="30">
        <v>0.96950000000000003</v>
      </c>
      <c r="I5" s="30">
        <v>0.96809999999999996</v>
      </c>
      <c r="J5" s="30">
        <v>0.96450000000000002</v>
      </c>
      <c r="K5" s="30">
        <v>0.96084999999999998</v>
      </c>
      <c r="L5" s="30">
        <v>0.95920000000000005</v>
      </c>
      <c r="M5" s="30">
        <v>0.95809999999999995</v>
      </c>
      <c r="N5" s="30">
        <v>0.95750000000000002</v>
      </c>
      <c r="O5" s="30">
        <v>0.95720000000000005</v>
      </c>
      <c r="P5" s="30">
        <v>0.95740000000000003</v>
      </c>
      <c r="Q5" s="30">
        <v>0.95765</v>
      </c>
      <c r="R5" s="30">
        <v>0.95799999999999996</v>
      </c>
      <c r="S5" s="30">
        <v>0.95850000000000002</v>
      </c>
      <c r="T5" s="30">
        <v>0.95894999999999997</v>
      </c>
      <c r="U5" s="30">
        <v>0.9587</v>
      </c>
      <c r="V5" s="30">
        <v>0.95569999999999999</v>
      </c>
      <c r="W5" s="30">
        <v>0.9536</v>
      </c>
      <c r="X5" s="30">
        <v>0.95484999999999998</v>
      </c>
      <c r="Y5" s="30">
        <v>0.95714999999999995</v>
      </c>
      <c r="Z5" s="30">
        <v>0.96060000000000001</v>
      </c>
      <c r="AA5" s="30">
        <v>0.96399999999999997</v>
      </c>
      <c r="AB5" s="476">
        <v>0.96660000000000001</v>
      </c>
    </row>
    <row r="6" spans="1:30" x14ac:dyDescent="0.25">
      <c r="A6" s="473"/>
      <c r="B6" s="473"/>
      <c r="C6" s="473"/>
    </row>
    <row r="7" spans="1:30" x14ac:dyDescent="0.25">
      <c r="A7" s="473"/>
      <c r="B7" s="473"/>
      <c r="C7" s="473"/>
    </row>
    <row r="8" spans="1:30" x14ac:dyDescent="0.25">
      <c r="A8" s="473"/>
      <c r="B8" s="473"/>
      <c r="C8" s="473"/>
    </row>
    <row r="9" spans="1:30" x14ac:dyDescent="0.25">
      <c r="A9" s="473"/>
      <c r="B9" s="473"/>
      <c r="C9" s="473"/>
    </row>
    <row r="10" spans="1:30" x14ac:dyDescent="0.25">
      <c r="A10" s="473"/>
      <c r="B10" s="473"/>
      <c r="C10" s="473"/>
    </row>
    <row r="11" spans="1:30" x14ac:dyDescent="0.25">
      <c r="A11" s="473"/>
      <c r="B11" s="473"/>
      <c r="C11" s="473"/>
    </row>
    <row r="12" spans="1:30" x14ac:dyDescent="0.25">
      <c r="A12" s="473"/>
      <c r="B12" s="473"/>
      <c r="C12" s="473"/>
    </row>
    <row r="13" spans="1:30" x14ac:dyDescent="0.25">
      <c r="A13" s="473"/>
      <c r="B13" s="473"/>
      <c r="C13" s="473"/>
    </row>
    <row r="14" spans="1:30" x14ac:dyDescent="0.25">
      <c r="A14" s="473"/>
      <c r="B14" s="473"/>
      <c r="C14" s="473"/>
    </row>
    <row r="15" spans="1:30" x14ac:dyDescent="0.25">
      <c r="A15" s="473"/>
      <c r="B15" s="473"/>
      <c r="C15" s="473"/>
    </row>
    <row r="16" spans="1:30" x14ac:dyDescent="0.25">
      <c r="A16" s="473"/>
      <c r="B16" s="473"/>
      <c r="C16" s="473"/>
    </row>
    <row r="17" spans="1:3" x14ac:dyDescent="0.25">
      <c r="A17" s="473"/>
      <c r="B17" s="473"/>
      <c r="C17" s="473"/>
    </row>
    <row r="18" spans="1:3" x14ac:dyDescent="0.25">
      <c r="A18" s="473"/>
      <c r="B18" s="473"/>
      <c r="C18" s="473"/>
    </row>
    <row r="19" spans="1:3" x14ac:dyDescent="0.25">
      <c r="A19" s="473"/>
      <c r="B19" s="473"/>
      <c r="C19" s="473"/>
    </row>
    <row r="20" spans="1:3" x14ac:dyDescent="0.25">
      <c r="A20" s="473"/>
      <c r="B20" s="473"/>
      <c r="C20" s="473"/>
    </row>
    <row r="21" spans="1:3" x14ac:dyDescent="0.25">
      <c r="A21" s="473"/>
      <c r="B21" s="473"/>
      <c r="C21" s="473"/>
    </row>
    <row r="22" spans="1:3" x14ac:dyDescent="0.25">
      <c r="A22" s="473"/>
      <c r="B22" s="473"/>
    </row>
    <row r="23" spans="1:3" x14ac:dyDescent="0.25">
      <c r="A23" s="473"/>
      <c r="B23" s="473"/>
    </row>
    <row r="24" spans="1:3" x14ac:dyDescent="0.25">
      <c r="A24" s="473"/>
      <c r="B24" s="473"/>
    </row>
    <row r="25" spans="1:3" x14ac:dyDescent="0.25">
      <c r="A25" s="473"/>
      <c r="B25" s="473"/>
    </row>
    <row r="26" spans="1:3" x14ac:dyDescent="0.25">
      <c r="A26" s="473"/>
      <c r="B26" s="473"/>
    </row>
    <row r="27" spans="1:3" x14ac:dyDescent="0.25">
      <c r="A27" s="473"/>
      <c r="B27" s="473"/>
    </row>
    <row r="28" spans="1:3" x14ac:dyDescent="0.25">
      <c r="A28" s="473"/>
      <c r="B28" s="473"/>
    </row>
    <row r="29" spans="1:3" x14ac:dyDescent="0.25">
      <c r="A29" s="473"/>
      <c r="B29" s="473"/>
    </row>
    <row r="30" spans="1:3" x14ac:dyDescent="0.25">
      <c r="A30" s="473"/>
      <c r="B30" s="473"/>
    </row>
    <row r="31" spans="1:3" x14ac:dyDescent="0.25">
      <c r="A31" s="473"/>
      <c r="B31" s="473"/>
    </row>
    <row r="32" spans="1:3" x14ac:dyDescent="0.25">
      <c r="A32" s="473"/>
      <c r="B32" s="473"/>
    </row>
    <row r="33" spans="1:2" x14ac:dyDescent="0.25">
      <c r="A33" s="473"/>
      <c r="B33" s="473"/>
    </row>
    <row r="34" spans="1:2" x14ac:dyDescent="0.25">
      <c r="A34" s="473"/>
      <c r="B34" s="473"/>
    </row>
    <row r="35" spans="1:2" x14ac:dyDescent="0.25">
      <c r="A35" s="473"/>
      <c r="B35" s="473"/>
    </row>
    <row r="36" spans="1:2" x14ac:dyDescent="0.25">
      <c r="A36" s="473"/>
      <c r="B36" s="473"/>
    </row>
    <row r="37" spans="1:2" x14ac:dyDescent="0.25">
      <c r="A37" s="473"/>
      <c r="B37" s="473"/>
    </row>
    <row r="38" spans="1:2" x14ac:dyDescent="0.25">
      <c r="A38" s="473"/>
      <c r="B38" s="473"/>
    </row>
    <row r="39" spans="1:2" x14ac:dyDescent="0.25">
      <c r="A39" s="473"/>
      <c r="B39" s="473"/>
    </row>
    <row r="40" spans="1:2" x14ac:dyDescent="0.25">
      <c r="A40" s="473"/>
      <c r="B40" s="473"/>
    </row>
    <row r="41" spans="1:2" x14ac:dyDescent="0.25">
      <c r="A41" s="473"/>
      <c r="B41" s="473"/>
    </row>
    <row r="42" spans="1:2" x14ac:dyDescent="0.25">
      <c r="A42" s="473"/>
      <c r="B42" s="473"/>
    </row>
    <row r="43" spans="1:2" x14ac:dyDescent="0.25">
      <c r="A43" s="473"/>
      <c r="B43" s="473"/>
    </row>
    <row r="44" spans="1:2" x14ac:dyDescent="0.25">
      <c r="A44" s="473"/>
      <c r="B44" s="473"/>
    </row>
    <row r="45" spans="1:2" x14ac:dyDescent="0.25">
      <c r="A45" s="473"/>
      <c r="B45" s="473"/>
    </row>
    <row r="46" spans="1:2" x14ac:dyDescent="0.25">
      <c r="A46" s="473"/>
      <c r="B46" s="473"/>
    </row>
    <row r="47" spans="1:2" x14ac:dyDescent="0.25">
      <c r="A47" s="473"/>
      <c r="B47" s="473"/>
    </row>
    <row r="48" spans="1:2" x14ac:dyDescent="0.25">
      <c r="A48" s="473"/>
      <c r="B48" s="473"/>
    </row>
    <row r="49" spans="1:2" x14ac:dyDescent="0.25">
      <c r="A49" s="473"/>
      <c r="B49" s="473"/>
    </row>
    <row r="50" spans="1:2" x14ac:dyDescent="0.25">
      <c r="A50" s="473"/>
      <c r="B50" s="473"/>
    </row>
    <row r="51" spans="1:2" x14ac:dyDescent="0.25">
      <c r="A51" s="473"/>
      <c r="B51" s="473"/>
    </row>
    <row r="52" spans="1:2" x14ac:dyDescent="0.25">
      <c r="A52" s="473"/>
      <c r="B52" s="473"/>
    </row>
    <row r="53" spans="1:2" x14ac:dyDescent="0.25">
      <c r="A53" s="473"/>
      <c r="B53" s="473"/>
    </row>
    <row r="54" spans="1:2" x14ac:dyDescent="0.25">
      <c r="A54" s="473"/>
      <c r="B54" s="473"/>
    </row>
    <row r="55" spans="1:2" x14ac:dyDescent="0.25">
      <c r="A55" s="473"/>
      <c r="B55" s="473"/>
    </row>
    <row r="56" spans="1:2" x14ac:dyDescent="0.25">
      <c r="A56" s="473"/>
      <c r="B56" s="473"/>
    </row>
    <row r="57" spans="1:2" x14ac:dyDescent="0.25">
      <c r="A57" s="473"/>
      <c r="B57" s="473"/>
    </row>
    <row r="58" spans="1:2" x14ac:dyDescent="0.25">
      <c r="A58" s="473"/>
      <c r="B58" s="473"/>
    </row>
    <row r="59" spans="1:2" x14ac:dyDescent="0.25">
      <c r="A59" s="473"/>
      <c r="B59" s="473"/>
    </row>
    <row r="60" spans="1:2" x14ac:dyDescent="0.25">
      <c r="A60" s="473"/>
      <c r="B60" s="473"/>
    </row>
    <row r="61" spans="1:2" x14ac:dyDescent="0.25">
      <c r="A61" s="473"/>
      <c r="B61" s="473"/>
    </row>
    <row r="62" spans="1:2" x14ac:dyDescent="0.25">
      <c r="A62" s="473"/>
      <c r="B62" s="473"/>
    </row>
    <row r="63" spans="1:2" x14ac:dyDescent="0.25">
      <c r="A63" s="473"/>
      <c r="B63" s="473"/>
    </row>
    <row r="64" spans="1:2" x14ac:dyDescent="0.25">
      <c r="A64" s="473"/>
      <c r="B64" s="473"/>
    </row>
    <row r="65" spans="1:2" x14ac:dyDescent="0.25">
      <c r="A65" s="473"/>
      <c r="B65" s="473"/>
    </row>
    <row r="66" spans="1:2" x14ac:dyDescent="0.25">
      <c r="A66" s="473"/>
      <c r="B66" s="473"/>
    </row>
    <row r="67" spans="1:2" x14ac:dyDescent="0.25">
      <c r="A67" s="473"/>
      <c r="B67" s="473"/>
    </row>
    <row r="68" spans="1:2" x14ac:dyDescent="0.25">
      <c r="A68" s="473"/>
      <c r="B68" s="473"/>
    </row>
    <row r="69" spans="1:2" x14ac:dyDescent="0.25">
      <c r="A69" s="473"/>
      <c r="B69" s="473"/>
    </row>
    <row r="70" spans="1:2" x14ac:dyDescent="0.25">
      <c r="A70" s="473"/>
      <c r="B70" s="473"/>
    </row>
    <row r="71" spans="1:2" x14ac:dyDescent="0.25">
      <c r="A71" s="473"/>
      <c r="B71" s="473"/>
    </row>
    <row r="72" spans="1:2" x14ac:dyDescent="0.25">
      <c r="A72" s="473"/>
      <c r="B72" s="473"/>
    </row>
    <row r="73" spans="1:2" x14ac:dyDescent="0.25">
      <c r="A73" s="473"/>
      <c r="B73" s="473"/>
    </row>
    <row r="74" spans="1:2" x14ac:dyDescent="0.25">
      <c r="A74" s="473"/>
      <c r="B74" s="473"/>
    </row>
    <row r="75" spans="1:2" x14ac:dyDescent="0.25">
      <c r="A75" s="473"/>
      <c r="B75" s="473"/>
    </row>
    <row r="76" spans="1:2" x14ac:dyDescent="0.25">
      <c r="A76" s="473"/>
      <c r="B76" s="473"/>
    </row>
    <row r="77" spans="1:2" x14ac:dyDescent="0.25">
      <c r="A77" s="473"/>
      <c r="B77" s="473"/>
    </row>
    <row r="78" spans="1:2" x14ac:dyDescent="0.25">
      <c r="A78" s="473"/>
      <c r="B78" s="473"/>
    </row>
    <row r="79" spans="1:2" x14ac:dyDescent="0.25">
      <c r="A79" s="473"/>
      <c r="B79" s="473"/>
    </row>
    <row r="80" spans="1:2" x14ac:dyDescent="0.25">
      <c r="A80" s="473"/>
      <c r="B80" s="473"/>
    </row>
    <row r="81" spans="1:2" x14ac:dyDescent="0.25">
      <c r="A81" s="473"/>
      <c r="B81" s="473"/>
    </row>
    <row r="82" spans="1:2" x14ac:dyDescent="0.25">
      <c r="A82" s="473"/>
      <c r="B82" s="473"/>
    </row>
    <row r="83" spans="1:2" x14ac:dyDescent="0.25">
      <c r="A83" s="473"/>
      <c r="B83" s="473"/>
    </row>
    <row r="84" spans="1:2" x14ac:dyDescent="0.25">
      <c r="A84" s="473"/>
      <c r="B84" s="473"/>
    </row>
    <row r="85" spans="1:2" x14ac:dyDescent="0.25">
      <c r="A85" s="473"/>
      <c r="B85" s="473"/>
    </row>
    <row r="86" spans="1:2" x14ac:dyDescent="0.25">
      <c r="A86" s="473"/>
      <c r="B86" s="473"/>
    </row>
    <row r="87" spans="1:2" x14ac:dyDescent="0.25">
      <c r="A87" s="473"/>
      <c r="B87" s="473"/>
    </row>
    <row r="88" spans="1:2" x14ac:dyDescent="0.25">
      <c r="A88" s="473"/>
      <c r="B88" s="473"/>
    </row>
    <row r="89" spans="1:2" x14ac:dyDescent="0.25">
      <c r="A89" s="473"/>
      <c r="B89" s="473"/>
    </row>
    <row r="90" spans="1:2" x14ac:dyDescent="0.25">
      <c r="A90" s="473"/>
      <c r="B90" s="473"/>
    </row>
    <row r="91" spans="1:2" x14ac:dyDescent="0.25">
      <c r="A91" s="473"/>
      <c r="B91" s="473"/>
    </row>
    <row r="92" spans="1:2" x14ac:dyDescent="0.25">
      <c r="A92" s="473"/>
      <c r="B92" s="473"/>
    </row>
    <row r="93" spans="1:2" x14ac:dyDescent="0.25">
      <c r="A93" s="473"/>
      <c r="B93" s="473"/>
    </row>
    <row r="94" spans="1:2" x14ac:dyDescent="0.25">
      <c r="A94" s="473"/>
      <c r="B94" s="473"/>
    </row>
    <row r="95" spans="1:2" x14ac:dyDescent="0.25">
      <c r="A95" s="473"/>
      <c r="B95" s="473"/>
    </row>
    <row r="96" spans="1:2" x14ac:dyDescent="0.25">
      <c r="A96" s="473"/>
      <c r="B96" s="473"/>
    </row>
    <row r="97" spans="1:2" x14ac:dyDescent="0.25">
      <c r="A97" s="473"/>
      <c r="B97" s="473"/>
    </row>
    <row r="98" spans="1:2" x14ac:dyDescent="0.25">
      <c r="A98" s="473"/>
      <c r="B98" s="473"/>
    </row>
    <row r="99" spans="1:2" x14ac:dyDescent="0.25">
      <c r="A99" s="473"/>
      <c r="B99" s="473"/>
    </row>
    <row r="100" spans="1:2" x14ac:dyDescent="0.25">
      <c r="A100" s="473"/>
      <c r="B100" s="473"/>
    </row>
    <row r="101" spans="1:2" x14ac:dyDescent="0.25">
      <c r="A101" s="473"/>
      <c r="B101" s="473"/>
    </row>
    <row r="102" spans="1:2" x14ac:dyDescent="0.25">
      <c r="A102" s="473"/>
      <c r="B102" s="473"/>
    </row>
    <row r="103" spans="1:2" x14ac:dyDescent="0.25">
      <c r="A103" s="473"/>
      <c r="B103" s="473"/>
    </row>
    <row r="104" spans="1:2" x14ac:dyDescent="0.25">
      <c r="A104" s="473"/>
      <c r="B104" s="473"/>
    </row>
    <row r="105" spans="1:2" x14ac:dyDescent="0.25">
      <c r="A105" s="473"/>
      <c r="B105" s="473"/>
    </row>
    <row r="106" spans="1:2" x14ac:dyDescent="0.25">
      <c r="A106" s="473"/>
      <c r="B106" s="473"/>
    </row>
    <row r="107" spans="1:2" x14ac:dyDescent="0.25">
      <c r="A107" s="473"/>
      <c r="B107" s="473"/>
    </row>
    <row r="108" spans="1:2" x14ac:dyDescent="0.25">
      <c r="A108" s="473"/>
      <c r="B108" s="473"/>
    </row>
    <row r="109" spans="1:2" x14ac:dyDescent="0.25">
      <c r="A109" s="473"/>
      <c r="B109" s="473"/>
    </row>
    <row r="110" spans="1:2" x14ac:dyDescent="0.25">
      <c r="A110" s="473"/>
      <c r="B110" s="473"/>
    </row>
    <row r="111" spans="1:2" x14ac:dyDescent="0.25">
      <c r="A111" s="473"/>
      <c r="B111" s="473"/>
    </row>
    <row r="112" spans="1:2" x14ac:dyDescent="0.25">
      <c r="A112" s="473"/>
      <c r="B112" s="473"/>
    </row>
    <row r="113" spans="1:2" x14ac:dyDescent="0.25">
      <c r="A113" s="473"/>
      <c r="B113" s="473"/>
    </row>
    <row r="114" spans="1:2" x14ac:dyDescent="0.25">
      <c r="A114" s="473"/>
      <c r="B114" s="473"/>
    </row>
    <row r="115" spans="1:2" x14ac:dyDescent="0.25">
      <c r="A115" s="473"/>
      <c r="B115" s="473"/>
    </row>
    <row r="116" spans="1:2" x14ac:dyDescent="0.25">
      <c r="A116" s="473"/>
      <c r="B116" s="473"/>
    </row>
    <row r="117" spans="1:2" x14ac:dyDescent="0.25">
      <c r="A117" s="473"/>
      <c r="B117" s="473"/>
    </row>
    <row r="118" spans="1:2" x14ac:dyDescent="0.25">
      <c r="A118" s="473"/>
      <c r="B118" s="473"/>
    </row>
    <row r="119" spans="1:2" x14ac:dyDescent="0.25">
      <c r="A119" s="473"/>
      <c r="B119" s="473"/>
    </row>
    <row r="120" spans="1:2" x14ac:dyDescent="0.25">
      <c r="A120" s="473"/>
      <c r="B120" s="473"/>
    </row>
    <row r="121" spans="1:2" x14ac:dyDescent="0.25">
      <c r="A121" s="473"/>
      <c r="B121" s="473"/>
    </row>
    <row r="122" spans="1:2" x14ac:dyDescent="0.25">
      <c r="A122" s="473"/>
      <c r="B122" s="473"/>
    </row>
    <row r="123" spans="1:2" x14ac:dyDescent="0.25">
      <c r="A123" s="473"/>
      <c r="B123" s="473"/>
    </row>
    <row r="124" spans="1:2" x14ac:dyDescent="0.25">
      <c r="A124" s="473"/>
      <c r="B124" s="473"/>
    </row>
    <row r="125" spans="1:2" x14ac:dyDescent="0.25">
      <c r="A125" s="473"/>
      <c r="B125" s="473"/>
    </row>
    <row r="126" spans="1:2" x14ac:dyDescent="0.25">
      <c r="A126" s="473"/>
      <c r="B126" s="473"/>
    </row>
    <row r="127" spans="1:2" x14ac:dyDescent="0.25">
      <c r="A127" s="473"/>
      <c r="B127" s="473"/>
    </row>
    <row r="128" spans="1:2" x14ac:dyDescent="0.25">
      <c r="A128" s="473"/>
      <c r="B128" s="473"/>
    </row>
    <row r="129" spans="1:2" x14ac:dyDescent="0.25">
      <c r="A129" s="473"/>
      <c r="B129" s="473"/>
    </row>
    <row r="130" spans="1:2" x14ac:dyDescent="0.25">
      <c r="A130" s="473"/>
      <c r="B130" s="473"/>
    </row>
    <row r="131" spans="1:2" x14ac:dyDescent="0.25">
      <c r="A131" s="473"/>
      <c r="B131" s="473"/>
    </row>
    <row r="132" spans="1:2" x14ac:dyDescent="0.25">
      <c r="A132" s="473"/>
      <c r="B132" s="473"/>
    </row>
    <row r="133" spans="1:2" x14ac:dyDescent="0.25">
      <c r="A133" s="473"/>
      <c r="B133" s="473"/>
    </row>
    <row r="134" spans="1:2" x14ac:dyDescent="0.25">
      <c r="A134" s="473"/>
      <c r="B134" s="473"/>
    </row>
    <row r="135" spans="1:2" x14ac:dyDescent="0.25">
      <c r="A135" s="473"/>
      <c r="B135" s="473"/>
    </row>
    <row r="136" spans="1:2" x14ac:dyDescent="0.25">
      <c r="A136" s="473"/>
      <c r="B136" s="473"/>
    </row>
    <row r="137" spans="1:2" x14ac:dyDescent="0.25">
      <c r="A137" s="473"/>
      <c r="B137" s="473"/>
    </row>
    <row r="138" spans="1:2" x14ac:dyDescent="0.25">
      <c r="A138" s="473"/>
      <c r="B138" s="473"/>
    </row>
    <row r="139" spans="1:2" x14ac:dyDescent="0.25">
      <c r="A139" s="473"/>
      <c r="B139" s="473"/>
    </row>
    <row r="140" spans="1:2" x14ac:dyDescent="0.25">
      <c r="A140" s="473"/>
      <c r="B140" s="473"/>
    </row>
    <row r="141" spans="1:2" x14ac:dyDescent="0.25">
      <c r="A141" s="473"/>
      <c r="B141" s="473"/>
    </row>
    <row r="142" spans="1:2" x14ac:dyDescent="0.25">
      <c r="A142" s="473"/>
      <c r="B142" s="473"/>
    </row>
    <row r="143" spans="1:2" x14ac:dyDescent="0.25">
      <c r="A143" s="473"/>
      <c r="B143" s="473"/>
    </row>
    <row r="144" spans="1:2" x14ac:dyDescent="0.25">
      <c r="A144" s="473"/>
      <c r="B144" s="473"/>
    </row>
    <row r="145" spans="1:2" x14ac:dyDescent="0.25">
      <c r="A145" s="473"/>
      <c r="B145" s="473"/>
    </row>
    <row r="146" spans="1:2" x14ac:dyDescent="0.25">
      <c r="A146" s="473"/>
      <c r="B146" s="473"/>
    </row>
    <row r="147" spans="1:2" x14ac:dyDescent="0.25">
      <c r="A147" s="473"/>
      <c r="B147" s="473"/>
    </row>
    <row r="148" spans="1:2" x14ac:dyDescent="0.25">
      <c r="A148" s="473"/>
      <c r="B148" s="473"/>
    </row>
    <row r="149" spans="1:2" x14ac:dyDescent="0.25">
      <c r="A149" s="473"/>
      <c r="B149" s="473"/>
    </row>
    <row r="150" spans="1:2" x14ac:dyDescent="0.25">
      <c r="A150" s="473"/>
      <c r="B150" s="473"/>
    </row>
    <row r="151" spans="1:2" x14ac:dyDescent="0.25">
      <c r="A151" s="473"/>
      <c r="B151" s="473"/>
    </row>
    <row r="152" spans="1:2" x14ac:dyDescent="0.25">
      <c r="A152" s="473"/>
      <c r="B152" s="473"/>
    </row>
    <row r="153" spans="1:2" x14ac:dyDescent="0.25">
      <c r="A153" s="473"/>
      <c r="B153" s="473"/>
    </row>
    <row r="154" spans="1:2" x14ac:dyDescent="0.25">
      <c r="A154" s="473"/>
      <c r="B154" s="473"/>
    </row>
    <row r="155" spans="1:2" x14ac:dyDescent="0.25">
      <c r="A155" s="473"/>
      <c r="B155" s="473"/>
    </row>
    <row r="156" spans="1:2" x14ac:dyDescent="0.25">
      <c r="A156" s="473"/>
      <c r="B156" s="473"/>
    </row>
    <row r="157" spans="1:2" x14ac:dyDescent="0.25">
      <c r="A157" s="473"/>
      <c r="B157" s="473"/>
    </row>
    <row r="158" spans="1:2" x14ac:dyDescent="0.25">
      <c r="A158" s="473"/>
      <c r="B158" s="473"/>
    </row>
    <row r="159" spans="1:2" x14ac:dyDescent="0.25">
      <c r="A159" s="473"/>
      <c r="B159" s="473"/>
    </row>
    <row r="160" spans="1:2" x14ac:dyDescent="0.25">
      <c r="A160" s="473"/>
      <c r="B160" s="473"/>
    </row>
    <row r="161" spans="1:2" x14ac:dyDescent="0.25">
      <c r="A161" s="473"/>
      <c r="B161" s="473"/>
    </row>
    <row r="162" spans="1:2" x14ac:dyDescent="0.25">
      <c r="A162" s="473"/>
      <c r="B162" s="473"/>
    </row>
    <row r="163" spans="1:2" x14ac:dyDescent="0.25">
      <c r="A163" s="473"/>
      <c r="B163" s="473"/>
    </row>
    <row r="164" spans="1:2" x14ac:dyDescent="0.25">
      <c r="A164" s="473"/>
      <c r="B164" s="473"/>
    </row>
    <row r="165" spans="1:2" x14ac:dyDescent="0.25">
      <c r="A165" s="473"/>
      <c r="B165" s="473"/>
    </row>
    <row r="166" spans="1:2" x14ac:dyDescent="0.25">
      <c r="A166" s="473"/>
      <c r="B166" s="473"/>
    </row>
    <row r="167" spans="1:2" x14ac:dyDescent="0.25">
      <c r="A167" s="473"/>
      <c r="B167" s="473"/>
    </row>
    <row r="168" spans="1:2" x14ac:dyDescent="0.25">
      <c r="A168" s="473"/>
      <c r="B168" s="473"/>
    </row>
    <row r="169" spans="1:2" x14ac:dyDescent="0.25">
      <c r="A169" s="473"/>
      <c r="B169" s="473"/>
    </row>
    <row r="170" spans="1:2" x14ac:dyDescent="0.25">
      <c r="A170" s="473"/>
      <c r="B170" s="473"/>
    </row>
    <row r="171" spans="1:2" x14ac:dyDescent="0.25">
      <c r="A171" s="473"/>
      <c r="B171" s="473"/>
    </row>
    <row r="172" spans="1:2" x14ac:dyDescent="0.25">
      <c r="A172" s="473"/>
      <c r="B172" s="473"/>
    </row>
    <row r="173" spans="1:2" x14ac:dyDescent="0.25">
      <c r="A173" s="473"/>
      <c r="B173" s="473"/>
    </row>
    <row r="174" spans="1:2" x14ac:dyDescent="0.25">
      <c r="A174" s="473"/>
      <c r="B174" s="473"/>
    </row>
    <row r="175" spans="1:2" x14ac:dyDescent="0.25">
      <c r="A175" s="473"/>
      <c r="B175" s="473"/>
    </row>
    <row r="176" spans="1:2" x14ac:dyDescent="0.25">
      <c r="A176" s="473"/>
      <c r="B176" s="473"/>
    </row>
    <row r="177" spans="1:2" x14ac:dyDescent="0.25">
      <c r="A177" s="473"/>
      <c r="B177" s="473"/>
    </row>
    <row r="178" spans="1:2" x14ac:dyDescent="0.25">
      <c r="A178" s="473"/>
      <c r="B178" s="473"/>
    </row>
    <row r="179" spans="1:2" x14ac:dyDescent="0.25">
      <c r="A179" s="473"/>
      <c r="B179" s="473"/>
    </row>
    <row r="180" spans="1:2" x14ac:dyDescent="0.25">
      <c r="A180" s="473"/>
      <c r="B180" s="473"/>
    </row>
    <row r="181" spans="1:2" x14ac:dyDescent="0.25">
      <c r="A181" s="473"/>
      <c r="B181" s="473"/>
    </row>
    <row r="182" spans="1:2" x14ac:dyDescent="0.25">
      <c r="A182" s="473"/>
      <c r="B182" s="473"/>
    </row>
    <row r="183" spans="1:2" x14ac:dyDescent="0.25">
      <c r="A183" s="473"/>
      <c r="B183" s="473"/>
    </row>
    <row r="184" spans="1:2" x14ac:dyDescent="0.25">
      <c r="A184" s="473"/>
      <c r="B184" s="473"/>
    </row>
    <row r="185" spans="1:2" x14ac:dyDescent="0.25">
      <c r="A185" s="473"/>
      <c r="B185" s="473"/>
    </row>
    <row r="186" spans="1:2" x14ac:dyDescent="0.25">
      <c r="A186" s="473"/>
      <c r="B186" s="473"/>
    </row>
    <row r="187" spans="1:2" x14ac:dyDescent="0.25">
      <c r="A187" s="473"/>
      <c r="B187" s="473"/>
    </row>
    <row r="188" spans="1:2" x14ac:dyDescent="0.25">
      <c r="A188" s="473"/>
      <c r="B188" s="473"/>
    </row>
    <row r="189" spans="1:2" x14ac:dyDescent="0.25">
      <c r="A189" s="473"/>
      <c r="B189" s="473"/>
    </row>
    <row r="190" spans="1:2" x14ac:dyDescent="0.25">
      <c r="A190" s="473"/>
      <c r="B190" s="473"/>
    </row>
    <row r="191" spans="1:2" x14ac:dyDescent="0.25">
      <c r="A191" s="473"/>
      <c r="B191" s="473"/>
    </row>
    <row r="192" spans="1:2" x14ac:dyDescent="0.25">
      <c r="A192" s="473"/>
      <c r="B192" s="473"/>
    </row>
    <row r="193" spans="1:2" x14ac:dyDescent="0.25">
      <c r="A193" s="473"/>
      <c r="B193" s="473"/>
    </row>
    <row r="194" spans="1:2" x14ac:dyDescent="0.25">
      <c r="A194" s="473"/>
      <c r="B194" s="473"/>
    </row>
    <row r="195" spans="1:2" x14ac:dyDescent="0.25">
      <c r="A195" s="473"/>
      <c r="B195" s="473"/>
    </row>
    <row r="196" spans="1:2" x14ac:dyDescent="0.25">
      <c r="A196" s="473"/>
      <c r="B196" s="473"/>
    </row>
    <row r="197" spans="1:2" x14ac:dyDescent="0.25">
      <c r="A197" s="473"/>
      <c r="B197" s="473"/>
    </row>
    <row r="198" spans="1:2" x14ac:dyDescent="0.25">
      <c r="A198" s="473"/>
      <c r="B198" s="473"/>
    </row>
    <row r="199" spans="1:2" x14ac:dyDescent="0.25">
      <c r="A199" s="473"/>
      <c r="B199" s="473"/>
    </row>
    <row r="200" spans="1:2" x14ac:dyDescent="0.25">
      <c r="A200" s="473"/>
      <c r="B200" s="473"/>
    </row>
    <row r="201" spans="1:2" x14ac:dyDescent="0.25">
      <c r="A201" s="473"/>
      <c r="B201" s="473"/>
    </row>
    <row r="202" spans="1:2" x14ac:dyDescent="0.25">
      <c r="A202" s="473"/>
      <c r="B202" s="473"/>
    </row>
    <row r="203" spans="1:2" x14ac:dyDescent="0.25">
      <c r="A203" s="473"/>
      <c r="B203" s="473"/>
    </row>
    <row r="204" spans="1:2" x14ac:dyDescent="0.25">
      <c r="A204" s="473"/>
      <c r="B204" s="473"/>
    </row>
    <row r="205" spans="1:2" x14ac:dyDescent="0.25">
      <c r="A205" s="473"/>
      <c r="B205" s="473"/>
    </row>
    <row r="206" spans="1:2" x14ac:dyDescent="0.25">
      <c r="A206" s="473"/>
      <c r="B206" s="473"/>
    </row>
    <row r="207" spans="1:2" x14ac:dyDescent="0.25">
      <c r="A207" s="473"/>
      <c r="B207" s="473"/>
    </row>
    <row r="208" spans="1:2" x14ac:dyDescent="0.25">
      <c r="A208" s="473"/>
      <c r="B208" s="473"/>
    </row>
    <row r="209" spans="1:2" x14ac:dyDescent="0.25">
      <c r="A209" s="473"/>
      <c r="B209" s="473"/>
    </row>
    <row r="210" spans="1:2" x14ac:dyDescent="0.25">
      <c r="A210" s="473"/>
      <c r="B210" s="473"/>
    </row>
    <row r="211" spans="1:2" x14ac:dyDescent="0.25">
      <c r="A211" s="473"/>
      <c r="B211" s="473"/>
    </row>
    <row r="212" spans="1:2" x14ac:dyDescent="0.25">
      <c r="A212" s="473"/>
      <c r="B212" s="473"/>
    </row>
    <row r="213" spans="1:2" x14ac:dyDescent="0.25">
      <c r="A213" s="473"/>
      <c r="B213" s="473"/>
    </row>
    <row r="214" spans="1:2" x14ac:dyDescent="0.25">
      <c r="A214" s="473"/>
      <c r="B214" s="473"/>
    </row>
    <row r="215" spans="1:2" x14ac:dyDescent="0.25">
      <c r="A215" s="473"/>
      <c r="B215" s="473"/>
    </row>
    <row r="216" spans="1:2" x14ac:dyDescent="0.25">
      <c r="A216" s="473"/>
      <c r="B216" s="473"/>
    </row>
    <row r="217" spans="1:2" x14ac:dyDescent="0.25">
      <c r="A217" s="473"/>
      <c r="B217" s="473"/>
    </row>
    <row r="218" spans="1:2" x14ac:dyDescent="0.25">
      <c r="A218" s="473"/>
      <c r="B218" s="473"/>
    </row>
    <row r="219" spans="1:2" x14ac:dyDescent="0.25">
      <c r="A219" s="473"/>
      <c r="B219" s="473"/>
    </row>
    <row r="220" spans="1:2" x14ac:dyDescent="0.25">
      <c r="A220" s="473"/>
      <c r="B220" s="473"/>
    </row>
    <row r="221" spans="1:2" x14ac:dyDescent="0.25">
      <c r="A221" s="473"/>
      <c r="B221" s="473"/>
    </row>
    <row r="222" spans="1:2" x14ac:dyDescent="0.25">
      <c r="A222" s="473"/>
      <c r="B222" s="473"/>
    </row>
    <row r="223" spans="1:2" x14ac:dyDescent="0.25">
      <c r="A223" s="473"/>
      <c r="B223" s="473"/>
    </row>
    <row r="224" spans="1:2" x14ac:dyDescent="0.25">
      <c r="A224" s="473"/>
      <c r="B224" s="473"/>
    </row>
    <row r="225" spans="1:2" x14ac:dyDescent="0.25">
      <c r="A225" s="473"/>
      <c r="B225" s="473"/>
    </row>
    <row r="226" spans="1:2" x14ac:dyDescent="0.25">
      <c r="A226" s="473"/>
      <c r="B226" s="473"/>
    </row>
    <row r="227" spans="1:2" x14ac:dyDescent="0.25">
      <c r="A227" s="473"/>
      <c r="B227" s="473"/>
    </row>
    <row r="228" spans="1:2" x14ac:dyDescent="0.25">
      <c r="A228" s="473"/>
      <c r="B228" s="473"/>
    </row>
    <row r="229" spans="1:2" x14ac:dyDescent="0.25">
      <c r="A229" s="473"/>
      <c r="B229" s="473"/>
    </row>
    <row r="230" spans="1:2" x14ac:dyDescent="0.25">
      <c r="A230" s="473"/>
      <c r="B230" s="473"/>
    </row>
    <row r="231" spans="1:2" x14ac:dyDescent="0.25">
      <c r="A231" s="473"/>
      <c r="B231" s="473"/>
    </row>
    <row r="232" spans="1:2" x14ac:dyDescent="0.25">
      <c r="A232" s="473"/>
      <c r="B232" s="473"/>
    </row>
    <row r="233" spans="1:2" x14ac:dyDescent="0.25">
      <c r="A233" s="473"/>
      <c r="B233" s="473"/>
    </row>
    <row r="234" spans="1:2" x14ac:dyDescent="0.25">
      <c r="A234" s="473"/>
      <c r="B234" s="473"/>
    </row>
    <row r="235" spans="1:2" x14ac:dyDescent="0.25">
      <c r="A235" s="473"/>
      <c r="B235" s="473"/>
    </row>
    <row r="236" spans="1:2" x14ac:dyDescent="0.25">
      <c r="A236" s="473"/>
      <c r="B236" s="473"/>
    </row>
    <row r="237" spans="1:2" x14ac:dyDescent="0.25">
      <c r="A237" s="473"/>
      <c r="B237" s="473"/>
    </row>
    <row r="238" spans="1:2" x14ac:dyDescent="0.25">
      <c r="A238" s="473"/>
      <c r="B238" s="473"/>
    </row>
    <row r="239" spans="1:2" x14ac:dyDescent="0.25">
      <c r="A239" s="473"/>
      <c r="B239" s="473"/>
    </row>
    <row r="240" spans="1:2" x14ac:dyDescent="0.25">
      <c r="A240" s="473"/>
      <c r="B240" s="473"/>
    </row>
    <row r="241" spans="1:2" x14ac:dyDescent="0.25">
      <c r="A241" s="473"/>
      <c r="B241" s="473"/>
    </row>
    <row r="242" spans="1:2" x14ac:dyDescent="0.25">
      <c r="A242" s="473"/>
      <c r="B242" s="473"/>
    </row>
    <row r="243" spans="1:2" x14ac:dyDescent="0.25">
      <c r="A243" s="473"/>
      <c r="B243" s="473"/>
    </row>
    <row r="244" spans="1:2" x14ac:dyDescent="0.25">
      <c r="A244" s="473"/>
      <c r="B244" s="473"/>
    </row>
    <row r="245" spans="1:2" x14ac:dyDescent="0.25">
      <c r="A245" s="473"/>
      <c r="B245" s="473"/>
    </row>
    <row r="246" spans="1:2" x14ac:dyDescent="0.25">
      <c r="A246" s="473"/>
      <c r="B246" s="473"/>
    </row>
    <row r="247" spans="1:2" x14ac:dyDescent="0.25">
      <c r="A247" s="473"/>
      <c r="B247" s="473"/>
    </row>
    <row r="248" spans="1:2" x14ac:dyDescent="0.25">
      <c r="A248" s="473"/>
      <c r="B248" s="473"/>
    </row>
    <row r="249" spans="1:2" x14ac:dyDescent="0.25">
      <c r="A249" s="473"/>
      <c r="B249" s="473"/>
    </row>
    <row r="250" spans="1:2" x14ac:dyDescent="0.25">
      <c r="A250" s="473"/>
      <c r="B250" s="473"/>
    </row>
    <row r="251" spans="1:2" x14ac:dyDescent="0.25">
      <c r="A251" s="473"/>
      <c r="B251" s="473"/>
    </row>
    <row r="252" spans="1:2" x14ac:dyDescent="0.25">
      <c r="A252" s="473"/>
      <c r="B252" s="473"/>
    </row>
    <row r="253" spans="1:2" x14ac:dyDescent="0.25">
      <c r="A253" s="473"/>
      <c r="B253" s="473"/>
    </row>
    <row r="254" spans="1:2" x14ac:dyDescent="0.25">
      <c r="A254" s="473"/>
      <c r="B254" s="473"/>
    </row>
    <row r="255" spans="1:2" x14ac:dyDescent="0.25">
      <c r="A255" s="473"/>
      <c r="B255" s="473"/>
    </row>
    <row r="256" spans="1:2" x14ac:dyDescent="0.25">
      <c r="A256" s="473"/>
      <c r="B256" s="473"/>
    </row>
    <row r="257" spans="1:2" x14ac:dyDescent="0.25">
      <c r="A257" s="473"/>
      <c r="B257" s="473"/>
    </row>
    <row r="258" spans="1:2" x14ac:dyDescent="0.25">
      <c r="A258" s="473"/>
      <c r="B258" s="473"/>
    </row>
    <row r="259" spans="1:2" x14ac:dyDescent="0.25">
      <c r="A259" s="473"/>
      <c r="B259" s="473"/>
    </row>
    <row r="260" spans="1:2" x14ac:dyDescent="0.25">
      <c r="A260" s="473"/>
      <c r="B260" s="473"/>
    </row>
    <row r="261" spans="1:2" x14ac:dyDescent="0.25">
      <c r="A261" s="473"/>
      <c r="B261" s="473"/>
    </row>
    <row r="262" spans="1:2" x14ac:dyDescent="0.25">
      <c r="A262" s="473"/>
      <c r="B262" s="473"/>
    </row>
    <row r="263" spans="1:2" x14ac:dyDescent="0.25">
      <c r="A263" s="473"/>
      <c r="B263" s="473"/>
    </row>
    <row r="264" spans="1:2" x14ac:dyDescent="0.25">
      <c r="A264" s="473"/>
      <c r="B264" s="473"/>
    </row>
    <row r="265" spans="1:2" x14ac:dyDescent="0.25">
      <c r="A265" s="473"/>
      <c r="B265" s="473"/>
    </row>
    <row r="266" spans="1:2" x14ac:dyDescent="0.25">
      <c r="A266" s="473"/>
      <c r="B266" s="473"/>
    </row>
    <row r="267" spans="1:2" x14ac:dyDescent="0.25">
      <c r="A267" s="473"/>
      <c r="B267" s="473"/>
    </row>
    <row r="268" spans="1:2" x14ac:dyDescent="0.25">
      <c r="A268" s="473"/>
      <c r="B268" s="473"/>
    </row>
    <row r="269" spans="1:2" x14ac:dyDescent="0.25">
      <c r="A269" s="473"/>
      <c r="B269" s="473"/>
    </row>
    <row r="270" spans="1:2" x14ac:dyDescent="0.25">
      <c r="A270" s="473"/>
      <c r="B270" s="473"/>
    </row>
    <row r="271" spans="1:2" x14ac:dyDescent="0.25">
      <c r="A271" s="473"/>
      <c r="B271" s="473"/>
    </row>
    <row r="272" spans="1:2" x14ac:dyDescent="0.25">
      <c r="A272" s="473"/>
      <c r="B272" s="473"/>
    </row>
    <row r="273" spans="1:2" x14ac:dyDescent="0.25">
      <c r="A273" s="473"/>
      <c r="B273" s="473"/>
    </row>
    <row r="274" spans="1:2" x14ac:dyDescent="0.25">
      <c r="A274" s="473"/>
      <c r="B274" s="473"/>
    </row>
    <row r="275" spans="1:2" x14ac:dyDescent="0.25">
      <c r="A275" s="473"/>
      <c r="B275" s="473"/>
    </row>
    <row r="276" spans="1:2" x14ac:dyDescent="0.25">
      <c r="A276" s="473"/>
      <c r="B276" s="473"/>
    </row>
    <row r="277" spans="1:2" x14ac:dyDescent="0.25">
      <c r="A277" s="473"/>
      <c r="B277" s="473"/>
    </row>
    <row r="278" spans="1:2" x14ac:dyDescent="0.25">
      <c r="A278" s="473"/>
      <c r="B278" s="473"/>
    </row>
    <row r="279" spans="1:2" x14ac:dyDescent="0.25">
      <c r="A279" s="473"/>
      <c r="B279" s="473"/>
    </row>
    <row r="280" spans="1:2" x14ac:dyDescent="0.25">
      <c r="A280" s="473"/>
      <c r="B280" s="473"/>
    </row>
    <row r="281" spans="1:2" x14ac:dyDescent="0.25">
      <c r="A281" s="473"/>
      <c r="B281" s="473"/>
    </row>
    <row r="282" spans="1:2" x14ac:dyDescent="0.25">
      <c r="A282" s="473"/>
      <c r="B282" s="473"/>
    </row>
    <row r="283" spans="1:2" x14ac:dyDescent="0.25">
      <c r="A283" s="473"/>
      <c r="B283" s="473"/>
    </row>
    <row r="284" spans="1:2" x14ac:dyDescent="0.25">
      <c r="A284" s="473"/>
      <c r="B284" s="473"/>
    </row>
    <row r="285" spans="1:2" x14ac:dyDescent="0.25">
      <c r="A285" s="473"/>
      <c r="B285" s="473"/>
    </row>
    <row r="286" spans="1:2" x14ac:dyDescent="0.25">
      <c r="A286" s="473"/>
      <c r="B286" s="473"/>
    </row>
    <row r="287" spans="1:2" x14ac:dyDescent="0.25">
      <c r="A287" s="473"/>
      <c r="B287" s="473"/>
    </row>
    <row r="288" spans="1:2" x14ac:dyDescent="0.25">
      <c r="A288" s="473"/>
      <c r="B288" s="473"/>
    </row>
    <row r="289" spans="1:2" x14ac:dyDescent="0.25">
      <c r="A289" s="473"/>
      <c r="B289" s="473"/>
    </row>
    <row r="290" spans="1:2" x14ac:dyDescent="0.25">
      <c r="A290" s="473"/>
      <c r="B290" s="473"/>
    </row>
    <row r="291" spans="1:2" x14ac:dyDescent="0.25">
      <c r="A291" s="473"/>
      <c r="B291" s="473"/>
    </row>
    <row r="292" spans="1:2" x14ac:dyDescent="0.25">
      <c r="A292" s="473"/>
      <c r="B292" s="473"/>
    </row>
    <row r="293" spans="1:2" x14ac:dyDescent="0.25">
      <c r="A293" s="473"/>
      <c r="B293" s="473"/>
    </row>
    <row r="294" spans="1:2" x14ac:dyDescent="0.25">
      <c r="A294" s="473"/>
      <c r="B294" s="473"/>
    </row>
    <row r="295" spans="1:2" x14ac:dyDescent="0.25">
      <c r="A295" s="473"/>
      <c r="B295" s="473"/>
    </row>
    <row r="296" spans="1:2" x14ac:dyDescent="0.25">
      <c r="A296" s="473"/>
      <c r="B296" s="473"/>
    </row>
    <row r="297" spans="1:2" x14ac:dyDescent="0.25">
      <c r="A297" s="473"/>
      <c r="B297" s="473"/>
    </row>
    <row r="298" spans="1:2" x14ac:dyDescent="0.25">
      <c r="A298" s="473"/>
      <c r="B298" s="473"/>
    </row>
    <row r="299" spans="1:2" x14ac:dyDescent="0.25">
      <c r="A299" s="473"/>
      <c r="B299" s="473"/>
    </row>
    <row r="300" spans="1:2" x14ac:dyDescent="0.25">
      <c r="A300" s="473"/>
      <c r="B300" s="473"/>
    </row>
    <row r="301" spans="1:2" x14ac:dyDescent="0.25">
      <c r="A301" s="473"/>
      <c r="B301" s="473"/>
    </row>
    <row r="302" spans="1:2" x14ac:dyDescent="0.25">
      <c r="A302" s="473"/>
      <c r="B302" s="473"/>
    </row>
    <row r="303" spans="1:2" x14ac:dyDescent="0.25">
      <c r="A303" s="473"/>
      <c r="B303" s="473"/>
    </row>
    <row r="304" spans="1:2" x14ac:dyDescent="0.25">
      <c r="A304" s="473"/>
      <c r="B304" s="473"/>
    </row>
    <row r="305" spans="1:2" x14ac:dyDescent="0.25">
      <c r="A305" s="473"/>
      <c r="B305" s="473"/>
    </row>
    <row r="306" spans="1:2" x14ac:dyDescent="0.25">
      <c r="A306" s="473"/>
      <c r="B306" s="473"/>
    </row>
    <row r="307" spans="1:2" x14ac:dyDescent="0.25">
      <c r="A307" s="473"/>
      <c r="B307" s="473"/>
    </row>
    <row r="308" spans="1:2" x14ac:dyDescent="0.25">
      <c r="A308" s="473"/>
      <c r="B308" s="473"/>
    </row>
    <row r="309" spans="1:2" x14ac:dyDescent="0.25">
      <c r="A309" s="473"/>
      <c r="B309" s="473"/>
    </row>
    <row r="310" spans="1:2" x14ac:dyDescent="0.25">
      <c r="A310" s="473"/>
      <c r="B310" s="473"/>
    </row>
    <row r="311" spans="1:2" x14ac:dyDescent="0.25">
      <c r="A311" s="473"/>
      <c r="B311" s="473"/>
    </row>
    <row r="312" spans="1:2" x14ac:dyDescent="0.25">
      <c r="A312" s="473"/>
      <c r="B312" s="473"/>
    </row>
    <row r="313" spans="1:2" x14ac:dyDescent="0.25">
      <c r="A313" s="473"/>
      <c r="B313" s="473"/>
    </row>
    <row r="314" spans="1:2" x14ac:dyDescent="0.25">
      <c r="A314" s="473"/>
      <c r="B314" s="473"/>
    </row>
    <row r="315" spans="1:2" x14ac:dyDescent="0.25">
      <c r="A315" s="473"/>
      <c r="B315" s="473"/>
    </row>
    <row r="316" spans="1:2" x14ac:dyDescent="0.25">
      <c r="A316" s="473"/>
      <c r="B316" s="473"/>
    </row>
    <row r="317" spans="1:2" x14ac:dyDescent="0.25">
      <c r="A317" s="473"/>
      <c r="B317" s="473"/>
    </row>
    <row r="318" spans="1:2" x14ac:dyDescent="0.25">
      <c r="A318" s="473"/>
      <c r="B318" s="473"/>
    </row>
    <row r="319" spans="1:2" x14ac:dyDescent="0.25">
      <c r="A319" s="473"/>
      <c r="B319" s="473"/>
    </row>
    <row r="320" spans="1:2" x14ac:dyDescent="0.25">
      <c r="A320" s="473"/>
      <c r="B320" s="473"/>
    </row>
    <row r="321" spans="1:2" x14ac:dyDescent="0.25">
      <c r="A321" s="473"/>
      <c r="B321" s="473"/>
    </row>
    <row r="322" spans="1:2" x14ac:dyDescent="0.25">
      <c r="A322" s="473"/>
      <c r="B322" s="473"/>
    </row>
    <row r="323" spans="1:2" x14ac:dyDescent="0.25">
      <c r="A323" s="473"/>
      <c r="B323" s="473"/>
    </row>
    <row r="324" spans="1:2" x14ac:dyDescent="0.25">
      <c r="A324" s="473"/>
      <c r="B324" s="473"/>
    </row>
    <row r="325" spans="1:2" x14ac:dyDescent="0.25">
      <c r="A325" s="473"/>
      <c r="B325" s="473"/>
    </row>
    <row r="326" spans="1:2" x14ac:dyDescent="0.25">
      <c r="A326" s="473"/>
      <c r="B326" s="473"/>
    </row>
    <row r="327" spans="1:2" x14ac:dyDescent="0.25">
      <c r="A327" s="473"/>
      <c r="B327" s="473"/>
    </row>
    <row r="328" spans="1:2" x14ac:dyDescent="0.25">
      <c r="A328" s="473"/>
      <c r="B328" s="473"/>
    </row>
    <row r="329" spans="1:2" x14ac:dyDescent="0.25">
      <c r="A329" s="473"/>
      <c r="B329" s="473"/>
    </row>
    <row r="330" spans="1:2" x14ac:dyDescent="0.25">
      <c r="A330" s="473"/>
      <c r="B330" s="473"/>
    </row>
    <row r="331" spans="1:2" x14ac:dyDescent="0.25">
      <c r="A331" s="473"/>
      <c r="B331" s="473"/>
    </row>
    <row r="332" spans="1:2" x14ac:dyDescent="0.25">
      <c r="A332" s="473"/>
      <c r="B332" s="473"/>
    </row>
    <row r="333" spans="1:2" x14ac:dyDescent="0.25">
      <c r="A333" s="473"/>
      <c r="B333" s="473"/>
    </row>
    <row r="334" spans="1:2" x14ac:dyDescent="0.25">
      <c r="A334" s="473"/>
      <c r="B334" s="473"/>
    </row>
    <row r="335" spans="1:2" x14ac:dyDescent="0.25">
      <c r="A335" s="473"/>
      <c r="B335" s="473"/>
    </row>
    <row r="336" spans="1:2" x14ac:dyDescent="0.25">
      <c r="A336" s="473"/>
      <c r="B336" s="473"/>
    </row>
    <row r="337" spans="1:2" x14ac:dyDescent="0.25">
      <c r="A337" s="473"/>
      <c r="B337" s="473"/>
    </row>
    <row r="338" spans="1:2" x14ac:dyDescent="0.25">
      <c r="A338" s="473"/>
      <c r="B338" s="473"/>
    </row>
    <row r="339" spans="1:2" x14ac:dyDescent="0.25">
      <c r="A339" s="473"/>
      <c r="B339" s="473"/>
    </row>
    <row r="340" spans="1:2" x14ac:dyDescent="0.25">
      <c r="A340" s="473"/>
      <c r="B340" s="473"/>
    </row>
    <row r="341" spans="1:2" x14ac:dyDescent="0.25">
      <c r="A341" s="473"/>
      <c r="B341" s="473"/>
    </row>
    <row r="342" spans="1:2" x14ac:dyDescent="0.25">
      <c r="A342" s="473"/>
      <c r="B342" s="473"/>
    </row>
    <row r="343" spans="1:2" x14ac:dyDescent="0.25">
      <c r="A343" s="473"/>
      <c r="B343" s="473"/>
    </row>
    <row r="344" spans="1:2" x14ac:dyDescent="0.25">
      <c r="A344" s="473"/>
      <c r="B344" s="473"/>
    </row>
    <row r="345" spans="1:2" x14ac:dyDescent="0.25">
      <c r="A345" s="473"/>
      <c r="B345" s="473"/>
    </row>
    <row r="346" spans="1:2" x14ac:dyDescent="0.25">
      <c r="A346" s="473"/>
      <c r="B346" s="473"/>
    </row>
    <row r="347" spans="1:2" x14ac:dyDescent="0.25">
      <c r="A347" s="473"/>
      <c r="B347" s="473"/>
    </row>
    <row r="348" spans="1:2" x14ac:dyDescent="0.25">
      <c r="A348" s="473"/>
      <c r="B348" s="473"/>
    </row>
    <row r="349" spans="1:2" x14ac:dyDescent="0.25">
      <c r="A349" s="473"/>
      <c r="B349" s="473"/>
    </row>
    <row r="350" spans="1:2" x14ac:dyDescent="0.25">
      <c r="A350" s="473"/>
      <c r="B350" s="473"/>
    </row>
    <row r="351" spans="1:2" x14ac:dyDescent="0.25">
      <c r="A351" s="473"/>
      <c r="B351" s="473"/>
    </row>
    <row r="352" spans="1:2" x14ac:dyDescent="0.25">
      <c r="A352" s="473"/>
      <c r="B352" s="473"/>
    </row>
    <row r="353" spans="1:2" x14ac:dyDescent="0.25">
      <c r="A353" s="473"/>
      <c r="B353" s="473"/>
    </row>
    <row r="354" spans="1:2" x14ac:dyDescent="0.25">
      <c r="A354" s="473"/>
      <c r="B354" s="473"/>
    </row>
    <row r="355" spans="1:2" x14ac:dyDescent="0.25">
      <c r="A355" s="473"/>
      <c r="B355" s="473"/>
    </row>
    <row r="356" spans="1:2" x14ac:dyDescent="0.25">
      <c r="A356" s="473"/>
      <c r="B356" s="473"/>
    </row>
    <row r="357" spans="1:2" x14ac:dyDescent="0.25">
      <c r="A357" s="473"/>
      <c r="B357" s="473"/>
    </row>
    <row r="358" spans="1:2" x14ac:dyDescent="0.25">
      <c r="A358" s="473"/>
      <c r="B358" s="473"/>
    </row>
    <row r="359" spans="1:2" x14ac:dyDescent="0.25">
      <c r="A359" s="473"/>
      <c r="B359" s="473"/>
    </row>
    <row r="360" spans="1:2" x14ac:dyDescent="0.25">
      <c r="A360" s="473"/>
      <c r="B360" s="473"/>
    </row>
    <row r="361" spans="1:2" x14ac:dyDescent="0.25">
      <c r="A361" s="473"/>
      <c r="B361" s="473"/>
    </row>
    <row r="362" spans="1:2" x14ac:dyDescent="0.25">
      <c r="A362" s="473"/>
      <c r="B362" s="473"/>
    </row>
    <row r="363" spans="1:2" x14ac:dyDescent="0.25">
      <c r="A363" s="473"/>
      <c r="B363" s="473"/>
    </row>
    <row r="364" spans="1:2" x14ac:dyDescent="0.25">
      <c r="A364" s="473"/>
      <c r="B364" s="473"/>
    </row>
    <row r="365" spans="1:2" x14ac:dyDescent="0.25">
      <c r="A365" s="473"/>
      <c r="B365" s="473"/>
    </row>
    <row r="366" spans="1:2" x14ac:dyDescent="0.25">
      <c r="A366" s="473"/>
      <c r="B366" s="473"/>
    </row>
    <row r="367" spans="1:2" x14ac:dyDescent="0.25">
      <c r="A367" s="473"/>
      <c r="B367" s="473"/>
    </row>
    <row r="368" spans="1:2" x14ac:dyDescent="0.25">
      <c r="A368" s="473"/>
      <c r="B368" s="473"/>
    </row>
    <row r="369" spans="1:2" x14ac:dyDescent="0.25">
      <c r="A369" s="473"/>
      <c r="B369" s="473"/>
    </row>
    <row r="370" spans="1:2" x14ac:dyDescent="0.25">
      <c r="A370" s="473"/>
      <c r="B370" s="473"/>
    </row>
    <row r="371" spans="1:2" x14ac:dyDescent="0.25">
      <c r="A371" s="473"/>
      <c r="B371" s="473"/>
    </row>
    <row r="372" spans="1:2" x14ac:dyDescent="0.25">
      <c r="A372" s="473"/>
      <c r="B372" s="473"/>
    </row>
    <row r="373" spans="1:2" x14ac:dyDescent="0.25">
      <c r="A373" s="473"/>
      <c r="B373" s="473"/>
    </row>
    <row r="374" spans="1:2" x14ac:dyDescent="0.25">
      <c r="A374" s="473"/>
      <c r="B374" s="473"/>
    </row>
    <row r="375" spans="1:2" x14ac:dyDescent="0.25">
      <c r="A375" s="473"/>
      <c r="B375" s="473"/>
    </row>
    <row r="376" spans="1:2" x14ac:dyDescent="0.25">
      <c r="A376" s="473"/>
      <c r="B376" s="473"/>
    </row>
    <row r="377" spans="1:2" x14ac:dyDescent="0.25">
      <c r="A377" s="473"/>
      <c r="B377" s="473"/>
    </row>
    <row r="378" spans="1:2" x14ac:dyDescent="0.25">
      <c r="A378" s="473"/>
      <c r="B378" s="473"/>
    </row>
    <row r="379" spans="1:2" x14ac:dyDescent="0.25">
      <c r="A379" s="473"/>
      <c r="B379" s="473"/>
    </row>
    <row r="380" spans="1:2" x14ac:dyDescent="0.25">
      <c r="A380" s="473"/>
      <c r="B380" s="473"/>
    </row>
    <row r="381" spans="1:2" x14ac:dyDescent="0.25">
      <c r="A381" s="473"/>
      <c r="B381" s="473"/>
    </row>
    <row r="382" spans="1:2" x14ac:dyDescent="0.25">
      <c r="A382" s="473"/>
      <c r="B382" s="473"/>
    </row>
    <row r="383" spans="1:2" x14ac:dyDescent="0.25">
      <c r="A383" s="473"/>
      <c r="B383" s="473"/>
    </row>
    <row r="384" spans="1:2" x14ac:dyDescent="0.25">
      <c r="A384" s="473"/>
      <c r="B384" s="473"/>
    </row>
    <row r="385" spans="1:2" x14ac:dyDescent="0.25">
      <c r="A385" s="473"/>
      <c r="B385" s="473"/>
    </row>
    <row r="386" spans="1:2" x14ac:dyDescent="0.25">
      <c r="A386" s="473"/>
      <c r="B386" s="473"/>
    </row>
    <row r="387" spans="1:2" x14ac:dyDescent="0.25">
      <c r="A387" s="473"/>
      <c r="B387" s="473"/>
    </row>
    <row r="388" spans="1:2" x14ac:dyDescent="0.25">
      <c r="A388" s="473"/>
      <c r="B388" s="473"/>
    </row>
    <row r="389" spans="1:2" x14ac:dyDescent="0.25">
      <c r="A389" s="473"/>
      <c r="B389" s="473"/>
    </row>
    <row r="390" spans="1:2" x14ac:dyDescent="0.25">
      <c r="A390" s="473"/>
      <c r="B390" s="473"/>
    </row>
    <row r="391" spans="1:2" x14ac:dyDescent="0.25">
      <c r="A391" s="473"/>
      <c r="B391" s="473"/>
    </row>
    <row r="392" spans="1:2" x14ac:dyDescent="0.25">
      <c r="A392" s="473"/>
      <c r="B392" s="473"/>
    </row>
    <row r="393" spans="1:2" x14ac:dyDescent="0.25">
      <c r="A393" s="473"/>
      <c r="B393" s="473"/>
    </row>
    <row r="394" spans="1:2" x14ac:dyDescent="0.25">
      <c r="A394" s="473"/>
      <c r="B394" s="473"/>
    </row>
    <row r="395" spans="1:2" x14ac:dyDescent="0.25">
      <c r="A395" s="473"/>
      <c r="B395" s="473"/>
    </row>
    <row r="396" spans="1:2" x14ac:dyDescent="0.25">
      <c r="A396" s="473"/>
      <c r="B396" s="473"/>
    </row>
    <row r="397" spans="1:2" x14ac:dyDescent="0.25">
      <c r="A397" s="473"/>
      <c r="B397" s="473"/>
    </row>
    <row r="398" spans="1:2" x14ac:dyDescent="0.25">
      <c r="A398" s="473"/>
      <c r="B398" s="473"/>
    </row>
    <row r="399" spans="1:2" x14ac:dyDescent="0.25">
      <c r="A399" s="473"/>
      <c r="B399" s="473"/>
    </row>
    <row r="400" spans="1:2" x14ac:dyDescent="0.25">
      <c r="A400" s="473"/>
      <c r="B400" s="473"/>
    </row>
    <row r="401" spans="1:2" x14ac:dyDescent="0.25">
      <c r="A401" s="473"/>
      <c r="B401" s="473"/>
    </row>
    <row r="402" spans="1:2" x14ac:dyDescent="0.25">
      <c r="A402" s="473"/>
      <c r="B402" s="473"/>
    </row>
    <row r="403" spans="1:2" x14ac:dyDescent="0.25">
      <c r="A403" s="473"/>
      <c r="B403" s="473"/>
    </row>
    <row r="404" spans="1:2" x14ac:dyDescent="0.25">
      <c r="A404" s="473"/>
      <c r="B404" s="473"/>
    </row>
    <row r="405" spans="1:2" x14ac:dyDescent="0.25">
      <c r="A405" s="473"/>
      <c r="B405" s="473"/>
    </row>
    <row r="406" spans="1:2" x14ac:dyDescent="0.25">
      <c r="A406" s="473"/>
      <c r="B406" s="473"/>
    </row>
    <row r="407" spans="1:2" x14ac:dyDescent="0.25">
      <c r="A407" s="473"/>
      <c r="B407" s="473"/>
    </row>
    <row r="408" spans="1:2" x14ac:dyDescent="0.25">
      <c r="A408" s="473"/>
      <c r="B408" s="473"/>
    </row>
    <row r="409" spans="1:2" x14ac:dyDescent="0.25">
      <c r="A409" s="473"/>
      <c r="B409" s="473"/>
    </row>
    <row r="410" spans="1:2" x14ac:dyDescent="0.25">
      <c r="A410" s="473"/>
      <c r="B410" s="473"/>
    </row>
    <row r="411" spans="1:2" x14ac:dyDescent="0.25">
      <c r="A411" s="473"/>
      <c r="B411" s="473"/>
    </row>
    <row r="412" spans="1:2" x14ac:dyDescent="0.25">
      <c r="A412" s="473"/>
      <c r="B412" s="473"/>
    </row>
    <row r="413" spans="1:2" x14ac:dyDescent="0.25">
      <c r="A413" s="473"/>
      <c r="B413" s="473"/>
    </row>
    <row r="414" spans="1:2" x14ac:dyDescent="0.25">
      <c r="A414" s="473"/>
      <c r="B414" s="473"/>
    </row>
    <row r="415" spans="1:2" x14ac:dyDescent="0.25">
      <c r="A415" s="473"/>
      <c r="B415" s="473"/>
    </row>
    <row r="416" spans="1:2" x14ac:dyDescent="0.25">
      <c r="A416" s="473"/>
      <c r="B416" s="473"/>
    </row>
    <row r="417" spans="1:2" x14ac:dyDescent="0.25">
      <c r="A417" s="473"/>
      <c r="B417" s="473"/>
    </row>
    <row r="418" spans="1:2" x14ac:dyDescent="0.25">
      <c r="A418" s="473"/>
      <c r="B418" s="473"/>
    </row>
    <row r="419" spans="1:2" x14ac:dyDescent="0.25">
      <c r="A419" s="473"/>
      <c r="B419" s="473"/>
    </row>
    <row r="420" spans="1:2" x14ac:dyDescent="0.25">
      <c r="A420" s="473"/>
      <c r="B420" s="473"/>
    </row>
    <row r="421" spans="1:2" x14ac:dyDescent="0.25">
      <c r="A421" s="473"/>
      <c r="B421" s="473"/>
    </row>
    <row r="422" spans="1:2" x14ac:dyDescent="0.25">
      <c r="A422" s="473"/>
      <c r="B422" s="473"/>
    </row>
    <row r="423" spans="1:2" x14ac:dyDescent="0.25">
      <c r="A423" s="473"/>
      <c r="B423" s="473"/>
    </row>
    <row r="424" spans="1:2" x14ac:dyDescent="0.25">
      <c r="A424" s="473"/>
      <c r="B424" s="473"/>
    </row>
    <row r="425" spans="1:2" x14ac:dyDescent="0.25">
      <c r="A425" s="473"/>
      <c r="B425" s="473"/>
    </row>
    <row r="426" spans="1:2" x14ac:dyDescent="0.25">
      <c r="A426" s="473"/>
      <c r="B426" s="473"/>
    </row>
    <row r="427" spans="1:2" x14ac:dyDescent="0.25">
      <c r="A427" s="473"/>
      <c r="B427" s="473"/>
    </row>
    <row r="428" spans="1:2" x14ac:dyDescent="0.25">
      <c r="A428" s="473"/>
      <c r="B428" s="473"/>
    </row>
    <row r="429" spans="1:2" x14ac:dyDescent="0.25">
      <c r="A429" s="473"/>
      <c r="B429" s="473"/>
    </row>
    <row r="430" spans="1:2" x14ac:dyDescent="0.25">
      <c r="A430" s="473"/>
      <c r="B430" s="473"/>
    </row>
    <row r="431" spans="1:2" x14ac:dyDescent="0.25">
      <c r="A431" s="473"/>
      <c r="B431" s="473"/>
    </row>
    <row r="432" spans="1:2" x14ac:dyDescent="0.25">
      <c r="A432" s="473"/>
      <c r="B432" s="473"/>
    </row>
    <row r="433" spans="1:2" x14ac:dyDescent="0.25">
      <c r="A433" s="473"/>
      <c r="B433" s="473"/>
    </row>
    <row r="434" spans="1:2" x14ac:dyDescent="0.25">
      <c r="A434" s="473"/>
      <c r="B434" s="473"/>
    </row>
    <row r="435" spans="1:2" x14ac:dyDescent="0.25">
      <c r="A435" s="473"/>
      <c r="B435" s="473"/>
    </row>
    <row r="436" spans="1:2" x14ac:dyDescent="0.25">
      <c r="A436" s="473"/>
      <c r="B436" s="473"/>
    </row>
    <row r="437" spans="1:2" x14ac:dyDescent="0.25">
      <c r="A437" s="473"/>
      <c r="B437" s="473"/>
    </row>
    <row r="438" spans="1:2" x14ac:dyDescent="0.25">
      <c r="A438" s="473"/>
      <c r="B438" s="473"/>
    </row>
    <row r="439" spans="1:2" x14ac:dyDescent="0.25">
      <c r="A439" s="473"/>
      <c r="B439" s="473"/>
    </row>
    <row r="440" spans="1:2" x14ac:dyDescent="0.25">
      <c r="A440" s="473"/>
      <c r="B440" s="473"/>
    </row>
    <row r="441" spans="1:2" x14ac:dyDescent="0.25">
      <c r="A441" s="473"/>
      <c r="B441" s="473"/>
    </row>
    <row r="442" spans="1:2" x14ac:dyDescent="0.25">
      <c r="A442" s="473"/>
      <c r="B442" s="473"/>
    </row>
    <row r="443" spans="1:2" x14ac:dyDescent="0.25">
      <c r="A443" s="473"/>
      <c r="B443" s="473"/>
    </row>
    <row r="444" spans="1:2" x14ac:dyDescent="0.25">
      <c r="A444" s="473"/>
      <c r="B444" s="473"/>
    </row>
    <row r="445" spans="1:2" x14ac:dyDescent="0.25">
      <c r="A445" s="473"/>
      <c r="B445" s="473"/>
    </row>
    <row r="446" spans="1:2" x14ac:dyDescent="0.25">
      <c r="A446" s="473"/>
      <c r="B446" s="473"/>
    </row>
    <row r="447" spans="1:2" x14ac:dyDescent="0.25">
      <c r="A447" s="473"/>
      <c r="B447" s="473"/>
    </row>
    <row r="448" spans="1:2" x14ac:dyDescent="0.25">
      <c r="A448" s="473"/>
      <c r="B448" s="473"/>
    </row>
    <row r="449" spans="1:2" x14ac:dyDescent="0.25">
      <c r="A449" s="473"/>
      <c r="B449" s="473"/>
    </row>
    <row r="450" spans="1:2" x14ac:dyDescent="0.25">
      <c r="A450" s="473"/>
      <c r="B450" s="473"/>
    </row>
    <row r="451" spans="1:2" x14ac:dyDescent="0.25">
      <c r="A451" s="473"/>
      <c r="B451" s="473"/>
    </row>
    <row r="452" spans="1:2" x14ac:dyDescent="0.25">
      <c r="A452" s="473"/>
      <c r="B452" s="473"/>
    </row>
    <row r="453" spans="1:2" x14ac:dyDescent="0.25">
      <c r="A453" s="473"/>
      <c r="B453" s="473"/>
    </row>
    <row r="454" spans="1:2" x14ac:dyDescent="0.25">
      <c r="A454" s="473"/>
      <c r="B454" s="473"/>
    </row>
    <row r="455" spans="1:2" x14ac:dyDescent="0.25">
      <c r="A455" s="473"/>
      <c r="B455" s="473"/>
    </row>
    <row r="456" spans="1:2" x14ac:dyDescent="0.25">
      <c r="A456" s="473"/>
      <c r="B456" s="473"/>
    </row>
    <row r="457" spans="1:2" x14ac:dyDescent="0.25">
      <c r="A457" s="473"/>
      <c r="B457" s="473"/>
    </row>
    <row r="458" spans="1:2" x14ac:dyDescent="0.25">
      <c r="A458" s="473"/>
      <c r="B458" s="473"/>
    </row>
    <row r="459" spans="1:2" x14ac:dyDescent="0.25">
      <c r="A459" s="473"/>
      <c r="B459" s="473"/>
    </row>
    <row r="460" spans="1:2" x14ac:dyDescent="0.25">
      <c r="A460" s="473"/>
      <c r="B460" s="473"/>
    </row>
    <row r="461" spans="1:2" x14ac:dyDescent="0.25">
      <c r="A461" s="473"/>
      <c r="B461" s="473"/>
    </row>
    <row r="462" spans="1:2" x14ac:dyDescent="0.25">
      <c r="A462" s="473"/>
      <c r="B462" s="473"/>
    </row>
    <row r="463" spans="1:2" x14ac:dyDescent="0.25">
      <c r="A463" s="473"/>
      <c r="B463" s="473"/>
    </row>
    <row r="464" spans="1:2" x14ac:dyDescent="0.25">
      <c r="A464" s="473"/>
      <c r="B464" s="473"/>
    </row>
    <row r="465" spans="1:2" x14ac:dyDescent="0.25">
      <c r="A465" s="473"/>
      <c r="B465" s="473"/>
    </row>
    <row r="466" spans="1:2" x14ac:dyDescent="0.25">
      <c r="A466" s="473"/>
      <c r="B466" s="473"/>
    </row>
    <row r="467" spans="1:2" x14ac:dyDescent="0.25">
      <c r="A467" s="473"/>
      <c r="B467" s="473"/>
    </row>
    <row r="468" spans="1:2" x14ac:dyDescent="0.25">
      <c r="A468" s="473"/>
      <c r="B468" s="473"/>
    </row>
    <row r="469" spans="1:2" x14ac:dyDescent="0.25">
      <c r="A469" s="473"/>
      <c r="B469" s="473"/>
    </row>
    <row r="470" spans="1:2" x14ac:dyDescent="0.25">
      <c r="A470" s="473"/>
      <c r="B470" s="473"/>
    </row>
    <row r="471" spans="1:2" x14ac:dyDescent="0.25">
      <c r="A471" s="473"/>
      <c r="B471" s="473"/>
    </row>
    <row r="472" spans="1:2" x14ac:dyDescent="0.25">
      <c r="A472" s="473"/>
      <c r="B472" s="473"/>
    </row>
    <row r="473" spans="1:2" x14ac:dyDescent="0.25">
      <c r="A473" s="473"/>
      <c r="B473" s="473"/>
    </row>
    <row r="474" spans="1:2" x14ac:dyDescent="0.25">
      <c r="A474" s="473"/>
      <c r="B474" s="473"/>
    </row>
    <row r="475" spans="1:2" x14ac:dyDescent="0.25">
      <c r="A475" s="473"/>
      <c r="B475" s="473"/>
    </row>
    <row r="476" spans="1:2" x14ac:dyDescent="0.25">
      <c r="A476" s="473"/>
      <c r="B476" s="473"/>
    </row>
    <row r="477" spans="1:2" x14ac:dyDescent="0.25">
      <c r="A477" s="473"/>
      <c r="B477" s="473"/>
    </row>
    <row r="478" spans="1:2" x14ac:dyDescent="0.25">
      <c r="A478" s="473"/>
      <c r="B478" s="473"/>
    </row>
    <row r="479" spans="1:2" x14ac:dyDescent="0.25">
      <c r="A479" s="473"/>
      <c r="B479" s="473"/>
    </row>
    <row r="480" spans="1:2" x14ac:dyDescent="0.25">
      <c r="A480" s="473"/>
      <c r="B480" s="473"/>
    </row>
    <row r="481" spans="1:2" x14ac:dyDescent="0.25">
      <c r="A481" s="473"/>
      <c r="B481" s="473"/>
    </row>
    <row r="482" spans="1:2" x14ac:dyDescent="0.25">
      <c r="A482" s="473"/>
      <c r="B482" s="473"/>
    </row>
    <row r="483" spans="1:2" x14ac:dyDescent="0.25">
      <c r="A483" s="473"/>
      <c r="B483" s="473"/>
    </row>
    <row r="484" spans="1:2" x14ac:dyDescent="0.25">
      <c r="A484" s="473"/>
      <c r="B484" s="473"/>
    </row>
    <row r="485" spans="1:2" x14ac:dyDescent="0.25">
      <c r="A485" s="473"/>
      <c r="B485" s="473"/>
    </row>
    <row r="486" spans="1:2" x14ac:dyDescent="0.25">
      <c r="A486" s="473"/>
      <c r="B486" s="473"/>
    </row>
    <row r="487" spans="1:2" x14ac:dyDescent="0.25">
      <c r="A487" s="473"/>
      <c r="B487" s="473"/>
    </row>
    <row r="488" spans="1:2" x14ac:dyDescent="0.25">
      <c r="A488" s="473"/>
      <c r="B488" s="473"/>
    </row>
    <row r="489" spans="1:2" x14ac:dyDescent="0.25">
      <c r="A489" s="473"/>
      <c r="B489" s="473"/>
    </row>
    <row r="490" spans="1:2" x14ac:dyDescent="0.25">
      <c r="A490" s="473"/>
      <c r="B490" s="473"/>
    </row>
    <row r="491" spans="1:2" x14ac:dyDescent="0.25">
      <c r="A491" s="473"/>
      <c r="B491" s="473"/>
    </row>
    <row r="492" spans="1:2" x14ac:dyDescent="0.25">
      <c r="A492" s="473"/>
      <c r="B492" s="473"/>
    </row>
    <row r="493" spans="1:2" x14ac:dyDescent="0.25">
      <c r="A493" s="473"/>
      <c r="B493" s="473"/>
    </row>
    <row r="494" spans="1:2" x14ac:dyDescent="0.25">
      <c r="A494" s="473"/>
      <c r="B494" s="473"/>
    </row>
    <row r="495" spans="1:2" x14ac:dyDescent="0.25">
      <c r="A495" s="473"/>
      <c r="B495" s="473"/>
    </row>
    <row r="496" spans="1:2" x14ac:dyDescent="0.25">
      <c r="A496" s="473"/>
      <c r="B496" s="473"/>
    </row>
    <row r="497" spans="1:2" x14ac:dyDescent="0.25">
      <c r="A497" s="473"/>
      <c r="B497" s="473"/>
    </row>
    <row r="498" spans="1:2" x14ac:dyDescent="0.25">
      <c r="A498" s="473"/>
      <c r="B498" s="473"/>
    </row>
    <row r="499" spans="1:2" x14ac:dyDescent="0.25">
      <c r="A499" s="473"/>
      <c r="B499" s="473"/>
    </row>
    <row r="500" spans="1:2" x14ac:dyDescent="0.25">
      <c r="A500" s="473"/>
      <c r="B500" s="473"/>
    </row>
    <row r="501" spans="1:2" x14ac:dyDescent="0.25">
      <c r="A501" s="473"/>
      <c r="B501" s="473"/>
    </row>
    <row r="502" spans="1:2" x14ac:dyDescent="0.25">
      <c r="A502" s="473"/>
      <c r="B502" s="473"/>
    </row>
    <row r="503" spans="1:2" x14ac:dyDescent="0.25">
      <c r="A503" s="473"/>
      <c r="B503" s="473"/>
    </row>
    <row r="504" spans="1:2" x14ac:dyDescent="0.25">
      <c r="A504" s="473"/>
      <c r="B504" s="473"/>
    </row>
    <row r="505" spans="1:2" x14ac:dyDescent="0.25">
      <c r="A505" s="473"/>
      <c r="B505" s="473"/>
    </row>
    <row r="506" spans="1:2" x14ac:dyDescent="0.25">
      <c r="A506" s="473"/>
      <c r="B506" s="473"/>
    </row>
    <row r="507" spans="1:2" x14ac:dyDescent="0.25">
      <c r="A507" s="473"/>
      <c r="B507" s="473"/>
    </row>
    <row r="508" spans="1:2" x14ac:dyDescent="0.25">
      <c r="A508" s="473"/>
      <c r="B508" s="473"/>
    </row>
    <row r="509" spans="1:2" x14ac:dyDescent="0.25">
      <c r="A509" s="473"/>
      <c r="B509" s="473"/>
    </row>
    <row r="510" spans="1:2" x14ac:dyDescent="0.25">
      <c r="A510" s="473"/>
      <c r="B510" s="473"/>
    </row>
    <row r="511" spans="1:2" x14ac:dyDescent="0.25">
      <c r="A511" s="473"/>
      <c r="B511" s="473"/>
    </row>
    <row r="512" spans="1:2" x14ac:dyDescent="0.25">
      <c r="A512" s="473"/>
      <c r="B512" s="473"/>
    </row>
    <row r="513" spans="1:2" x14ac:dyDescent="0.25">
      <c r="A513" s="473"/>
      <c r="B513" s="473"/>
    </row>
    <row r="514" spans="1:2" x14ac:dyDescent="0.25">
      <c r="A514" s="473"/>
      <c r="B514" s="473"/>
    </row>
    <row r="515" spans="1:2" x14ac:dyDescent="0.25">
      <c r="A515" s="473"/>
      <c r="B515" s="473"/>
    </row>
    <row r="516" spans="1:2" x14ac:dyDescent="0.25">
      <c r="A516" s="473"/>
      <c r="B516" s="473"/>
    </row>
    <row r="517" spans="1:2" x14ac:dyDescent="0.25">
      <c r="A517" s="473"/>
      <c r="B517" s="473"/>
    </row>
    <row r="518" spans="1:2" x14ac:dyDescent="0.25">
      <c r="A518" s="473"/>
      <c r="B518" s="473"/>
    </row>
    <row r="519" spans="1:2" x14ac:dyDescent="0.25">
      <c r="A519" s="473"/>
      <c r="B519" s="473"/>
    </row>
    <row r="520" spans="1:2" x14ac:dyDescent="0.25">
      <c r="A520" s="473"/>
      <c r="B520" s="473"/>
    </row>
    <row r="521" spans="1:2" x14ac:dyDescent="0.25">
      <c r="A521" s="473"/>
      <c r="B521" s="473"/>
    </row>
    <row r="522" spans="1:2" x14ac:dyDescent="0.25">
      <c r="A522" s="473"/>
      <c r="B522" s="473"/>
    </row>
    <row r="523" spans="1:2" x14ac:dyDescent="0.25">
      <c r="A523" s="473"/>
      <c r="B523" s="473"/>
    </row>
    <row r="524" spans="1:2" x14ac:dyDescent="0.25">
      <c r="A524" s="473"/>
      <c r="B524" s="473"/>
    </row>
    <row r="525" spans="1:2" x14ac:dyDescent="0.25">
      <c r="A525" s="473"/>
      <c r="B525" s="473"/>
    </row>
    <row r="526" spans="1:2" x14ac:dyDescent="0.25">
      <c r="A526" s="473"/>
      <c r="B526" s="473"/>
    </row>
    <row r="527" spans="1:2" x14ac:dyDescent="0.25">
      <c r="A527" s="473"/>
      <c r="B527" s="473"/>
    </row>
    <row r="528" spans="1:2" x14ac:dyDescent="0.25">
      <c r="A528" s="473"/>
      <c r="B528" s="473"/>
    </row>
    <row r="529" spans="1:2" x14ac:dyDescent="0.25">
      <c r="A529" s="473"/>
      <c r="B529" s="473"/>
    </row>
    <row r="530" spans="1:2" x14ac:dyDescent="0.25">
      <c r="A530" s="473"/>
      <c r="B530" s="473"/>
    </row>
    <row r="531" spans="1:2" x14ac:dyDescent="0.25">
      <c r="A531" s="473"/>
      <c r="B531" s="473"/>
    </row>
    <row r="532" spans="1:2" x14ac:dyDescent="0.25">
      <c r="A532" s="473"/>
      <c r="B532" s="473"/>
    </row>
    <row r="533" spans="1:2" x14ac:dyDescent="0.25">
      <c r="A533" s="473"/>
      <c r="B533" s="473"/>
    </row>
    <row r="534" spans="1:2" x14ac:dyDescent="0.25">
      <c r="A534" s="473"/>
      <c r="B534" s="473"/>
    </row>
    <row r="535" spans="1:2" x14ac:dyDescent="0.25">
      <c r="A535" s="473"/>
      <c r="B535" s="473"/>
    </row>
    <row r="536" spans="1:2" x14ac:dyDescent="0.25">
      <c r="A536" s="473"/>
      <c r="B536" s="473"/>
    </row>
    <row r="537" spans="1:2" x14ac:dyDescent="0.25">
      <c r="A537" s="473"/>
      <c r="B537" s="473"/>
    </row>
    <row r="538" spans="1:2" x14ac:dyDescent="0.25">
      <c r="A538" s="473"/>
      <c r="B538" s="473"/>
    </row>
    <row r="539" spans="1:2" x14ac:dyDescent="0.25">
      <c r="A539" s="473"/>
      <c r="B539" s="473"/>
    </row>
    <row r="540" spans="1:2" x14ac:dyDescent="0.25">
      <c r="A540" s="473"/>
      <c r="B540" s="473"/>
    </row>
    <row r="541" spans="1:2" x14ac:dyDescent="0.25">
      <c r="A541" s="473"/>
      <c r="B541" s="473"/>
    </row>
    <row r="542" spans="1:2" x14ac:dyDescent="0.25">
      <c r="A542" s="473"/>
      <c r="B542" s="473"/>
    </row>
    <row r="543" spans="1:2" x14ac:dyDescent="0.25">
      <c r="A543" s="473"/>
      <c r="B543" s="473"/>
    </row>
    <row r="544" spans="1:2" x14ac:dyDescent="0.25">
      <c r="A544" s="473"/>
      <c r="B544" s="473"/>
    </row>
    <row r="545" spans="1:2" x14ac:dyDescent="0.25">
      <c r="A545" s="473"/>
      <c r="B545" s="473"/>
    </row>
    <row r="546" spans="1:2" x14ac:dyDescent="0.25">
      <c r="A546" s="473"/>
      <c r="B546" s="473"/>
    </row>
    <row r="547" spans="1:2" x14ac:dyDescent="0.25">
      <c r="A547" s="473"/>
      <c r="B547" s="473"/>
    </row>
    <row r="548" spans="1:2" x14ac:dyDescent="0.25">
      <c r="A548" s="473"/>
      <c r="B548" s="473"/>
    </row>
    <row r="549" spans="1:2" x14ac:dyDescent="0.25">
      <c r="A549" s="473"/>
      <c r="B549" s="473"/>
    </row>
    <row r="550" spans="1:2" x14ac:dyDescent="0.25">
      <c r="A550" s="473"/>
      <c r="B550" s="473"/>
    </row>
    <row r="551" spans="1:2" x14ac:dyDescent="0.25">
      <c r="A551" s="473"/>
      <c r="B551" s="473"/>
    </row>
    <row r="552" spans="1:2" x14ac:dyDescent="0.25">
      <c r="A552" s="473"/>
      <c r="B552" s="473"/>
    </row>
    <row r="553" spans="1:2" x14ac:dyDescent="0.25">
      <c r="A553" s="473"/>
      <c r="B553" s="473"/>
    </row>
    <row r="554" spans="1:2" x14ac:dyDescent="0.25">
      <c r="A554" s="473"/>
      <c r="B554" s="473"/>
    </row>
    <row r="555" spans="1:2" x14ac:dyDescent="0.25">
      <c r="A555" s="473"/>
      <c r="B555" s="473"/>
    </row>
    <row r="556" spans="1:2" x14ac:dyDescent="0.25">
      <c r="A556" s="473"/>
      <c r="B556" s="473"/>
    </row>
    <row r="557" spans="1:2" x14ac:dyDescent="0.25">
      <c r="A557" s="473"/>
      <c r="B557" s="473"/>
    </row>
    <row r="558" spans="1:2" x14ac:dyDescent="0.25">
      <c r="A558" s="473"/>
      <c r="B558" s="473"/>
    </row>
    <row r="559" spans="1:2" x14ac:dyDescent="0.25">
      <c r="A559" s="473"/>
      <c r="B559" s="473"/>
    </row>
    <row r="560" spans="1:2" x14ac:dyDescent="0.25">
      <c r="A560" s="473"/>
      <c r="B560" s="473"/>
    </row>
    <row r="561" spans="1:2" x14ac:dyDescent="0.25">
      <c r="A561" s="473"/>
      <c r="B561" s="473"/>
    </row>
    <row r="562" spans="1:2" x14ac:dyDescent="0.25">
      <c r="A562" s="473"/>
      <c r="B562" s="473"/>
    </row>
    <row r="563" spans="1:2" x14ac:dyDescent="0.25">
      <c r="A563" s="473"/>
      <c r="B563" s="473"/>
    </row>
    <row r="564" spans="1:2" x14ac:dyDescent="0.25">
      <c r="A564" s="473"/>
      <c r="B564" s="473"/>
    </row>
    <row r="565" spans="1:2" x14ac:dyDescent="0.25">
      <c r="A565" s="473"/>
      <c r="B565" s="473"/>
    </row>
    <row r="566" spans="1:2" x14ac:dyDescent="0.25">
      <c r="A566" s="473"/>
      <c r="B566" s="473"/>
    </row>
    <row r="567" spans="1:2" x14ac:dyDescent="0.25">
      <c r="A567" s="473"/>
      <c r="B567" s="473"/>
    </row>
    <row r="568" spans="1:2" x14ac:dyDescent="0.25">
      <c r="A568" s="473"/>
      <c r="B568" s="473"/>
    </row>
    <row r="569" spans="1:2" x14ac:dyDescent="0.25">
      <c r="A569" s="473"/>
      <c r="B569" s="473"/>
    </row>
    <row r="570" spans="1:2" x14ac:dyDescent="0.25">
      <c r="A570" s="473"/>
      <c r="B570" s="473"/>
    </row>
    <row r="571" spans="1:2" x14ac:dyDescent="0.25">
      <c r="A571" s="473"/>
      <c r="B571" s="473"/>
    </row>
    <row r="572" spans="1:2" x14ac:dyDescent="0.25">
      <c r="A572" s="473"/>
      <c r="B572" s="473"/>
    </row>
    <row r="573" spans="1:2" x14ac:dyDescent="0.25">
      <c r="A573" s="473"/>
      <c r="B573" s="473"/>
    </row>
    <row r="574" spans="1:2" x14ac:dyDescent="0.25">
      <c r="A574" s="473"/>
      <c r="B574" s="473"/>
    </row>
    <row r="575" spans="1:2" x14ac:dyDescent="0.25">
      <c r="A575" s="473"/>
      <c r="B575" s="473"/>
    </row>
    <row r="576" spans="1:2" x14ac:dyDescent="0.25">
      <c r="A576" s="473"/>
      <c r="B576" s="473"/>
    </row>
    <row r="577" spans="1:2" x14ac:dyDescent="0.25">
      <c r="A577" s="473"/>
      <c r="B577" s="473"/>
    </row>
    <row r="578" spans="1:2" x14ac:dyDescent="0.25">
      <c r="A578" s="473"/>
      <c r="B578" s="473"/>
    </row>
    <row r="579" spans="1:2" x14ac:dyDescent="0.25">
      <c r="A579" s="473"/>
      <c r="B579" s="473"/>
    </row>
    <row r="580" spans="1:2" x14ac:dyDescent="0.25">
      <c r="A580" s="473"/>
      <c r="B580" s="473"/>
    </row>
    <row r="581" spans="1:2" x14ac:dyDescent="0.25">
      <c r="A581" s="473"/>
      <c r="B581" s="473"/>
    </row>
    <row r="582" spans="1:2" x14ac:dyDescent="0.25">
      <c r="A582" s="473"/>
      <c r="B582" s="473"/>
    </row>
    <row r="583" spans="1:2" x14ac:dyDescent="0.25">
      <c r="A583" s="473"/>
      <c r="B583" s="473"/>
    </row>
    <row r="584" spans="1:2" x14ac:dyDescent="0.25">
      <c r="A584" s="473"/>
      <c r="B584" s="473"/>
    </row>
    <row r="585" spans="1:2" x14ac:dyDescent="0.25">
      <c r="A585" s="473"/>
      <c r="B585" s="473"/>
    </row>
    <row r="586" spans="1:2" x14ac:dyDescent="0.25">
      <c r="A586" s="473"/>
      <c r="B586" s="473"/>
    </row>
    <row r="587" spans="1:2" x14ac:dyDescent="0.25">
      <c r="A587" s="473"/>
      <c r="B587" s="473"/>
    </row>
    <row r="588" spans="1:2" x14ac:dyDescent="0.25">
      <c r="A588" s="473"/>
      <c r="B588" s="473"/>
    </row>
    <row r="589" spans="1:2" x14ac:dyDescent="0.25">
      <c r="A589" s="473"/>
      <c r="B589" s="473"/>
    </row>
    <row r="590" spans="1:2" x14ac:dyDescent="0.25">
      <c r="A590" s="473"/>
      <c r="B590" s="473"/>
    </row>
    <row r="591" spans="1:2" x14ac:dyDescent="0.25">
      <c r="A591" s="473"/>
      <c r="B591" s="473"/>
    </row>
    <row r="592" spans="1:2" x14ac:dyDescent="0.25">
      <c r="A592" s="473"/>
      <c r="B592" s="473"/>
    </row>
    <row r="593" spans="1:2" x14ac:dyDescent="0.25">
      <c r="A593" s="473"/>
      <c r="B593" s="473"/>
    </row>
    <row r="594" spans="1:2" x14ac:dyDescent="0.25">
      <c r="A594" s="473"/>
      <c r="B594" s="473"/>
    </row>
    <row r="595" spans="1:2" x14ac:dyDescent="0.25">
      <c r="A595" s="473"/>
      <c r="B595" s="473"/>
    </row>
    <row r="596" spans="1:2" x14ac:dyDescent="0.25">
      <c r="A596" s="473"/>
      <c r="B596" s="473"/>
    </row>
    <row r="597" spans="1:2" x14ac:dyDescent="0.25">
      <c r="A597" s="473"/>
      <c r="B597" s="473"/>
    </row>
    <row r="598" spans="1:2" x14ac:dyDescent="0.25">
      <c r="A598" s="473"/>
      <c r="B598" s="473"/>
    </row>
    <row r="599" spans="1:2" x14ac:dyDescent="0.25">
      <c r="A599" s="473"/>
      <c r="B599" s="473"/>
    </row>
    <row r="600" spans="1:2" x14ac:dyDescent="0.25">
      <c r="A600" s="473"/>
      <c r="B600" s="473"/>
    </row>
    <row r="601" spans="1:2" x14ac:dyDescent="0.25">
      <c r="A601" s="473"/>
      <c r="B601" s="473"/>
    </row>
    <row r="602" spans="1:2" x14ac:dyDescent="0.25">
      <c r="A602" s="473"/>
      <c r="B602" s="473"/>
    </row>
    <row r="603" spans="1:2" x14ac:dyDescent="0.25">
      <c r="A603" s="473"/>
      <c r="B603" s="473"/>
    </row>
    <row r="604" spans="1:2" x14ac:dyDescent="0.25">
      <c r="A604" s="473"/>
      <c r="B604" s="473"/>
    </row>
    <row r="605" spans="1:2" x14ac:dyDescent="0.25">
      <c r="A605" s="473"/>
      <c r="B605" s="473"/>
    </row>
    <row r="606" spans="1:2" x14ac:dyDescent="0.25">
      <c r="A606" s="473"/>
      <c r="B606" s="473"/>
    </row>
    <row r="607" spans="1:2" x14ac:dyDescent="0.25">
      <c r="A607" s="473"/>
      <c r="B607" s="473"/>
    </row>
    <row r="608" spans="1:2" x14ac:dyDescent="0.25">
      <c r="A608" s="473"/>
      <c r="B608" s="473"/>
    </row>
    <row r="609" spans="1:2" x14ac:dyDescent="0.25">
      <c r="A609" s="473"/>
      <c r="B609" s="473"/>
    </row>
    <row r="610" spans="1:2" x14ac:dyDescent="0.25">
      <c r="A610" s="473"/>
      <c r="B610" s="473"/>
    </row>
    <row r="611" spans="1:2" x14ac:dyDescent="0.25">
      <c r="A611" s="473"/>
      <c r="B611" s="473"/>
    </row>
    <row r="612" spans="1:2" x14ac:dyDescent="0.25">
      <c r="A612" s="473"/>
      <c r="B612" s="473"/>
    </row>
    <row r="613" spans="1:2" x14ac:dyDescent="0.25">
      <c r="A613" s="473"/>
      <c r="B613" s="473"/>
    </row>
    <row r="614" spans="1:2" x14ac:dyDescent="0.25">
      <c r="A614" s="473"/>
      <c r="B614" s="473"/>
    </row>
    <row r="615" spans="1:2" x14ac:dyDescent="0.25">
      <c r="A615" s="473"/>
      <c r="B615" s="473"/>
    </row>
    <row r="616" spans="1:2" x14ac:dyDescent="0.25">
      <c r="A616" s="473"/>
      <c r="B616" s="473"/>
    </row>
    <row r="617" spans="1:2" x14ac:dyDescent="0.25">
      <c r="A617" s="473"/>
      <c r="B617" s="473"/>
    </row>
    <row r="618" spans="1:2" x14ac:dyDescent="0.25">
      <c r="A618" s="473"/>
      <c r="B618" s="473"/>
    </row>
    <row r="619" spans="1:2" x14ac:dyDescent="0.25">
      <c r="A619" s="473"/>
      <c r="B619" s="473"/>
    </row>
    <row r="620" spans="1:2" x14ac:dyDescent="0.25">
      <c r="A620" s="473"/>
      <c r="B620" s="473"/>
    </row>
    <row r="621" spans="1:2" x14ac:dyDescent="0.25">
      <c r="A621" s="473"/>
      <c r="B621" s="473"/>
    </row>
    <row r="622" spans="1:2" x14ac:dyDescent="0.25">
      <c r="A622" s="473"/>
      <c r="B622" s="473"/>
    </row>
    <row r="623" spans="1:2" x14ac:dyDescent="0.25">
      <c r="A623" s="473"/>
      <c r="B623" s="473"/>
    </row>
    <row r="624" spans="1:2" x14ac:dyDescent="0.25">
      <c r="A624" s="473"/>
      <c r="B624" s="473"/>
    </row>
    <row r="625" spans="1:2" x14ac:dyDescent="0.25">
      <c r="A625" s="473"/>
      <c r="B625" s="473"/>
    </row>
    <row r="626" spans="1:2" x14ac:dyDescent="0.25">
      <c r="A626" s="473"/>
      <c r="B626" s="473"/>
    </row>
    <row r="627" spans="1:2" x14ac:dyDescent="0.25">
      <c r="A627" s="473"/>
      <c r="B627" s="473"/>
    </row>
    <row r="628" spans="1:2" x14ac:dyDescent="0.25">
      <c r="A628" s="473"/>
      <c r="B628" s="473"/>
    </row>
    <row r="629" spans="1:2" x14ac:dyDescent="0.25">
      <c r="A629" s="473"/>
      <c r="B629" s="473"/>
    </row>
    <row r="630" spans="1:2" x14ac:dyDescent="0.25">
      <c r="A630" s="473"/>
      <c r="B630" s="473"/>
    </row>
    <row r="631" spans="1:2" x14ac:dyDescent="0.25">
      <c r="A631" s="473"/>
      <c r="B631" s="473"/>
    </row>
    <row r="632" spans="1:2" x14ac:dyDescent="0.25">
      <c r="A632" s="473"/>
      <c r="B632" s="473"/>
    </row>
    <row r="633" spans="1:2" x14ac:dyDescent="0.25">
      <c r="A633" s="473"/>
      <c r="B633" s="473"/>
    </row>
    <row r="634" spans="1:2" x14ac:dyDescent="0.25">
      <c r="A634" s="473"/>
      <c r="B634" s="473"/>
    </row>
    <row r="635" spans="1:2" x14ac:dyDescent="0.25">
      <c r="A635" s="473"/>
      <c r="B635" s="473"/>
    </row>
    <row r="636" spans="1:2" x14ac:dyDescent="0.25">
      <c r="A636" s="473"/>
      <c r="B636" s="473"/>
    </row>
    <row r="637" spans="1:2" x14ac:dyDescent="0.25">
      <c r="A637" s="473"/>
      <c r="B637" s="473"/>
    </row>
    <row r="638" spans="1:2" x14ac:dyDescent="0.25">
      <c r="A638" s="473"/>
      <c r="B638" s="473"/>
    </row>
    <row r="639" spans="1:2" x14ac:dyDescent="0.25">
      <c r="A639" s="473"/>
      <c r="B639" s="473"/>
    </row>
    <row r="640" spans="1:2" x14ac:dyDescent="0.25">
      <c r="A640" s="473"/>
      <c r="B640" s="473"/>
    </row>
    <row r="641" spans="1:2" x14ac:dyDescent="0.25">
      <c r="A641" s="473"/>
      <c r="B641" s="473"/>
    </row>
    <row r="642" spans="1:2" x14ac:dyDescent="0.25">
      <c r="A642" s="473"/>
      <c r="B642" s="473"/>
    </row>
    <row r="643" spans="1:2" x14ac:dyDescent="0.25">
      <c r="A643" s="473"/>
      <c r="B643" s="473"/>
    </row>
    <row r="644" spans="1:2" x14ac:dyDescent="0.25">
      <c r="A644" s="473"/>
      <c r="B644" s="473"/>
    </row>
    <row r="645" spans="1:2" x14ac:dyDescent="0.25">
      <c r="A645" s="473"/>
      <c r="B645" s="473"/>
    </row>
    <row r="646" spans="1:2" x14ac:dyDescent="0.25">
      <c r="A646" s="473"/>
      <c r="B646" s="473"/>
    </row>
    <row r="647" spans="1:2" x14ac:dyDescent="0.25">
      <c r="A647" s="473"/>
      <c r="B647" s="473"/>
    </row>
    <row r="648" spans="1:2" x14ac:dyDescent="0.25">
      <c r="A648" s="473"/>
      <c r="B648" s="473"/>
    </row>
    <row r="649" spans="1:2" x14ac:dyDescent="0.25">
      <c r="A649" s="473"/>
      <c r="B649" s="473"/>
    </row>
    <row r="650" spans="1:2" x14ac:dyDescent="0.25">
      <c r="A650" s="473"/>
      <c r="B650" s="473"/>
    </row>
    <row r="651" spans="1:2" x14ac:dyDescent="0.25">
      <c r="A651" s="473"/>
      <c r="B651" s="473"/>
    </row>
    <row r="652" spans="1:2" x14ac:dyDescent="0.25">
      <c r="A652" s="473"/>
      <c r="B652" s="473"/>
    </row>
    <row r="653" spans="1:2" x14ac:dyDescent="0.25">
      <c r="A653" s="473"/>
      <c r="B653" s="473"/>
    </row>
    <row r="654" spans="1:2" x14ac:dyDescent="0.25">
      <c r="A654" s="473"/>
      <c r="B654" s="473"/>
    </row>
    <row r="655" spans="1:2" x14ac:dyDescent="0.25">
      <c r="A655" s="473"/>
      <c r="B655" s="473"/>
    </row>
    <row r="656" spans="1:2" x14ac:dyDescent="0.25">
      <c r="A656" s="473"/>
      <c r="B656" s="473"/>
    </row>
    <row r="657" spans="1:2" x14ac:dyDescent="0.25">
      <c r="A657" s="473"/>
      <c r="B657" s="473"/>
    </row>
    <row r="658" spans="1:2" x14ac:dyDescent="0.25">
      <c r="A658" s="473"/>
      <c r="B658" s="473"/>
    </row>
    <row r="659" spans="1:2" x14ac:dyDescent="0.25">
      <c r="A659" s="473"/>
      <c r="B659" s="473"/>
    </row>
    <row r="660" spans="1:2" x14ac:dyDescent="0.25">
      <c r="A660" s="473"/>
      <c r="B660" s="473"/>
    </row>
    <row r="661" spans="1:2" x14ac:dyDescent="0.25">
      <c r="A661" s="473"/>
      <c r="B661" s="473"/>
    </row>
    <row r="662" spans="1:2" x14ac:dyDescent="0.25">
      <c r="A662" s="473"/>
      <c r="B662" s="473"/>
    </row>
    <row r="663" spans="1:2" x14ac:dyDescent="0.25">
      <c r="A663" s="473"/>
      <c r="B663" s="473"/>
    </row>
    <row r="664" spans="1:2" x14ac:dyDescent="0.25">
      <c r="A664" s="473"/>
      <c r="B664" s="473"/>
    </row>
    <row r="665" spans="1:2" x14ac:dyDescent="0.25">
      <c r="A665" s="473"/>
      <c r="B665" s="473"/>
    </row>
    <row r="666" spans="1:2" x14ac:dyDescent="0.25">
      <c r="A666" s="473"/>
      <c r="B666" s="473"/>
    </row>
    <row r="667" spans="1:2" x14ac:dyDescent="0.25">
      <c r="A667" s="473"/>
      <c r="B667" s="473"/>
    </row>
    <row r="668" spans="1:2" x14ac:dyDescent="0.25">
      <c r="A668" s="473"/>
      <c r="B668" s="473"/>
    </row>
    <row r="669" spans="1:2" x14ac:dyDescent="0.25">
      <c r="A669" s="473"/>
      <c r="B669" s="473"/>
    </row>
    <row r="670" spans="1:2" x14ac:dyDescent="0.25">
      <c r="A670" s="473"/>
      <c r="B670" s="473"/>
    </row>
    <row r="671" spans="1:2" x14ac:dyDescent="0.25">
      <c r="A671" s="473"/>
      <c r="B671" s="473"/>
    </row>
    <row r="672" spans="1:2" x14ac:dyDescent="0.25">
      <c r="A672" s="473"/>
      <c r="B672" s="473"/>
    </row>
    <row r="673" spans="1:2" x14ac:dyDescent="0.25">
      <c r="A673" s="473"/>
      <c r="B673" s="473"/>
    </row>
    <row r="674" spans="1:2" x14ac:dyDescent="0.25">
      <c r="A674" s="473"/>
      <c r="B674" s="473"/>
    </row>
    <row r="675" spans="1:2" x14ac:dyDescent="0.25">
      <c r="A675" s="473"/>
      <c r="B675" s="473"/>
    </row>
    <row r="676" spans="1:2" x14ac:dyDescent="0.25">
      <c r="A676" s="473"/>
      <c r="B676" s="473"/>
    </row>
    <row r="677" spans="1:2" x14ac:dyDescent="0.25">
      <c r="A677" s="473"/>
      <c r="B677" s="473"/>
    </row>
    <row r="678" spans="1:2" x14ac:dyDescent="0.25">
      <c r="A678" s="473"/>
      <c r="B678" s="473"/>
    </row>
    <row r="679" spans="1:2" x14ac:dyDescent="0.25">
      <c r="A679" s="473"/>
      <c r="B679" s="473"/>
    </row>
    <row r="680" spans="1:2" x14ac:dyDescent="0.25">
      <c r="A680" s="473"/>
      <c r="B680" s="473"/>
    </row>
    <row r="681" spans="1:2" x14ac:dyDescent="0.25">
      <c r="A681" s="473"/>
      <c r="B681" s="473"/>
    </row>
    <row r="682" spans="1:2" x14ac:dyDescent="0.25">
      <c r="A682" s="473"/>
      <c r="B682" s="473"/>
    </row>
    <row r="683" spans="1:2" x14ac:dyDescent="0.25">
      <c r="A683" s="473"/>
      <c r="B683" s="473"/>
    </row>
    <row r="684" spans="1:2" x14ac:dyDescent="0.25">
      <c r="A684" s="473"/>
      <c r="B684" s="473"/>
    </row>
    <row r="685" spans="1:2" x14ac:dyDescent="0.25">
      <c r="A685" s="473"/>
      <c r="B685" s="473"/>
    </row>
    <row r="686" spans="1:2" x14ac:dyDescent="0.25">
      <c r="A686" s="473"/>
      <c r="B686" s="473"/>
    </row>
    <row r="687" spans="1:2" x14ac:dyDescent="0.25">
      <c r="A687" s="473"/>
      <c r="B687" s="473"/>
    </row>
    <row r="688" spans="1:2" x14ac:dyDescent="0.25">
      <c r="A688" s="473"/>
      <c r="B688" s="473"/>
    </row>
    <row r="689" spans="1:2" x14ac:dyDescent="0.25">
      <c r="A689" s="473"/>
      <c r="B689" s="473"/>
    </row>
    <row r="690" spans="1:2" x14ac:dyDescent="0.25">
      <c r="A690" s="473"/>
      <c r="B690" s="473"/>
    </row>
    <row r="691" spans="1:2" x14ac:dyDescent="0.25">
      <c r="A691" s="473"/>
      <c r="B691" s="473"/>
    </row>
    <row r="692" spans="1:2" x14ac:dyDescent="0.25">
      <c r="A692" s="473"/>
      <c r="B692" s="473"/>
    </row>
    <row r="693" spans="1:2" x14ac:dyDescent="0.25">
      <c r="A693" s="473"/>
      <c r="B693" s="473"/>
    </row>
    <row r="694" spans="1:2" x14ac:dyDescent="0.25">
      <c r="A694" s="473"/>
      <c r="B694" s="473"/>
    </row>
    <row r="695" spans="1:2" x14ac:dyDescent="0.25">
      <c r="A695" s="473"/>
      <c r="B695" s="473"/>
    </row>
    <row r="696" spans="1:2" x14ac:dyDescent="0.25">
      <c r="A696" s="473"/>
      <c r="B696" s="473"/>
    </row>
    <row r="697" spans="1:2" x14ac:dyDescent="0.25">
      <c r="A697" s="473"/>
      <c r="B697" s="473"/>
    </row>
    <row r="698" spans="1:2" x14ac:dyDescent="0.25">
      <c r="A698" s="473"/>
      <c r="B698" s="473"/>
    </row>
    <row r="699" spans="1:2" x14ac:dyDescent="0.25">
      <c r="A699" s="473"/>
      <c r="B699" s="473"/>
    </row>
    <row r="700" spans="1:2" x14ac:dyDescent="0.25">
      <c r="A700" s="473"/>
      <c r="B700" s="473"/>
    </row>
    <row r="701" spans="1:2" x14ac:dyDescent="0.25">
      <c r="A701" s="473"/>
      <c r="B701" s="473"/>
    </row>
    <row r="702" spans="1:2" x14ac:dyDescent="0.25">
      <c r="A702" s="473"/>
      <c r="B702" s="473"/>
    </row>
    <row r="703" spans="1:2" x14ac:dyDescent="0.25">
      <c r="A703" s="473"/>
      <c r="B703" s="473"/>
    </row>
    <row r="704" spans="1:2" x14ac:dyDescent="0.25">
      <c r="A704" s="473"/>
      <c r="B704" s="473"/>
    </row>
    <row r="705" spans="1:2" x14ac:dyDescent="0.25">
      <c r="A705" s="473"/>
      <c r="B705" s="473"/>
    </row>
    <row r="706" spans="1:2" x14ac:dyDescent="0.25">
      <c r="A706" s="473"/>
      <c r="B706" s="473"/>
    </row>
    <row r="707" spans="1:2" x14ac:dyDescent="0.25">
      <c r="A707" s="473"/>
      <c r="B707" s="473"/>
    </row>
    <row r="708" spans="1:2" x14ac:dyDescent="0.25">
      <c r="A708" s="473"/>
      <c r="B708" s="473"/>
    </row>
    <row r="709" spans="1:2" x14ac:dyDescent="0.25">
      <c r="A709" s="473"/>
      <c r="B709" s="473"/>
    </row>
    <row r="710" spans="1:2" x14ac:dyDescent="0.25">
      <c r="A710" s="473"/>
      <c r="B710" s="473"/>
    </row>
    <row r="711" spans="1:2" x14ac:dyDescent="0.25">
      <c r="A711" s="473"/>
      <c r="B711" s="473"/>
    </row>
    <row r="712" spans="1:2" x14ac:dyDescent="0.25">
      <c r="A712" s="473"/>
      <c r="B712" s="473"/>
    </row>
    <row r="713" spans="1:2" x14ac:dyDescent="0.25">
      <c r="A713" s="473"/>
      <c r="B713" s="473"/>
    </row>
    <row r="714" spans="1:2" x14ac:dyDescent="0.25">
      <c r="A714" s="473"/>
      <c r="B714" s="473"/>
    </row>
    <row r="715" spans="1:2" x14ac:dyDescent="0.25">
      <c r="A715" s="473"/>
      <c r="B715" s="473"/>
    </row>
    <row r="716" spans="1:2" x14ac:dyDescent="0.25">
      <c r="A716" s="473"/>
      <c r="B716" s="473"/>
    </row>
    <row r="717" spans="1:2" x14ac:dyDescent="0.25">
      <c r="A717" s="473"/>
      <c r="B717" s="473"/>
    </row>
    <row r="718" spans="1:2" x14ac:dyDescent="0.25">
      <c r="A718" s="473"/>
      <c r="B718" s="473"/>
    </row>
    <row r="719" spans="1:2" x14ac:dyDescent="0.25">
      <c r="A719" s="473"/>
      <c r="B719" s="473"/>
    </row>
    <row r="720" spans="1:2" x14ac:dyDescent="0.25">
      <c r="A720" s="473"/>
      <c r="B720" s="473"/>
    </row>
    <row r="721" spans="1:2" x14ac:dyDescent="0.25">
      <c r="A721" s="473"/>
      <c r="B721" s="473"/>
    </row>
    <row r="722" spans="1:2" x14ac:dyDescent="0.25">
      <c r="A722" s="473"/>
      <c r="B722" s="473"/>
    </row>
    <row r="723" spans="1:2" x14ac:dyDescent="0.25">
      <c r="A723" s="473"/>
      <c r="B723" s="473"/>
    </row>
    <row r="724" spans="1:2" x14ac:dyDescent="0.25">
      <c r="A724" s="473"/>
      <c r="B724" s="473"/>
    </row>
    <row r="725" spans="1:2" x14ac:dyDescent="0.25">
      <c r="A725" s="473"/>
      <c r="B725" s="473"/>
    </row>
    <row r="726" spans="1:2" x14ac:dyDescent="0.25">
      <c r="A726" s="473"/>
      <c r="B726" s="473"/>
    </row>
    <row r="727" spans="1:2" x14ac:dyDescent="0.25">
      <c r="A727" s="473"/>
      <c r="B727" s="473"/>
    </row>
    <row r="728" spans="1:2" x14ac:dyDescent="0.25">
      <c r="A728" s="473"/>
      <c r="B728" s="473"/>
    </row>
    <row r="729" spans="1:2" x14ac:dyDescent="0.25">
      <c r="A729" s="473"/>
      <c r="B729" s="473"/>
    </row>
    <row r="730" spans="1:2" x14ac:dyDescent="0.25">
      <c r="A730" s="473"/>
      <c r="B730" s="473"/>
    </row>
    <row r="731" spans="1:2" x14ac:dyDescent="0.25">
      <c r="A731" s="473"/>
      <c r="B731" s="473"/>
    </row>
    <row r="732" spans="1:2" x14ac:dyDescent="0.25">
      <c r="A732" s="473"/>
      <c r="B732" s="473"/>
    </row>
    <row r="733" spans="1:2" x14ac:dyDescent="0.25">
      <c r="A733" s="473"/>
      <c r="B733" s="473"/>
    </row>
    <row r="734" spans="1:2" x14ac:dyDescent="0.25">
      <c r="A734" s="473"/>
      <c r="B734" s="473"/>
    </row>
    <row r="735" spans="1:2" x14ac:dyDescent="0.25">
      <c r="A735" s="473"/>
      <c r="B735" s="473"/>
    </row>
    <row r="736" spans="1:2" x14ac:dyDescent="0.25">
      <c r="A736" s="473"/>
      <c r="B736" s="473"/>
    </row>
    <row r="737" spans="1:2" x14ac:dyDescent="0.25">
      <c r="A737" s="473"/>
      <c r="B737" s="473"/>
    </row>
    <row r="738" spans="1:2" x14ac:dyDescent="0.25">
      <c r="A738" s="473"/>
      <c r="B738" s="473"/>
    </row>
    <row r="739" spans="1:2" x14ac:dyDescent="0.25">
      <c r="A739" s="473"/>
      <c r="B739" s="473"/>
    </row>
    <row r="740" spans="1:2" x14ac:dyDescent="0.25">
      <c r="A740" s="473"/>
      <c r="B740" s="473"/>
    </row>
    <row r="741" spans="1:2" x14ac:dyDescent="0.25">
      <c r="A741" s="473"/>
      <c r="B741" s="473"/>
    </row>
    <row r="742" spans="1:2" x14ac:dyDescent="0.25">
      <c r="A742" s="473"/>
      <c r="B742" s="473"/>
    </row>
    <row r="743" spans="1:2" x14ac:dyDescent="0.25">
      <c r="A743" s="473"/>
      <c r="B743" s="473"/>
    </row>
    <row r="744" spans="1:2" x14ac:dyDescent="0.25">
      <c r="A744" s="473"/>
      <c r="B744" s="473"/>
    </row>
    <row r="745" spans="1:2" x14ac:dyDescent="0.25">
      <c r="A745" s="473"/>
      <c r="B745" s="473"/>
    </row>
    <row r="746" spans="1:2" x14ac:dyDescent="0.25">
      <c r="A746" s="473"/>
      <c r="B746" s="473"/>
    </row>
    <row r="747" spans="1:2" x14ac:dyDescent="0.25">
      <c r="A747" s="473"/>
      <c r="B747" s="473"/>
    </row>
    <row r="748" spans="1:2" x14ac:dyDescent="0.25">
      <c r="A748" s="473"/>
      <c r="B748" s="473"/>
    </row>
    <row r="749" spans="1:2" x14ac:dyDescent="0.25">
      <c r="A749" s="473"/>
      <c r="B749" s="473"/>
    </row>
    <row r="750" spans="1:2" x14ac:dyDescent="0.25">
      <c r="A750" s="473"/>
      <c r="B750" s="473"/>
    </row>
    <row r="751" spans="1:2" x14ac:dyDescent="0.25">
      <c r="A751" s="473"/>
      <c r="B751" s="473"/>
    </row>
    <row r="752" spans="1:2" x14ac:dyDescent="0.25">
      <c r="A752" s="473"/>
      <c r="B752" s="473"/>
    </row>
    <row r="753" spans="1:2" x14ac:dyDescent="0.25">
      <c r="A753" s="473"/>
      <c r="B753" s="473"/>
    </row>
    <row r="754" spans="1:2" x14ac:dyDescent="0.25">
      <c r="A754" s="473"/>
      <c r="B754" s="473"/>
    </row>
    <row r="755" spans="1:2" x14ac:dyDescent="0.25">
      <c r="A755" s="473"/>
      <c r="B755" s="473"/>
    </row>
    <row r="756" spans="1:2" x14ac:dyDescent="0.25">
      <c r="A756" s="473"/>
      <c r="B756" s="473"/>
    </row>
    <row r="757" spans="1:2" x14ac:dyDescent="0.25">
      <c r="A757" s="473"/>
      <c r="B757" s="473"/>
    </row>
    <row r="758" spans="1:2" x14ac:dyDescent="0.25">
      <c r="A758" s="473"/>
      <c r="B758" s="473"/>
    </row>
    <row r="759" spans="1:2" x14ac:dyDescent="0.25">
      <c r="A759" s="473"/>
      <c r="B759" s="473"/>
    </row>
    <row r="760" spans="1:2" x14ac:dyDescent="0.25">
      <c r="A760" s="473"/>
      <c r="B760" s="473"/>
    </row>
    <row r="761" spans="1:2" x14ac:dyDescent="0.25">
      <c r="A761" s="473"/>
      <c r="B761" s="473"/>
    </row>
    <row r="762" spans="1:2" x14ac:dyDescent="0.25">
      <c r="A762" s="473"/>
      <c r="B762" s="473"/>
    </row>
    <row r="763" spans="1:2" x14ac:dyDescent="0.25">
      <c r="A763" s="473"/>
      <c r="B763" s="473"/>
    </row>
    <row r="764" spans="1:2" x14ac:dyDescent="0.25">
      <c r="A764" s="473"/>
      <c r="B764" s="473"/>
    </row>
    <row r="765" spans="1:2" x14ac:dyDescent="0.25">
      <c r="A765" s="473"/>
      <c r="B765" s="473"/>
    </row>
    <row r="766" spans="1:2" x14ac:dyDescent="0.25">
      <c r="A766" s="473"/>
      <c r="B766" s="473"/>
    </row>
    <row r="767" spans="1:2" x14ac:dyDescent="0.25">
      <c r="A767" s="473"/>
      <c r="B767" s="473"/>
    </row>
    <row r="768" spans="1:2" x14ac:dyDescent="0.25">
      <c r="A768" s="473"/>
      <c r="B768" s="473"/>
    </row>
    <row r="769" spans="1:2" x14ac:dyDescent="0.25">
      <c r="A769" s="473"/>
      <c r="B769" s="473"/>
    </row>
    <row r="770" spans="1:2" x14ac:dyDescent="0.25">
      <c r="A770" s="473"/>
      <c r="B770" s="473"/>
    </row>
    <row r="771" spans="1:2" x14ac:dyDescent="0.25">
      <c r="A771" s="473"/>
      <c r="B771" s="473"/>
    </row>
    <row r="772" spans="1:2" x14ac:dyDescent="0.25">
      <c r="A772" s="473"/>
      <c r="B772" s="473"/>
    </row>
    <row r="773" spans="1:2" x14ac:dyDescent="0.25">
      <c r="A773" s="473"/>
      <c r="B773" s="473"/>
    </row>
    <row r="774" spans="1:2" x14ac:dyDescent="0.25">
      <c r="A774" s="473"/>
      <c r="B774" s="473"/>
    </row>
    <row r="775" spans="1:2" x14ac:dyDescent="0.25">
      <c r="A775" s="473"/>
      <c r="B775" s="473"/>
    </row>
    <row r="776" spans="1:2" x14ac:dyDescent="0.25">
      <c r="A776" s="473"/>
      <c r="B776" s="473"/>
    </row>
    <row r="777" spans="1:2" x14ac:dyDescent="0.25">
      <c r="A777" s="473"/>
      <c r="B777" s="473"/>
    </row>
    <row r="778" spans="1:2" x14ac:dyDescent="0.25">
      <c r="A778" s="473"/>
      <c r="B778" s="473"/>
    </row>
    <row r="779" spans="1:2" x14ac:dyDescent="0.25">
      <c r="A779" s="473"/>
      <c r="B779" s="473"/>
    </row>
    <row r="780" spans="1:2" x14ac:dyDescent="0.25">
      <c r="A780" s="473"/>
      <c r="B780" s="473"/>
    </row>
    <row r="781" spans="1:2" x14ac:dyDescent="0.25">
      <c r="A781" s="473"/>
      <c r="B781" s="473"/>
    </row>
    <row r="782" spans="1:2" x14ac:dyDescent="0.25">
      <c r="A782" s="473"/>
      <c r="B782" s="473"/>
    </row>
    <row r="783" spans="1:2" x14ac:dyDescent="0.25">
      <c r="A783" s="473"/>
      <c r="B783" s="473"/>
    </row>
    <row r="784" spans="1:2" x14ac:dyDescent="0.25">
      <c r="A784" s="473"/>
      <c r="B784" s="473"/>
    </row>
    <row r="785" spans="1:2" x14ac:dyDescent="0.25">
      <c r="A785" s="473"/>
      <c r="B785" s="473"/>
    </row>
    <row r="786" spans="1:2" x14ac:dyDescent="0.25">
      <c r="A786" s="473"/>
      <c r="B786" s="473"/>
    </row>
    <row r="787" spans="1:2" x14ac:dyDescent="0.25">
      <c r="A787" s="473"/>
      <c r="B787" s="473"/>
    </row>
    <row r="788" spans="1:2" x14ac:dyDescent="0.25">
      <c r="A788" s="473"/>
      <c r="B788" s="473"/>
    </row>
    <row r="789" spans="1:2" x14ac:dyDescent="0.25">
      <c r="A789" s="473"/>
      <c r="B789" s="473"/>
    </row>
    <row r="790" spans="1:2" x14ac:dyDescent="0.25">
      <c r="A790" s="473"/>
      <c r="B790" s="473"/>
    </row>
    <row r="791" spans="1:2" x14ac:dyDescent="0.25">
      <c r="A791" s="473"/>
      <c r="B791" s="473"/>
    </row>
    <row r="792" spans="1:2" x14ac:dyDescent="0.25">
      <c r="A792" s="473"/>
      <c r="B792" s="473"/>
    </row>
    <row r="793" spans="1:2" x14ac:dyDescent="0.25">
      <c r="A793" s="473"/>
      <c r="B793" s="473"/>
    </row>
    <row r="794" spans="1:2" x14ac:dyDescent="0.25">
      <c r="A794" s="473"/>
      <c r="B794" s="473"/>
    </row>
    <row r="795" spans="1:2" x14ac:dyDescent="0.25">
      <c r="A795" s="473"/>
      <c r="B795" s="473"/>
    </row>
    <row r="796" spans="1:2" x14ac:dyDescent="0.25">
      <c r="A796" s="473"/>
      <c r="B796" s="473"/>
    </row>
    <row r="797" spans="1:2" x14ac:dyDescent="0.25">
      <c r="A797" s="473"/>
      <c r="B797" s="473"/>
    </row>
    <row r="798" spans="1:2" x14ac:dyDescent="0.25">
      <c r="A798" s="473"/>
      <c r="B798" s="473"/>
    </row>
    <row r="799" spans="1:2" x14ac:dyDescent="0.25">
      <c r="A799" s="473"/>
      <c r="B799" s="473"/>
    </row>
    <row r="800" spans="1:2" x14ac:dyDescent="0.25">
      <c r="A800" s="473"/>
      <c r="B800" s="473"/>
    </row>
    <row r="801" spans="1:2" x14ac:dyDescent="0.25">
      <c r="A801" s="473"/>
      <c r="B801" s="473"/>
    </row>
    <row r="802" spans="1:2" x14ac:dyDescent="0.25">
      <c r="A802" s="473"/>
      <c r="B802" s="473"/>
    </row>
    <row r="803" spans="1:2" x14ac:dyDescent="0.25">
      <c r="A803" s="473"/>
      <c r="B803" s="473"/>
    </row>
    <row r="804" spans="1:2" x14ac:dyDescent="0.25">
      <c r="A804" s="473"/>
      <c r="B804" s="473"/>
    </row>
    <row r="805" spans="1:2" x14ac:dyDescent="0.25">
      <c r="A805" s="473"/>
      <c r="B805" s="473"/>
    </row>
    <row r="806" spans="1:2" x14ac:dyDescent="0.25">
      <c r="A806" s="473"/>
      <c r="B806" s="473"/>
    </row>
    <row r="807" spans="1:2" x14ac:dyDescent="0.25">
      <c r="A807" s="473"/>
      <c r="B807" s="473"/>
    </row>
    <row r="808" spans="1:2" x14ac:dyDescent="0.25">
      <c r="A808" s="473"/>
      <c r="B808" s="473"/>
    </row>
    <row r="809" spans="1:2" x14ac:dyDescent="0.25">
      <c r="A809" s="473"/>
      <c r="B809" s="473"/>
    </row>
    <row r="810" spans="1:2" x14ac:dyDescent="0.25">
      <c r="A810" s="473"/>
      <c r="B810" s="473"/>
    </row>
    <row r="811" spans="1:2" x14ac:dyDescent="0.25">
      <c r="A811" s="473"/>
      <c r="B811" s="473"/>
    </row>
    <row r="812" spans="1:2" x14ac:dyDescent="0.25">
      <c r="A812" s="473"/>
      <c r="B812" s="473"/>
    </row>
    <row r="813" spans="1:2" x14ac:dyDescent="0.25">
      <c r="A813" s="473"/>
      <c r="B813" s="473"/>
    </row>
    <row r="814" spans="1:2" x14ac:dyDescent="0.25">
      <c r="A814" s="473"/>
      <c r="B814" s="473"/>
    </row>
    <row r="815" spans="1:2" x14ac:dyDescent="0.25">
      <c r="A815" s="473"/>
      <c r="B815" s="473"/>
    </row>
    <row r="816" spans="1:2" x14ac:dyDescent="0.25">
      <c r="A816" s="473"/>
      <c r="B816" s="473"/>
    </row>
    <row r="817" spans="1:2" x14ac:dyDescent="0.25">
      <c r="A817" s="473"/>
      <c r="B817" s="473"/>
    </row>
    <row r="818" spans="1:2" x14ac:dyDescent="0.25">
      <c r="A818" s="473"/>
      <c r="B818" s="473"/>
    </row>
    <row r="819" spans="1:2" x14ac:dyDescent="0.25">
      <c r="A819" s="473"/>
      <c r="B819" s="473"/>
    </row>
    <row r="820" spans="1:2" x14ac:dyDescent="0.25">
      <c r="A820" s="473"/>
      <c r="B820" s="473"/>
    </row>
    <row r="821" spans="1:2" x14ac:dyDescent="0.25">
      <c r="A821" s="473"/>
      <c r="B821" s="473"/>
    </row>
    <row r="822" spans="1:2" x14ac:dyDescent="0.25">
      <c r="A822" s="473"/>
      <c r="B822" s="473"/>
    </row>
    <row r="823" spans="1:2" x14ac:dyDescent="0.25">
      <c r="A823" s="473"/>
      <c r="B823" s="473"/>
    </row>
    <row r="824" spans="1:2" x14ac:dyDescent="0.25">
      <c r="A824" s="473"/>
      <c r="B824" s="473"/>
    </row>
    <row r="825" spans="1:2" x14ac:dyDescent="0.25">
      <c r="A825" s="473"/>
      <c r="B825" s="473"/>
    </row>
    <row r="826" spans="1:2" x14ac:dyDescent="0.25">
      <c r="A826" s="473"/>
      <c r="B826" s="473"/>
    </row>
    <row r="827" spans="1:2" x14ac:dyDescent="0.25">
      <c r="A827" s="473"/>
      <c r="B827" s="473"/>
    </row>
    <row r="828" spans="1:2" x14ac:dyDescent="0.25">
      <c r="A828" s="473"/>
      <c r="B828" s="473"/>
    </row>
    <row r="829" spans="1:2" x14ac:dyDescent="0.25">
      <c r="A829" s="473"/>
      <c r="B829" s="473"/>
    </row>
    <row r="830" spans="1:2" x14ac:dyDescent="0.25">
      <c r="A830" s="473"/>
      <c r="B830" s="473"/>
    </row>
    <row r="831" spans="1:2" x14ac:dyDescent="0.25">
      <c r="A831" s="473"/>
      <c r="B831" s="473"/>
    </row>
    <row r="832" spans="1:2" x14ac:dyDescent="0.25">
      <c r="A832" s="473"/>
      <c r="B832" s="473"/>
    </row>
    <row r="833" spans="1:2" x14ac:dyDescent="0.25">
      <c r="A833" s="473"/>
      <c r="B833" s="473"/>
    </row>
    <row r="834" spans="1:2" x14ac:dyDescent="0.25">
      <c r="A834" s="473"/>
      <c r="B834" s="473"/>
    </row>
    <row r="835" spans="1:2" x14ac:dyDescent="0.25">
      <c r="A835" s="473"/>
      <c r="B835" s="473"/>
    </row>
    <row r="836" spans="1:2" x14ac:dyDescent="0.25">
      <c r="A836" s="473"/>
      <c r="B836" s="473"/>
    </row>
    <row r="837" spans="1:2" x14ac:dyDescent="0.25">
      <c r="A837" s="473"/>
      <c r="B837" s="473"/>
    </row>
    <row r="838" spans="1:2" x14ac:dyDescent="0.25">
      <c r="A838" s="473"/>
      <c r="B838" s="473"/>
    </row>
    <row r="839" spans="1:2" x14ac:dyDescent="0.25">
      <c r="A839" s="473"/>
      <c r="B839" s="473"/>
    </row>
    <row r="840" spans="1:2" x14ac:dyDescent="0.25">
      <c r="A840" s="473"/>
      <c r="B840" s="473"/>
    </row>
    <row r="841" spans="1:2" x14ac:dyDescent="0.25">
      <c r="A841" s="473"/>
      <c r="B841" s="473"/>
    </row>
    <row r="842" spans="1:2" x14ac:dyDescent="0.25">
      <c r="A842" s="473"/>
      <c r="B842" s="473"/>
    </row>
    <row r="843" spans="1:2" x14ac:dyDescent="0.25">
      <c r="A843" s="473"/>
      <c r="B843" s="473"/>
    </row>
    <row r="844" spans="1:2" x14ac:dyDescent="0.25">
      <c r="A844" s="473"/>
      <c r="B844" s="473"/>
    </row>
    <row r="845" spans="1:2" x14ac:dyDescent="0.25">
      <c r="A845" s="473"/>
      <c r="B845" s="473"/>
    </row>
    <row r="846" spans="1:2" x14ac:dyDescent="0.25">
      <c r="A846" s="473"/>
      <c r="B846" s="473"/>
    </row>
    <row r="847" spans="1:2" x14ac:dyDescent="0.25">
      <c r="A847" s="473"/>
      <c r="B847" s="473"/>
    </row>
    <row r="848" spans="1:2" x14ac:dyDescent="0.25">
      <c r="A848" s="473"/>
      <c r="B848" s="473"/>
    </row>
    <row r="849" spans="1:4" x14ac:dyDescent="0.25">
      <c r="A849" s="473"/>
      <c r="B849" s="473"/>
    </row>
    <row r="850" spans="1:4" x14ac:dyDescent="0.25">
      <c r="A850" s="473"/>
      <c r="B850" s="473"/>
    </row>
    <row r="851" spans="1:4" x14ac:dyDescent="0.25">
      <c r="A851" s="473"/>
      <c r="B851" s="473"/>
    </row>
    <row r="852" spans="1:4" x14ac:dyDescent="0.25">
      <c r="A852" s="473"/>
      <c r="B852" s="473"/>
    </row>
    <row r="853" spans="1:4" x14ac:dyDescent="0.25">
      <c r="A853" s="473"/>
      <c r="B853" s="473"/>
    </row>
    <row r="854" spans="1:4" x14ac:dyDescent="0.25">
      <c r="A854" s="473"/>
      <c r="B854" s="473"/>
    </row>
    <row r="855" spans="1:4" x14ac:dyDescent="0.25">
      <c r="A855" s="473"/>
      <c r="B855" s="473"/>
      <c r="C855" s="473"/>
      <c r="D855" s="473"/>
    </row>
    <row r="856" spans="1:4" x14ac:dyDescent="0.25">
      <c r="A856" s="473"/>
      <c r="B856" s="473"/>
      <c r="C856" s="473"/>
      <c r="D856" s="473"/>
    </row>
    <row r="857" spans="1:4" x14ac:dyDescent="0.25">
      <c r="A857" s="473"/>
      <c r="B857" s="473"/>
      <c r="C857" s="473"/>
      <c r="D857" s="473"/>
    </row>
    <row r="858" spans="1:4" x14ac:dyDescent="0.25">
      <c r="A858" s="473"/>
      <c r="B858" s="473"/>
      <c r="C858" s="473"/>
      <c r="D858" s="473"/>
    </row>
    <row r="859" spans="1:4" x14ac:dyDescent="0.25">
      <c r="A859" s="473"/>
      <c r="B859" s="473"/>
      <c r="C859" s="473"/>
      <c r="D859" s="473"/>
    </row>
    <row r="860" spans="1:4" x14ac:dyDescent="0.25">
      <c r="A860" s="473"/>
      <c r="B860" s="473"/>
      <c r="C860" s="473"/>
      <c r="D860" s="473"/>
    </row>
    <row r="861" spans="1:4" x14ac:dyDescent="0.25">
      <c r="A861" s="473"/>
      <c r="B861" s="473"/>
      <c r="C861" s="473"/>
      <c r="D861" s="473"/>
    </row>
    <row r="862" spans="1:4" x14ac:dyDescent="0.25">
      <c r="A862" s="473"/>
      <c r="B862" s="473"/>
      <c r="C862" s="473"/>
      <c r="D862" s="473"/>
    </row>
    <row r="863" spans="1:4" x14ac:dyDescent="0.25">
      <c r="A863" s="473"/>
      <c r="B863" s="473"/>
      <c r="C863" s="473"/>
      <c r="D863" s="473"/>
    </row>
    <row r="864" spans="1:4" x14ac:dyDescent="0.25">
      <c r="A864" s="473"/>
      <c r="B864" s="473"/>
      <c r="C864" s="473"/>
      <c r="D864" s="473"/>
    </row>
    <row r="865" spans="1:4" x14ac:dyDescent="0.25">
      <c r="A865" s="473"/>
      <c r="B865" s="473"/>
      <c r="C865" s="473"/>
      <c r="D865" s="473"/>
    </row>
    <row r="866" spans="1:4" x14ac:dyDescent="0.25">
      <c r="A866" s="473"/>
      <c r="B866" s="473"/>
      <c r="C866" s="473"/>
      <c r="D866" s="473"/>
    </row>
    <row r="867" spans="1:4" x14ac:dyDescent="0.25">
      <c r="A867" s="473"/>
      <c r="B867" s="473"/>
      <c r="C867" s="473"/>
      <c r="D867" s="473"/>
    </row>
    <row r="868" spans="1:4" x14ac:dyDescent="0.25">
      <c r="A868" s="473"/>
      <c r="B868" s="473"/>
      <c r="C868" s="473"/>
      <c r="D868" s="473"/>
    </row>
    <row r="869" spans="1:4" x14ac:dyDescent="0.25">
      <c r="A869" s="473"/>
      <c r="B869" s="473"/>
      <c r="C869" s="473"/>
      <c r="D869" s="473"/>
    </row>
    <row r="870" spans="1:4" x14ac:dyDescent="0.25">
      <c r="A870" s="473"/>
      <c r="B870" s="473"/>
      <c r="C870" s="473"/>
      <c r="D870" s="473"/>
    </row>
    <row r="871" spans="1:4" x14ac:dyDescent="0.25">
      <c r="A871" s="473"/>
      <c r="B871" s="473"/>
      <c r="C871" s="473"/>
      <c r="D871" s="473"/>
    </row>
    <row r="872" spans="1:4" x14ac:dyDescent="0.25">
      <c r="A872" s="473"/>
      <c r="B872" s="473"/>
      <c r="C872" s="473"/>
      <c r="D872" s="473"/>
    </row>
    <row r="873" spans="1:4" x14ac:dyDescent="0.25">
      <c r="A873" s="473"/>
      <c r="B873" s="473"/>
      <c r="C873" s="473"/>
      <c r="D873" s="473"/>
    </row>
    <row r="874" spans="1:4" x14ac:dyDescent="0.25">
      <c r="A874" s="473"/>
      <c r="B874" s="473"/>
      <c r="C874" s="473"/>
      <c r="D874" s="473"/>
    </row>
    <row r="875" spans="1:4" x14ac:dyDescent="0.25">
      <c r="A875" s="473"/>
      <c r="B875" s="473"/>
      <c r="C875" s="473"/>
      <c r="D875" s="473"/>
    </row>
    <row r="876" spans="1:4" x14ac:dyDescent="0.25">
      <c r="A876" s="473"/>
      <c r="B876" s="473"/>
      <c r="C876" s="473"/>
      <c r="D876" s="473"/>
    </row>
    <row r="877" spans="1:4" x14ac:dyDescent="0.25">
      <c r="A877" s="473"/>
      <c r="B877" s="473"/>
      <c r="C877" s="473"/>
      <c r="D877" s="473"/>
    </row>
    <row r="878" spans="1:4" x14ac:dyDescent="0.25">
      <c r="A878" s="473"/>
      <c r="B878" s="473"/>
      <c r="C878" s="473"/>
      <c r="D878" s="473"/>
    </row>
    <row r="879" spans="1:4" x14ac:dyDescent="0.25">
      <c r="A879" s="473"/>
      <c r="B879" s="473"/>
      <c r="C879" s="473"/>
      <c r="D879" s="473"/>
    </row>
    <row r="880" spans="1:4" x14ac:dyDescent="0.25">
      <c r="A880" s="473"/>
      <c r="B880" s="473"/>
      <c r="C880" s="473"/>
      <c r="D880" s="473"/>
    </row>
    <row r="881" spans="1:4" x14ac:dyDescent="0.25">
      <c r="A881" s="473"/>
      <c r="B881" s="473"/>
      <c r="C881" s="473"/>
      <c r="D881" s="473"/>
    </row>
    <row r="882" spans="1:4" x14ac:dyDescent="0.25">
      <c r="A882" s="473"/>
      <c r="B882" s="473"/>
      <c r="C882" s="473"/>
      <c r="D882" s="473"/>
    </row>
    <row r="883" spans="1:4" x14ac:dyDescent="0.25">
      <c r="A883" s="473"/>
      <c r="B883" s="473"/>
      <c r="C883" s="473"/>
      <c r="D883" s="473"/>
    </row>
    <row r="884" spans="1:4" x14ac:dyDescent="0.25">
      <c r="A884" s="473"/>
      <c r="B884" s="473"/>
      <c r="C884" s="473"/>
      <c r="D884" s="473"/>
    </row>
    <row r="885" spans="1:4" x14ac:dyDescent="0.25">
      <c r="A885" s="473"/>
      <c r="B885" s="473"/>
      <c r="C885" s="473"/>
      <c r="D885" s="473"/>
    </row>
    <row r="886" spans="1:4" x14ac:dyDescent="0.25">
      <c r="A886" s="473"/>
      <c r="B886" s="473"/>
      <c r="C886" s="473"/>
      <c r="D886" s="473"/>
    </row>
    <row r="887" spans="1:4" x14ac:dyDescent="0.25">
      <c r="A887" s="473"/>
      <c r="B887" s="473"/>
      <c r="C887" s="473"/>
      <c r="D887" s="473"/>
    </row>
    <row r="888" spans="1:4" x14ac:dyDescent="0.25">
      <c r="A888" s="473"/>
      <c r="B888" s="473"/>
      <c r="C888" s="473"/>
      <c r="D888" s="473"/>
    </row>
    <row r="889" spans="1:4" x14ac:dyDescent="0.25">
      <c r="A889" s="473"/>
      <c r="B889" s="473"/>
      <c r="C889" s="473"/>
      <c r="D889" s="473"/>
    </row>
    <row r="890" spans="1:4" x14ac:dyDescent="0.25">
      <c r="A890" s="473"/>
      <c r="B890" s="473"/>
      <c r="C890" s="473"/>
      <c r="D890" s="473"/>
    </row>
    <row r="891" spans="1:4" x14ac:dyDescent="0.25">
      <c r="A891" s="473"/>
      <c r="B891" s="473"/>
      <c r="C891" s="473"/>
      <c r="D891" s="473"/>
    </row>
    <row r="892" spans="1:4" x14ac:dyDescent="0.25">
      <c r="A892" s="473"/>
      <c r="B892" s="473"/>
      <c r="C892" s="473"/>
      <c r="D892" s="473"/>
    </row>
    <row r="893" spans="1:4" x14ac:dyDescent="0.25">
      <c r="A893" s="473"/>
      <c r="B893" s="473"/>
      <c r="C893" s="473"/>
      <c r="D893" s="473"/>
    </row>
    <row r="894" spans="1:4" x14ac:dyDescent="0.25">
      <c r="A894" s="473"/>
      <c r="B894" s="473"/>
      <c r="C894" s="473"/>
      <c r="D894" s="473"/>
    </row>
    <row r="895" spans="1:4" x14ac:dyDescent="0.25">
      <c r="A895" s="473"/>
      <c r="B895" s="473"/>
      <c r="C895" s="473"/>
      <c r="D895" s="473"/>
    </row>
    <row r="896" spans="1:4" x14ac:dyDescent="0.25">
      <c r="A896" s="473"/>
      <c r="B896" s="473"/>
      <c r="C896" s="473"/>
      <c r="D896" s="473"/>
    </row>
    <row r="897" spans="1:4" x14ac:dyDescent="0.25">
      <c r="A897" s="473"/>
      <c r="B897" s="473"/>
      <c r="C897" s="473"/>
      <c r="D897" s="473"/>
    </row>
    <row r="898" spans="1:4" x14ac:dyDescent="0.25">
      <c r="A898" s="473"/>
      <c r="B898" s="473"/>
      <c r="C898" s="473"/>
      <c r="D898" s="473"/>
    </row>
    <row r="899" spans="1:4" x14ac:dyDescent="0.25">
      <c r="A899" s="473"/>
      <c r="B899" s="473"/>
      <c r="C899" s="473"/>
      <c r="D899" s="473"/>
    </row>
    <row r="900" spans="1:4" x14ac:dyDescent="0.25">
      <c r="A900" s="473"/>
      <c r="B900" s="473"/>
      <c r="C900" s="473"/>
      <c r="D900" s="473"/>
    </row>
    <row r="901" spans="1:4" x14ac:dyDescent="0.25">
      <c r="A901" s="473"/>
      <c r="B901" s="473"/>
      <c r="C901" s="473"/>
      <c r="D901" s="473"/>
    </row>
    <row r="902" spans="1:4" x14ac:dyDescent="0.25">
      <c r="A902" s="473"/>
      <c r="B902" s="473"/>
      <c r="C902" s="473"/>
      <c r="D902" s="473"/>
    </row>
    <row r="903" spans="1:4" x14ac:dyDescent="0.25">
      <c r="A903" s="473"/>
      <c r="B903" s="473"/>
      <c r="C903" s="473"/>
      <c r="D903" s="473"/>
    </row>
    <row r="904" spans="1:4" x14ac:dyDescent="0.25">
      <c r="A904" s="473"/>
      <c r="B904" s="473"/>
      <c r="C904" s="473"/>
      <c r="D904" s="473"/>
    </row>
    <row r="905" spans="1:4" x14ac:dyDescent="0.25">
      <c r="A905" s="473"/>
      <c r="B905" s="473"/>
      <c r="C905" s="473"/>
      <c r="D905" s="473"/>
    </row>
    <row r="906" spans="1:4" x14ac:dyDescent="0.25">
      <c r="A906" s="473"/>
      <c r="B906" s="473"/>
      <c r="C906" s="473"/>
      <c r="D906" s="473"/>
    </row>
    <row r="907" spans="1:4" x14ac:dyDescent="0.25">
      <c r="A907" s="473"/>
      <c r="B907" s="473"/>
      <c r="C907" s="473"/>
      <c r="D907" s="473"/>
    </row>
    <row r="908" spans="1:4" x14ac:dyDescent="0.25">
      <c r="A908" s="473"/>
      <c r="B908" s="473"/>
      <c r="C908" s="473"/>
      <c r="D908" s="473"/>
    </row>
    <row r="909" spans="1:4" x14ac:dyDescent="0.25">
      <c r="A909" s="473"/>
      <c r="B909" s="473"/>
      <c r="C909" s="473"/>
      <c r="D909" s="473"/>
    </row>
    <row r="910" spans="1:4" x14ac:dyDescent="0.25">
      <c r="A910" s="473"/>
      <c r="B910" s="473"/>
      <c r="C910" s="473"/>
      <c r="D910" s="473"/>
    </row>
    <row r="911" spans="1:4" x14ac:dyDescent="0.25">
      <c r="A911" s="473"/>
      <c r="B911" s="473"/>
      <c r="C911" s="473"/>
      <c r="D911" s="473"/>
    </row>
    <row r="912" spans="1:4" x14ac:dyDescent="0.25">
      <c r="A912" s="473"/>
      <c r="B912" s="473"/>
      <c r="C912" s="473"/>
      <c r="D912" s="473"/>
    </row>
    <row r="913" spans="1:4" x14ac:dyDescent="0.25">
      <c r="A913" s="473"/>
      <c r="B913" s="473"/>
      <c r="C913" s="473"/>
      <c r="D913" s="473"/>
    </row>
    <row r="914" spans="1:4" x14ac:dyDescent="0.25">
      <c r="A914" s="473"/>
      <c r="B914" s="473"/>
      <c r="C914" s="473"/>
      <c r="D914" s="473"/>
    </row>
    <row r="915" spans="1:4" x14ac:dyDescent="0.25">
      <c r="A915" s="473"/>
      <c r="B915" s="473"/>
      <c r="C915" s="473"/>
      <c r="D915" s="473"/>
    </row>
    <row r="916" spans="1:4" x14ac:dyDescent="0.25">
      <c r="A916" s="473"/>
      <c r="B916" s="473"/>
      <c r="C916" s="473"/>
      <c r="D916" s="473"/>
    </row>
    <row r="917" spans="1:4" x14ac:dyDescent="0.25">
      <c r="A917" s="473"/>
      <c r="B917" s="473"/>
      <c r="C917" s="473"/>
      <c r="D917" s="473"/>
    </row>
    <row r="918" spans="1:4" x14ac:dyDescent="0.25">
      <c r="A918" s="473"/>
      <c r="B918" s="473"/>
      <c r="C918" s="473"/>
      <c r="D918" s="473"/>
    </row>
    <row r="919" spans="1:4" x14ac:dyDescent="0.25">
      <c r="A919" s="473"/>
      <c r="B919" s="473"/>
      <c r="C919" s="473"/>
      <c r="D919" s="473"/>
    </row>
    <row r="920" spans="1:4" x14ac:dyDescent="0.25">
      <c r="A920" s="473"/>
      <c r="B920" s="473"/>
      <c r="C920" s="473"/>
      <c r="D920" s="473"/>
    </row>
    <row r="921" spans="1:4" x14ac:dyDescent="0.25">
      <c r="A921" s="473"/>
      <c r="B921" s="473"/>
      <c r="C921" s="473"/>
      <c r="D921" s="473"/>
    </row>
    <row r="922" spans="1:4" x14ac:dyDescent="0.25">
      <c r="A922" s="473"/>
      <c r="B922" s="473"/>
      <c r="C922" s="473"/>
      <c r="D922" s="473"/>
    </row>
    <row r="923" spans="1:4" x14ac:dyDescent="0.25">
      <c r="A923" s="473"/>
      <c r="B923" s="473"/>
      <c r="C923" s="473"/>
      <c r="D923" s="473"/>
    </row>
    <row r="924" spans="1:4" x14ac:dyDescent="0.25">
      <c r="A924" s="473"/>
      <c r="B924" s="473"/>
      <c r="C924" s="473"/>
      <c r="D924" s="473"/>
    </row>
    <row r="925" spans="1:4" x14ac:dyDescent="0.25">
      <c r="A925" s="473"/>
      <c r="B925" s="473"/>
      <c r="C925" s="473"/>
      <c r="D925" s="473"/>
    </row>
    <row r="926" spans="1:4" x14ac:dyDescent="0.25">
      <c r="A926" s="473"/>
      <c r="B926" s="473"/>
      <c r="C926" s="473"/>
      <c r="D926" s="473"/>
    </row>
    <row r="927" spans="1:4" x14ac:dyDescent="0.25">
      <c r="A927" s="473"/>
      <c r="B927" s="473"/>
      <c r="C927" s="473"/>
      <c r="D927" s="473"/>
    </row>
    <row r="928" spans="1:4" x14ac:dyDescent="0.25">
      <c r="A928" s="473"/>
      <c r="B928" s="473"/>
      <c r="C928" s="473"/>
      <c r="D928" s="473"/>
    </row>
    <row r="929" spans="1:4" x14ac:dyDescent="0.25">
      <c r="A929" s="473"/>
      <c r="B929" s="473"/>
      <c r="C929" s="473"/>
      <c r="D929" s="473"/>
    </row>
    <row r="930" spans="1:4" x14ac:dyDescent="0.25">
      <c r="A930" s="473"/>
      <c r="B930" s="473"/>
      <c r="C930" s="473"/>
      <c r="D930" s="473"/>
    </row>
    <row r="931" spans="1:4" x14ac:dyDescent="0.25">
      <c r="A931" s="473"/>
      <c r="B931" s="473"/>
      <c r="C931" s="473"/>
      <c r="D931" s="473"/>
    </row>
    <row r="932" spans="1:4" x14ac:dyDescent="0.25">
      <c r="A932" s="473"/>
      <c r="B932" s="473"/>
      <c r="C932" s="473"/>
      <c r="D932" s="473"/>
    </row>
    <row r="933" spans="1:4" x14ac:dyDescent="0.25">
      <c r="A933" s="473"/>
      <c r="B933" s="473"/>
      <c r="C933" s="473"/>
      <c r="D933" s="473"/>
    </row>
    <row r="934" spans="1:4" x14ac:dyDescent="0.25">
      <c r="A934" s="473"/>
      <c r="B934" s="473"/>
      <c r="C934" s="473"/>
      <c r="D934" s="473"/>
    </row>
    <row r="935" spans="1:4" x14ac:dyDescent="0.25">
      <c r="A935" s="473"/>
      <c r="B935" s="473"/>
      <c r="C935" s="473"/>
      <c r="D935" s="473"/>
    </row>
    <row r="936" spans="1:4" x14ac:dyDescent="0.25">
      <c r="A936" s="473"/>
      <c r="B936" s="473"/>
      <c r="C936" s="473"/>
      <c r="D936" s="473"/>
    </row>
    <row r="937" spans="1:4" x14ac:dyDescent="0.25">
      <c r="A937" s="473"/>
      <c r="B937" s="473"/>
      <c r="C937" s="473"/>
      <c r="D937" s="473"/>
    </row>
    <row r="938" spans="1:4" x14ac:dyDescent="0.25">
      <c r="A938" s="473"/>
      <c r="B938" s="473"/>
      <c r="C938" s="473"/>
      <c r="D938" s="473"/>
    </row>
    <row r="939" spans="1:4" x14ac:dyDescent="0.25">
      <c r="A939" s="473"/>
      <c r="B939" s="473"/>
      <c r="C939" s="473"/>
      <c r="D939" s="473"/>
    </row>
    <row r="940" spans="1:4" x14ac:dyDescent="0.25">
      <c r="A940" s="473"/>
      <c r="B940" s="473"/>
      <c r="C940" s="473"/>
      <c r="D940" s="473"/>
    </row>
    <row r="941" spans="1:4" x14ac:dyDescent="0.25">
      <c r="A941" s="473"/>
      <c r="B941" s="473"/>
      <c r="C941" s="473"/>
      <c r="D941" s="473"/>
    </row>
    <row r="942" spans="1:4" x14ac:dyDescent="0.25">
      <c r="A942" s="473"/>
      <c r="B942" s="473"/>
      <c r="C942" s="473"/>
      <c r="D942" s="473"/>
    </row>
    <row r="943" spans="1:4" x14ac:dyDescent="0.25">
      <c r="A943" s="473"/>
      <c r="B943" s="473"/>
      <c r="C943" s="473"/>
      <c r="D943" s="473"/>
    </row>
    <row r="944" spans="1:4" x14ac:dyDescent="0.25">
      <c r="A944" s="473"/>
      <c r="B944" s="473"/>
      <c r="C944" s="473"/>
      <c r="D944" s="473"/>
    </row>
    <row r="945" spans="1:4" x14ac:dyDescent="0.25">
      <c r="A945" s="473"/>
      <c r="B945" s="473"/>
      <c r="C945" s="473"/>
      <c r="D945" s="473"/>
    </row>
    <row r="946" spans="1:4" x14ac:dyDescent="0.25">
      <c r="A946" s="473"/>
      <c r="B946" s="473"/>
      <c r="C946" s="473"/>
      <c r="D946" s="473"/>
    </row>
    <row r="947" spans="1:4" x14ac:dyDescent="0.25">
      <c r="A947" s="473"/>
      <c r="B947" s="473"/>
      <c r="C947" s="473"/>
      <c r="D947" s="473"/>
    </row>
    <row r="948" spans="1:4" x14ac:dyDescent="0.25">
      <c r="A948" s="473"/>
      <c r="B948" s="473"/>
      <c r="C948" s="473"/>
      <c r="D948" s="473"/>
    </row>
    <row r="949" spans="1:4" x14ac:dyDescent="0.25">
      <c r="A949" s="473"/>
      <c r="B949" s="473"/>
      <c r="C949" s="473"/>
      <c r="D949" s="473"/>
    </row>
    <row r="950" spans="1:4" x14ac:dyDescent="0.25">
      <c r="A950" s="473"/>
      <c r="B950" s="473"/>
      <c r="C950" s="473"/>
      <c r="D950" s="473"/>
    </row>
    <row r="951" spans="1:4" x14ac:dyDescent="0.25">
      <c r="A951" s="473"/>
      <c r="B951" s="473"/>
      <c r="C951" s="473"/>
      <c r="D951" s="473"/>
    </row>
    <row r="952" spans="1:4" x14ac:dyDescent="0.25">
      <c r="A952" s="473"/>
      <c r="B952" s="473"/>
      <c r="C952" s="473"/>
      <c r="D952" s="473"/>
    </row>
    <row r="953" spans="1:4" x14ac:dyDescent="0.25">
      <c r="A953" s="473"/>
      <c r="B953" s="473"/>
      <c r="C953" s="473"/>
      <c r="D953" s="473"/>
    </row>
    <row r="954" spans="1:4" x14ac:dyDescent="0.25">
      <c r="A954" s="473"/>
      <c r="B954" s="473"/>
      <c r="C954" s="473"/>
      <c r="D954" s="473"/>
    </row>
    <row r="955" spans="1:4" x14ac:dyDescent="0.25">
      <c r="A955" s="473"/>
      <c r="B955" s="473"/>
      <c r="C955" s="473"/>
      <c r="D955" s="473"/>
    </row>
    <row r="956" spans="1:4" x14ac:dyDescent="0.25">
      <c r="A956" s="473"/>
      <c r="B956" s="473"/>
      <c r="C956" s="473"/>
      <c r="D956" s="473"/>
    </row>
    <row r="957" spans="1:4" x14ac:dyDescent="0.25">
      <c r="A957" s="473"/>
      <c r="B957" s="473"/>
      <c r="C957" s="473"/>
      <c r="D957" s="473"/>
    </row>
    <row r="958" spans="1:4" x14ac:dyDescent="0.25">
      <c r="A958" s="473"/>
      <c r="B958" s="473"/>
      <c r="C958" s="473"/>
      <c r="D958" s="473"/>
    </row>
    <row r="959" spans="1:4" x14ac:dyDescent="0.25">
      <c r="A959" s="473"/>
      <c r="B959" s="473"/>
      <c r="C959" s="473"/>
      <c r="D959" s="473"/>
    </row>
    <row r="960" spans="1:4" x14ac:dyDescent="0.25">
      <c r="A960" s="473"/>
      <c r="B960" s="473"/>
      <c r="C960" s="473"/>
      <c r="D960" s="473"/>
    </row>
    <row r="961" spans="1:4" x14ac:dyDescent="0.25">
      <c r="A961" s="473"/>
      <c r="B961" s="473"/>
      <c r="C961" s="473"/>
      <c r="D961" s="473"/>
    </row>
    <row r="962" spans="1:4" x14ac:dyDescent="0.25">
      <c r="A962" s="473"/>
      <c r="B962" s="473"/>
      <c r="C962" s="473"/>
      <c r="D962" s="473"/>
    </row>
    <row r="963" spans="1:4" x14ac:dyDescent="0.25">
      <c r="A963" s="473"/>
      <c r="B963" s="473"/>
      <c r="C963" s="473"/>
      <c r="D963" s="473"/>
    </row>
    <row r="964" spans="1:4" x14ac:dyDescent="0.25">
      <c r="A964" s="473"/>
      <c r="B964" s="473"/>
      <c r="C964" s="473"/>
      <c r="D964" s="473"/>
    </row>
    <row r="965" spans="1:4" x14ac:dyDescent="0.25">
      <c r="A965" s="473"/>
      <c r="B965" s="473"/>
      <c r="C965" s="473"/>
      <c r="D965" s="473"/>
    </row>
    <row r="966" spans="1:4" x14ac:dyDescent="0.25">
      <c r="A966" s="473"/>
      <c r="B966" s="473"/>
      <c r="C966" s="473"/>
      <c r="D966" s="473"/>
    </row>
    <row r="967" spans="1:4" x14ac:dyDescent="0.25">
      <c r="A967" s="473"/>
      <c r="B967" s="473"/>
      <c r="C967" s="473"/>
      <c r="D967" s="473"/>
    </row>
    <row r="968" spans="1:4" x14ac:dyDescent="0.25">
      <c r="A968" s="473"/>
      <c r="B968" s="473"/>
      <c r="C968" s="473"/>
      <c r="D968" s="473"/>
    </row>
    <row r="969" spans="1:4" x14ac:dyDescent="0.25">
      <c r="A969" s="473"/>
      <c r="B969" s="473"/>
      <c r="C969" s="473"/>
      <c r="D969" s="473"/>
    </row>
    <row r="970" spans="1:4" x14ac:dyDescent="0.25">
      <c r="A970" s="473"/>
      <c r="B970" s="473"/>
      <c r="C970" s="473"/>
      <c r="D970" s="473"/>
    </row>
    <row r="971" spans="1:4" x14ac:dyDescent="0.25">
      <c r="A971" s="473"/>
      <c r="B971" s="473"/>
      <c r="C971" s="473"/>
      <c r="D971" s="473"/>
    </row>
    <row r="972" spans="1:4" x14ac:dyDescent="0.25">
      <c r="A972" s="473"/>
      <c r="B972" s="473"/>
      <c r="C972" s="473"/>
      <c r="D972" s="473"/>
    </row>
    <row r="973" spans="1:4" x14ac:dyDescent="0.25">
      <c r="A973" s="473"/>
      <c r="B973" s="473"/>
      <c r="C973" s="473"/>
      <c r="D973" s="473"/>
    </row>
    <row r="974" spans="1:4" x14ac:dyDescent="0.25">
      <c r="A974" s="473"/>
      <c r="B974" s="473"/>
      <c r="C974" s="473"/>
      <c r="D974" s="473"/>
    </row>
    <row r="975" spans="1:4" x14ac:dyDescent="0.25">
      <c r="A975" s="473"/>
      <c r="B975" s="473"/>
      <c r="C975" s="473"/>
      <c r="D975" s="473"/>
    </row>
    <row r="976" spans="1:4" x14ac:dyDescent="0.25">
      <c r="A976" s="473"/>
      <c r="B976" s="473"/>
      <c r="C976" s="473"/>
      <c r="D976" s="473"/>
    </row>
    <row r="977" spans="1:4" x14ac:dyDescent="0.25">
      <c r="A977" s="473"/>
      <c r="B977" s="473"/>
      <c r="C977" s="473"/>
      <c r="D977" s="473"/>
    </row>
    <row r="978" spans="1:4" x14ac:dyDescent="0.25">
      <c r="A978" s="473"/>
      <c r="B978" s="473"/>
      <c r="C978" s="473"/>
      <c r="D978" s="473"/>
    </row>
    <row r="979" spans="1:4" x14ac:dyDescent="0.25">
      <c r="A979" s="473"/>
      <c r="B979" s="473"/>
      <c r="C979" s="473"/>
      <c r="D979" s="473"/>
    </row>
    <row r="980" spans="1:4" x14ac:dyDescent="0.25">
      <c r="A980" s="473"/>
      <c r="B980" s="473"/>
      <c r="C980" s="473"/>
      <c r="D980" s="473"/>
    </row>
    <row r="981" spans="1:4" x14ac:dyDescent="0.25">
      <c r="A981" s="473"/>
      <c r="B981" s="473"/>
      <c r="C981" s="473"/>
      <c r="D981" s="473"/>
    </row>
    <row r="982" spans="1:4" x14ac:dyDescent="0.25">
      <c r="A982" s="473"/>
      <c r="B982" s="473"/>
      <c r="C982" s="473"/>
      <c r="D982" s="473"/>
    </row>
    <row r="983" spans="1:4" x14ac:dyDescent="0.25">
      <c r="A983" s="473"/>
      <c r="B983" s="473"/>
      <c r="C983" s="473"/>
      <c r="D983" s="473"/>
    </row>
    <row r="984" spans="1:4" x14ac:dyDescent="0.25">
      <c r="A984" s="473"/>
      <c r="B984" s="473"/>
      <c r="C984" s="473"/>
      <c r="D984" s="473"/>
    </row>
    <row r="985" spans="1:4" x14ac:dyDescent="0.25">
      <c r="A985" s="473"/>
      <c r="B985" s="473"/>
      <c r="C985" s="473"/>
      <c r="D985" s="473"/>
    </row>
    <row r="986" spans="1:4" x14ac:dyDescent="0.25">
      <c r="A986" s="473"/>
      <c r="B986" s="473"/>
      <c r="C986" s="473"/>
      <c r="D986" s="473"/>
    </row>
    <row r="987" spans="1:4" x14ac:dyDescent="0.25">
      <c r="A987" s="473"/>
      <c r="B987" s="473"/>
      <c r="C987" s="473"/>
      <c r="D987" s="473"/>
    </row>
    <row r="988" spans="1:4" x14ac:dyDescent="0.25">
      <c r="A988" s="473"/>
      <c r="B988" s="473"/>
      <c r="C988" s="473"/>
      <c r="D988" s="473"/>
    </row>
    <row r="989" spans="1:4" x14ac:dyDescent="0.25">
      <c r="A989" s="473"/>
      <c r="B989" s="473"/>
      <c r="C989" s="473"/>
      <c r="D989" s="473"/>
    </row>
    <row r="990" spans="1:4" x14ac:dyDescent="0.25">
      <c r="A990" s="473"/>
      <c r="B990" s="473"/>
      <c r="C990" s="473"/>
      <c r="D990" s="473"/>
    </row>
    <row r="991" spans="1:4" x14ac:dyDescent="0.25">
      <c r="A991" s="473"/>
      <c r="B991" s="473"/>
      <c r="C991" s="473"/>
      <c r="D991" s="473"/>
    </row>
    <row r="992" spans="1:4" x14ac:dyDescent="0.25">
      <c r="A992" s="473"/>
      <c r="B992" s="473"/>
      <c r="C992" s="473"/>
      <c r="D992" s="473"/>
    </row>
    <row r="993" spans="1:4" x14ac:dyDescent="0.25">
      <c r="A993" s="473"/>
      <c r="B993" s="473"/>
      <c r="C993" s="473"/>
      <c r="D993" s="473"/>
    </row>
    <row r="994" spans="1:4" x14ac:dyDescent="0.25">
      <c r="A994" s="473"/>
      <c r="B994" s="473"/>
      <c r="C994" s="473"/>
      <c r="D994" s="473"/>
    </row>
    <row r="995" spans="1:4" x14ac:dyDescent="0.25">
      <c r="A995" s="473"/>
      <c r="B995" s="473"/>
      <c r="C995" s="473"/>
      <c r="D995" s="473"/>
    </row>
    <row r="996" spans="1:4" x14ac:dyDescent="0.25">
      <c r="A996" s="473"/>
      <c r="B996" s="473"/>
      <c r="C996" s="473"/>
      <c r="D996" s="473"/>
    </row>
    <row r="997" spans="1:4" x14ac:dyDescent="0.25">
      <c r="A997" s="473"/>
      <c r="B997" s="473"/>
      <c r="C997" s="473"/>
      <c r="D997" s="473"/>
    </row>
    <row r="998" spans="1:4" x14ac:dyDescent="0.25">
      <c r="A998" s="473"/>
      <c r="B998" s="473"/>
      <c r="C998" s="473"/>
      <c r="D998" s="473"/>
    </row>
    <row r="999" spans="1:4" x14ac:dyDescent="0.25">
      <c r="A999" s="473"/>
      <c r="B999" s="473"/>
      <c r="C999" s="473"/>
      <c r="D999" s="473"/>
    </row>
    <row r="1000" spans="1:4" x14ac:dyDescent="0.25">
      <c r="A1000" s="473"/>
      <c r="B1000" s="473"/>
      <c r="C1000" s="473"/>
      <c r="D1000" s="473"/>
    </row>
    <row r="1001" spans="1:4" x14ac:dyDescent="0.25">
      <c r="A1001" s="473"/>
      <c r="B1001" s="473"/>
      <c r="C1001" s="473"/>
      <c r="D1001" s="473"/>
    </row>
    <row r="1002" spans="1:4" x14ac:dyDescent="0.25">
      <c r="A1002" s="473"/>
      <c r="B1002" s="473"/>
      <c r="C1002" s="473"/>
      <c r="D1002" s="473"/>
    </row>
    <row r="1003" spans="1:4" x14ac:dyDescent="0.25">
      <c r="A1003" s="473"/>
      <c r="B1003" s="473"/>
      <c r="C1003" s="473"/>
      <c r="D1003" s="473"/>
    </row>
    <row r="1004" spans="1:4" x14ac:dyDescent="0.25">
      <c r="A1004" s="473"/>
      <c r="B1004" s="473"/>
      <c r="C1004" s="473"/>
      <c r="D1004" s="473"/>
    </row>
    <row r="1005" spans="1:4" x14ac:dyDescent="0.25">
      <c r="A1005" s="473"/>
      <c r="B1005" s="473"/>
      <c r="C1005" s="473"/>
      <c r="D1005" s="473"/>
    </row>
    <row r="1006" spans="1:4" x14ac:dyDescent="0.25">
      <c r="A1006" s="473"/>
      <c r="B1006" s="473"/>
      <c r="C1006" s="473"/>
      <c r="D1006" s="473"/>
    </row>
    <row r="1007" spans="1:4" x14ac:dyDescent="0.25">
      <c r="A1007" s="473"/>
      <c r="B1007" s="473"/>
      <c r="C1007" s="473"/>
      <c r="D1007" s="473"/>
    </row>
    <row r="1008" spans="1:4" x14ac:dyDescent="0.25">
      <c r="A1008" s="473"/>
      <c r="B1008" s="473"/>
      <c r="C1008" s="473"/>
      <c r="D1008" s="473"/>
    </row>
    <row r="1009" spans="1:4" x14ac:dyDescent="0.25">
      <c r="A1009" s="473"/>
      <c r="B1009" s="473"/>
      <c r="C1009" s="473"/>
      <c r="D1009" s="473"/>
    </row>
    <row r="1010" spans="1:4" x14ac:dyDescent="0.25">
      <c r="A1010" s="473"/>
      <c r="B1010" s="473"/>
      <c r="C1010" s="473"/>
      <c r="D1010" s="473"/>
    </row>
    <row r="1011" spans="1:4" x14ac:dyDescent="0.25">
      <c r="A1011" s="473"/>
      <c r="B1011" s="473"/>
      <c r="C1011" s="473"/>
      <c r="D1011" s="473"/>
    </row>
    <row r="1012" spans="1:4" x14ac:dyDescent="0.25">
      <c r="A1012" s="473"/>
      <c r="B1012" s="473"/>
      <c r="C1012" s="473"/>
      <c r="D1012" s="473"/>
    </row>
    <row r="1013" spans="1:4" x14ac:dyDescent="0.25">
      <c r="A1013" s="473"/>
      <c r="B1013" s="473"/>
      <c r="C1013" s="473"/>
      <c r="D1013" s="473"/>
    </row>
    <row r="1014" spans="1:4" x14ac:dyDescent="0.25">
      <c r="A1014" s="473"/>
      <c r="B1014" s="473"/>
      <c r="C1014" s="473"/>
      <c r="D1014" s="473"/>
    </row>
    <row r="1015" spans="1:4" x14ac:dyDescent="0.25">
      <c r="A1015" s="473"/>
      <c r="B1015" s="473"/>
      <c r="C1015" s="473"/>
      <c r="D1015" s="473"/>
    </row>
    <row r="1016" spans="1:4" x14ac:dyDescent="0.25">
      <c r="A1016" s="473"/>
      <c r="B1016" s="473"/>
      <c r="C1016" s="473"/>
      <c r="D1016" s="473"/>
    </row>
    <row r="1017" spans="1:4" x14ac:dyDescent="0.25">
      <c r="A1017" s="473"/>
      <c r="B1017" s="473"/>
      <c r="C1017" s="473"/>
      <c r="D1017" s="473"/>
    </row>
    <row r="1018" spans="1:4" x14ac:dyDescent="0.25">
      <c r="A1018" s="473"/>
      <c r="B1018" s="473"/>
      <c r="C1018" s="473"/>
      <c r="D1018" s="473"/>
    </row>
    <row r="1019" spans="1:4" x14ac:dyDescent="0.25">
      <c r="A1019" s="473"/>
      <c r="B1019" s="473"/>
      <c r="C1019" s="473"/>
      <c r="D1019" s="473"/>
    </row>
    <row r="1020" spans="1:4" x14ac:dyDescent="0.25">
      <c r="A1020" s="473"/>
      <c r="B1020" s="473"/>
      <c r="C1020" s="473"/>
      <c r="D1020" s="473"/>
    </row>
    <row r="1021" spans="1:4" x14ac:dyDescent="0.25">
      <c r="A1021" s="473"/>
      <c r="B1021" s="473"/>
      <c r="C1021" s="473"/>
      <c r="D1021" s="473"/>
    </row>
    <row r="1022" spans="1:4" x14ac:dyDescent="0.25">
      <c r="A1022" s="473"/>
      <c r="B1022" s="473"/>
      <c r="C1022" s="473"/>
      <c r="D1022" s="473"/>
    </row>
    <row r="1023" spans="1:4" x14ac:dyDescent="0.25">
      <c r="A1023" s="473"/>
      <c r="B1023" s="473"/>
      <c r="C1023" s="473"/>
      <c r="D1023" s="473"/>
    </row>
    <row r="1024" spans="1:4" x14ac:dyDescent="0.25">
      <c r="A1024" s="473"/>
      <c r="B1024" s="473"/>
      <c r="C1024" s="473"/>
      <c r="D1024" s="473"/>
    </row>
    <row r="1025" spans="1:4" x14ac:dyDescent="0.25">
      <c r="A1025" s="473"/>
      <c r="B1025" s="473"/>
      <c r="C1025" s="473"/>
      <c r="D1025" s="473"/>
    </row>
    <row r="1026" spans="1:4" x14ac:dyDescent="0.25">
      <c r="A1026" s="473"/>
      <c r="B1026" s="473"/>
      <c r="C1026" s="473"/>
      <c r="D1026" s="473"/>
    </row>
    <row r="1027" spans="1:4" x14ac:dyDescent="0.25">
      <c r="A1027" s="473"/>
      <c r="B1027" s="473"/>
      <c r="C1027" s="473"/>
      <c r="D1027" s="473"/>
    </row>
    <row r="1028" spans="1:4" x14ac:dyDescent="0.25">
      <c r="A1028" s="473"/>
      <c r="B1028" s="473"/>
      <c r="C1028" s="473"/>
      <c r="D1028" s="473"/>
    </row>
    <row r="1029" spans="1:4" x14ac:dyDescent="0.25">
      <c r="A1029" s="473"/>
      <c r="B1029" s="473"/>
      <c r="C1029" s="473"/>
      <c r="D1029" s="473"/>
    </row>
    <row r="1030" spans="1:4" x14ac:dyDescent="0.25">
      <c r="A1030" s="473"/>
      <c r="B1030" s="473"/>
      <c r="C1030" s="473"/>
      <c r="D1030" s="473"/>
    </row>
    <row r="1031" spans="1:4" x14ac:dyDescent="0.25">
      <c r="A1031" s="473"/>
      <c r="B1031" s="473"/>
      <c r="C1031" s="473"/>
      <c r="D1031" s="473"/>
    </row>
    <row r="1032" spans="1:4" x14ac:dyDescent="0.25">
      <c r="A1032" s="473"/>
      <c r="B1032" s="473"/>
      <c r="C1032" s="473"/>
      <c r="D1032" s="473"/>
    </row>
    <row r="1033" spans="1:4" x14ac:dyDescent="0.25">
      <c r="A1033" s="473"/>
      <c r="B1033" s="473"/>
      <c r="C1033" s="473"/>
      <c r="D1033" s="473"/>
    </row>
    <row r="1034" spans="1:4" x14ac:dyDescent="0.25">
      <c r="A1034" s="473"/>
      <c r="B1034" s="473"/>
      <c r="C1034" s="473"/>
      <c r="D1034" s="473"/>
    </row>
    <row r="1035" spans="1:4" x14ac:dyDescent="0.25">
      <c r="A1035" s="473"/>
      <c r="B1035" s="473"/>
      <c r="C1035" s="473"/>
      <c r="D1035" s="473"/>
    </row>
    <row r="1036" spans="1:4" x14ac:dyDescent="0.25">
      <c r="A1036" s="473"/>
      <c r="B1036" s="473"/>
      <c r="C1036" s="473"/>
      <c r="D1036" s="473"/>
    </row>
    <row r="1037" spans="1:4" x14ac:dyDescent="0.25">
      <c r="A1037" s="473"/>
      <c r="B1037" s="473"/>
      <c r="C1037" s="473"/>
      <c r="D1037" s="473"/>
    </row>
    <row r="1038" spans="1:4" x14ac:dyDescent="0.25">
      <c r="A1038" s="473"/>
      <c r="B1038" s="473"/>
      <c r="C1038" s="473"/>
      <c r="D1038" s="473"/>
    </row>
    <row r="1039" spans="1:4" x14ac:dyDescent="0.25">
      <c r="A1039" s="473"/>
      <c r="B1039" s="473"/>
      <c r="C1039" s="473"/>
      <c r="D1039" s="473"/>
    </row>
    <row r="1040" spans="1:4" x14ac:dyDescent="0.25">
      <c r="A1040" s="473"/>
      <c r="B1040" s="473"/>
      <c r="C1040" s="473"/>
      <c r="D1040" s="473"/>
    </row>
    <row r="1041" spans="1:4" x14ac:dyDescent="0.25">
      <c r="A1041" s="473"/>
      <c r="B1041" s="473"/>
      <c r="C1041" s="473"/>
      <c r="D1041" s="473"/>
    </row>
    <row r="1042" spans="1:4" x14ac:dyDescent="0.25">
      <c r="A1042" s="473"/>
      <c r="B1042" s="473"/>
      <c r="C1042" s="473"/>
      <c r="D1042" s="473"/>
    </row>
    <row r="1043" spans="1:4" x14ac:dyDescent="0.25">
      <c r="A1043" s="473"/>
      <c r="B1043" s="473"/>
      <c r="C1043" s="473"/>
      <c r="D1043" s="473"/>
    </row>
    <row r="1044" spans="1:4" x14ac:dyDescent="0.25">
      <c r="A1044" s="473"/>
      <c r="B1044" s="473"/>
      <c r="C1044" s="473"/>
      <c r="D1044" s="473"/>
    </row>
    <row r="1045" spans="1:4" x14ac:dyDescent="0.25">
      <c r="A1045" s="473"/>
      <c r="B1045" s="473"/>
      <c r="C1045" s="473"/>
      <c r="D1045" s="473"/>
    </row>
    <row r="1046" spans="1:4" x14ac:dyDescent="0.25">
      <c r="A1046" s="473"/>
      <c r="B1046" s="473"/>
      <c r="C1046" s="473"/>
      <c r="D1046" s="473"/>
    </row>
    <row r="1047" spans="1:4" x14ac:dyDescent="0.25">
      <c r="A1047" s="473"/>
      <c r="B1047" s="473"/>
      <c r="C1047" s="473"/>
      <c r="D1047" s="473"/>
    </row>
    <row r="1048" spans="1:4" x14ac:dyDescent="0.25">
      <c r="A1048" s="473"/>
      <c r="B1048" s="473"/>
      <c r="C1048" s="473"/>
      <c r="D1048" s="473"/>
    </row>
    <row r="1049" spans="1:4" x14ac:dyDescent="0.25">
      <c r="A1049" s="473"/>
      <c r="B1049" s="473"/>
      <c r="C1049" s="473"/>
      <c r="D1049" s="473"/>
    </row>
    <row r="1050" spans="1:4" x14ac:dyDescent="0.25">
      <c r="A1050" s="473"/>
      <c r="B1050" s="473"/>
      <c r="C1050" s="473"/>
      <c r="D1050" s="473"/>
    </row>
    <row r="1051" spans="1:4" x14ac:dyDescent="0.25">
      <c r="A1051" s="473"/>
      <c r="B1051" s="473"/>
      <c r="C1051" s="473"/>
      <c r="D1051" s="473"/>
    </row>
    <row r="1052" spans="1:4" x14ac:dyDescent="0.25">
      <c r="A1052" s="473"/>
      <c r="B1052" s="473"/>
      <c r="C1052" s="473"/>
      <c r="D1052" s="473"/>
    </row>
    <row r="1053" spans="1:4" x14ac:dyDescent="0.25">
      <c r="A1053" s="473"/>
      <c r="B1053" s="473"/>
      <c r="C1053" s="473"/>
      <c r="D1053" s="473"/>
    </row>
    <row r="1054" spans="1:4" x14ac:dyDescent="0.25">
      <c r="A1054" s="473"/>
      <c r="B1054" s="473"/>
      <c r="C1054" s="473"/>
      <c r="D1054" s="473"/>
    </row>
    <row r="1055" spans="1:4" x14ac:dyDescent="0.25">
      <c r="A1055" s="473"/>
      <c r="B1055" s="473"/>
      <c r="C1055" s="473"/>
      <c r="D1055" s="473"/>
    </row>
    <row r="1056" spans="1:4" x14ac:dyDescent="0.25">
      <c r="A1056" s="473"/>
      <c r="B1056" s="473"/>
      <c r="C1056" s="473"/>
      <c r="D1056" s="473"/>
    </row>
    <row r="1057" spans="1:4" x14ac:dyDescent="0.25">
      <c r="A1057" s="473"/>
      <c r="B1057" s="473"/>
      <c r="C1057" s="473"/>
      <c r="D1057" s="473"/>
    </row>
    <row r="1058" spans="1:4" x14ac:dyDescent="0.25">
      <c r="A1058" s="473"/>
      <c r="B1058" s="473"/>
      <c r="C1058" s="473"/>
      <c r="D1058" s="473"/>
    </row>
    <row r="1059" spans="1:4" x14ac:dyDescent="0.25">
      <c r="A1059" s="473"/>
      <c r="B1059" s="473"/>
      <c r="C1059" s="473"/>
      <c r="D1059" s="473"/>
    </row>
    <row r="1060" spans="1:4" x14ac:dyDescent="0.25">
      <c r="A1060" s="473"/>
      <c r="B1060" s="473"/>
      <c r="C1060" s="473"/>
      <c r="D1060" s="473"/>
    </row>
    <row r="1061" spans="1:4" x14ac:dyDescent="0.25">
      <c r="A1061" s="473"/>
      <c r="B1061" s="473"/>
      <c r="C1061" s="473"/>
      <c r="D1061" s="473"/>
    </row>
    <row r="1062" spans="1:4" x14ac:dyDescent="0.25">
      <c r="A1062" s="473"/>
      <c r="B1062" s="473"/>
      <c r="C1062" s="473"/>
      <c r="D1062" s="473"/>
    </row>
    <row r="1063" spans="1:4" x14ac:dyDescent="0.25">
      <c r="A1063" s="473"/>
      <c r="B1063" s="473"/>
      <c r="C1063" s="473"/>
      <c r="D1063" s="473"/>
    </row>
    <row r="1064" spans="1:4" x14ac:dyDescent="0.25">
      <c r="A1064" s="473"/>
      <c r="B1064" s="473"/>
      <c r="C1064" s="473"/>
      <c r="D1064" s="473"/>
    </row>
    <row r="1065" spans="1:4" x14ac:dyDescent="0.25">
      <c r="A1065" s="473"/>
      <c r="B1065" s="473"/>
      <c r="C1065" s="473"/>
      <c r="D1065" s="473"/>
    </row>
    <row r="1066" spans="1:4" x14ac:dyDescent="0.25">
      <c r="A1066" s="473"/>
      <c r="B1066" s="473"/>
      <c r="C1066" s="473"/>
      <c r="D1066" s="473"/>
    </row>
    <row r="1067" spans="1:4" x14ac:dyDescent="0.25">
      <c r="A1067" s="473"/>
      <c r="B1067" s="473"/>
      <c r="C1067" s="473"/>
      <c r="D1067" s="473"/>
    </row>
    <row r="1068" spans="1:4" x14ac:dyDescent="0.25">
      <c r="A1068" s="473"/>
      <c r="B1068" s="473"/>
      <c r="C1068" s="473"/>
      <c r="D1068" s="473"/>
    </row>
    <row r="1069" spans="1:4" x14ac:dyDescent="0.25">
      <c r="A1069" s="473"/>
      <c r="B1069" s="473"/>
      <c r="C1069" s="473"/>
      <c r="D1069" s="473"/>
    </row>
    <row r="1070" spans="1:4" x14ac:dyDescent="0.25">
      <c r="A1070" s="473"/>
      <c r="B1070" s="473"/>
      <c r="C1070" s="473"/>
      <c r="D1070" s="473"/>
    </row>
    <row r="1071" spans="1:4" x14ac:dyDescent="0.25">
      <c r="A1071" s="473"/>
      <c r="B1071" s="473"/>
      <c r="C1071" s="473"/>
      <c r="D1071" s="473"/>
    </row>
    <row r="1072" spans="1:4" x14ac:dyDescent="0.25">
      <c r="A1072" s="473"/>
      <c r="B1072" s="473"/>
      <c r="C1072" s="473"/>
      <c r="D1072" s="473"/>
    </row>
    <row r="1073" spans="1:4" x14ac:dyDescent="0.25">
      <c r="A1073" s="473"/>
      <c r="B1073" s="473"/>
      <c r="C1073" s="473"/>
      <c r="D1073" s="473"/>
    </row>
    <row r="1074" spans="1:4" x14ac:dyDescent="0.25">
      <c r="A1074" s="473"/>
      <c r="B1074" s="473"/>
      <c r="C1074" s="473"/>
      <c r="D1074" s="473"/>
    </row>
    <row r="1075" spans="1:4" x14ac:dyDescent="0.25">
      <c r="A1075" s="473"/>
      <c r="B1075" s="473"/>
      <c r="C1075" s="473"/>
      <c r="D1075" s="473"/>
    </row>
    <row r="1076" spans="1:4" x14ac:dyDescent="0.25">
      <c r="A1076" s="473"/>
      <c r="B1076" s="473"/>
      <c r="C1076" s="473"/>
      <c r="D1076" s="473"/>
    </row>
    <row r="1077" spans="1:4" x14ac:dyDescent="0.25">
      <c r="A1077" s="473"/>
      <c r="B1077" s="473"/>
      <c r="C1077" s="473"/>
      <c r="D1077" s="473"/>
    </row>
    <row r="1078" spans="1:4" x14ac:dyDescent="0.25">
      <c r="A1078" s="473"/>
      <c r="B1078" s="473"/>
      <c r="C1078" s="473"/>
      <c r="D1078" s="473"/>
    </row>
    <row r="1079" spans="1:4" x14ac:dyDescent="0.25">
      <c r="A1079" s="473"/>
      <c r="B1079" s="473"/>
      <c r="C1079" s="473"/>
      <c r="D1079" s="473"/>
    </row>
    <row r="1080" spans="1:4" x14ac:dyDescent="0.25">
      <c r="A1080" s="473"/>
      <c r="B1080" s="473"/>
      <c r="C1080" s="473"/>
      <c r="D1080" s="473"/>
    </row>
    <row r="1081" spans="1:4" x14ac:dyDescent="0.25">
      <c r="A1081" s="473"/>
      <c r="B1081" s="473"/>
      <c r="C1081" s="473"/>
      <c r="D1081" s="473"/>
    </row>
    <row r="1082" spans="1:4" x14ac:dyDescent="0.25">
      <c r="A1082" s="473"/>
      <c r="B1082" s="473"/>
      <c r="C1082" s="473"/>
      <c r="D1082" s="473"/>
    </row>
    <row r="1083" spans="1:4" x14ac:dyDescent="0.25">
      <c r="A1083" s="473"/>
      <c r="B1083" s="473"/>
      <c r="C1083" s="473"/>
      <c r="D1083" s="473"/>
    </row>
    <row r="1084" spans="1:4" x14ac:dyDescent="0.25">
      <c r="A1084" s="473"/>
      <c r="B1084" s="473"/>
      <c r="C1084" s="473"/>
      <c r="D1084" s="473"/>
    </row>
    <row r="1085" spans="1:4" x14ac:dyDescent="0.25">
      <c r="A1085" s="473"/>
      <c r="B1085" s="473"/>
      <c r="C1085" s="473"/>
      <c r="D1085" s="473"/>
    </row>
    <row r="1086" spans="1:4" x14ac:dyDescent="0.25">
      <c r="A1086" s="473"/>
      <c r="B1086" s="473"/>
      <c r="C1086" s="473"/>
      <c r="D1086" s="473"/>
    </row>
    <row r="1087" spans="1:4" x14ac:dyDescent="0.25">
      <c r="A1087" s="473"/>
      <c r="B1087" s="473"/>
      <c r="C1087" s="473"/>
      <c r="D1087" s="473"/>
    </row>
    <row r="1088" spans="1:4" x14ac:dyDescent="0.25">
      <c r="A1088" s="473"/>
      <c r="B1088" s="473"/>
      <c r="C1088" s="473"/>
      <c r="D1088" s="473"/>
    </row>
    <row r="1089" spans="1:4" x14ac:dyDescent="0.25">
      <c r="A1089" s="473"/>
      <c r="B1089" s="473"/>
      <c r="C1089" s="473"/>
      <c r="D1089" s="473"/>
    </row>
    <row r="1090" spans="1:4" x14ac:dyDescent="0.25">
      <c r="A1090" s="473"/>
      <c r="B1090" s="473"/>
      <c r="C1090" s="473"/>
      <c r="D1090" s="473"/>
    </row>
    <row r="1091" spans="1:4" x14ac:dyDescent="0.25">
      <c r="A1091" s="473"/>
      <c r="B1091" s="473"/>
      <c r="C1091" s="473"/>
      <c r="D1091" s="473"/>
    </row>
    <row r="1092" spans="1:4" x14ac:dyDescent="0.25">
      <c r="A1092" s="473"/>
      <c r="B1092" s="473"/>
      <c r="C1092" s="473"/>
      <c r="D1092" s="473"/>
    </row>
    <row r="1093" spans="1:4" x14ac:dyDescent="0.25">
      <c r="A1093" s="473"/>
      <c r="B1093" s="473"/>
      <c r="C1093" s="473"/>
      <c r="D1093" s="473"/>
    </row>
    <row r="1094" spans="1:4" x14ac:dyDescent="0.25">
      <c r="A1094" s="473"/>
      <c r="B1094" s="473"/>
      <c r="C1094" s="473"/>
      <c r="D1094" s="473"/>
    </row>
    <row r="1095" spans="1:4" x14ac:dyDescent="0.25">
      <c r="A1095" s="473"/>
      <c r="B1095" s="473"/>
      <c r="C1095" s="473"/>
      <c r="D1095" s="473"/>
    </row>
    <row r="1096" spans="1:4" x14ac:dyDescent="0.25">
      <c r="A1096" s="473"/>
      <c r="B1096" s="473"/>
      <c r="C1096" s="473"/>
      <c r="D1096" s="473"/>
    </row>
    <row r="1097" spans="1:4" x14ac:dyDescent="0.25">
      <c r="A1097" s="473"/>
      <c r="B1097" s="473"/>
      <c r="C1097" s="473"/>
      <c r="D1097" s="473"/>
    </row>
    <row r="1098" spans="1:4" x14ac:dyDescent="0.25">
      <c r="A1098" s="473"/>
      <c r="B1098" s="473"/>
      <c r="C1098" s="473"/>
      <c r="D1098" s="473"/>
    </row>
    <row r="1099" spans="1:4" x14ac:dyDescent="0.25">
      <c r="A1099" s="473"/>
      <c r="B1099" s="473"/>
      <c r="C1099" s="473"/>
      <c r="D1099" s="473"/>
    </row>
    <row r="1100" spans="1:4" x14ac:dyDescent="0.25">
      <c r="A1100" s="473"/>
      <c r="B1100" s="473"/>
      <c r="C1100" s="473"/>
      <c r="D1100" s="473"/>
    </row>
    <row r="1101" spans="1:4" x14ac:dyDescent="0.25">
      <c r="A1101" s="473"/>
      <c r="B1101" s="473"/>
      <c r="C1101" s="473"/>
      <c r="D1101" s="473"/>
    </row>
    <row r="1102" spans="1:4" x14ac:dyDescent="0.25">
      <c r="A1102" s="473"/>
      <c r="B1102" s="473"/>
      <c r="C1102" s="473"/>
      <c r="D1102" s="473"/>
    </row>
    <row r="1103" spans="1:4" x14ac:dyDescent="0.25">
      <c r="A1103" s="473"/>
      <c r="B1103" s="473"/>
      <c r="C1103" s="473"/>
      <c r="D1103" s="473"/>
    </row>
    <row r="1104" spans="1:4" x14ac:dyDescent="0.25">
      <c r="A1104" s="473"/>
      <c r="B1104" s="473"/>
      <c r="C1104" s="473"/>
      <c r="D1104" s="473"/>
    </row>
    <row r="1105" spans="1:4" x14ac:dyDescent="0.25">
      <c r="A1105" s="473"/>
      <c r="B1105" s="473"/>
      <c r="C1105" s="473"/>
      <c r="D1105" s="473"/>
    </row>
    <row r="1106" spans="1:4" x14ac:dyDescent="0.25">
      <c r="A1106" s="473"/>
      <c r="B1106" s="473"/>
      <c r="C1106" s="473"/>
      <c r="D1106" s="473"/>
    </row>
    <row r="1107" spans="1:4" x14ac:dyDescent="0.25">
      <c r="A1107" s="473"/>
      <c r="B1107" s="473"/>
      <c r="C1107" s="473"/>
      <c r="D1107" s="473"/>
    </row>
    <row r="1108" spans="1:4" x14ac:dyDescent="0.25">
      <c r="A1108" s="473"/>
      <c r="B1108" s="473"/>
      <c r="C1108" s="473"/>
      <c r="D1108" s="473"/>
    </row>
    <row r="1109" spans="1:4" x14ac:dyDescent="0.25">
      <c r="A1109" s="473"/>
      <c r="B1109" s="473"/>
      <c r="C1109" s="473"/>
      <c r="D1109" s="473"/>
    </row>
    <row r="1110" spans="1:4" x14ac:dyDescent="0.25">
      <c r="A1110" s="473"/>
      <c r="B1110" s="473"/>
      <c r="C1110" s="473"/>
      <c r="D1110" s="473"/>
    </row>
    <row r="1111" spans="1:4" x14ac:dyDescent="0.25">
      <c r="A1111" s="473"/>
      <c r="B1111" s="473"/>
      <c r="C1111" s="473"/>
      <c r="D1111" s="473"/>
    </row>
    <row r="1112" spans="1:4" x14ac:dyDescent="0.25">
      <c r="A1112" s="473"/>
      <c r="B1112" s="473"/>
      <c r="C1112" s="473"/>
      <c r="D1112" s="473"/>
    </row>
    <row r="1113" spans="1:4" x14ac:dyDescent="0.25">
      <c r="A1113" s="473"/>
      <c r="B1113" s="473"/>
      <c r="C1113" s="473"/>
      <c r="D1113" s="473"/>
    </row>
    <row r="1114" spans="1:4" x14ac:dyDescent="0.25">
      <c r="A1114" s="473"/>
      <c r="B1114" s="473"/>
      <c r="C1114" s="473"/>
      <c r="D1114" s="473"/>
    </row>
    <row r="1115" spans="1:4" x14ac:dyDescent="0.25">
      <c r="A1115" s="473"/>
      <c r="B1115" s="473"/>
      <c r="C1115" s="473"/>
      <c r="D1115" s="473"/>
    </row>
    <row r="1116" spans="1:4" x14ac:dyDescent="0.25">
      <c r="A1116" s="473"/>
      <c r="B1116" s="473"/>
      <c r="C1116" s="473"/>
      <c r="D1116" s="473"/>
    </row>
    <row r="1117" spans="1:4" x14ac:dyDescent="0.25">
      <c r="A1117" s="473"/>
      <c r="B1117" s="473"/>
      <c r="C1117" s="473"/>
      <c r="D1117" s="473"/>
    </row>
    <row r="1118" spans="1:4" x14ac:dyDescent="0.25">
      <c r="A1118" s="473"/>
      <c r="B1118" s="473"/>
      <c r="C1118" s="473"/>
      <c r="D1118" s="473"/>
    </row>
    <row r="1119" spans="1:4" x14ac:dyDescent="0.25">
      <c r="A1119" s="473"/>
      <c r="B1119" s="473"/>
      <c r="C1119" s="473"/>
      <c r="D1119" s="473"/>
    </row>
    <row r="1120" spans="1:4" x14ac:dyDescent="0.25">
      <c r="A1120" s="473"/>
      <c r="B1120" s="473"/>
      <c r="C1120" s="473"/>
      <c r="D1120" s="473"/>
    </row>
    <row r="1121" spans="1:4" x14ac:dyDescent="0.25">
      <c r="A1121" s="473"/>
      <c r="B1121" s="473"/>
      <c r="C1121" s="473"/>
      <c r="D1121" s="473"/>
    </row>
    <row r="1122" spans="1:4" x14ac:dyDescent="0.25">
      <c r="A1122" s="473"/>
      <c r="B1122" s="473"/>
      <c r="C1122" s="473"/>
      <c r="D1122" s="473"/>
    </row>
    <row r="1123" spans="1:4" x14ac:dyDescent="0.25">
      <c r="A1123" s="473"/>
      <c r="B1123" s="473"/>
      <c r="C1123" s="473"/>
      <c r="D1123" s="473"/>
    </row>
    <row r="1124" spans="1:4" x14ac:dyDescent="0.25">
      <c r="A1124" s="473"/>
      <c r="B1124" s="473"/>
      <c r="C1124" s="473"/>
      <c r="D1124" s="473"/>
    </row>
    <row r="1125" spans="1:4" x14ac:dyDescent="0.25">
      <c r="A1125" s="473"/>
      <c r="B1125" s="473"/>
      <c r="C1125" s="473"/>
      <c r="D1125" s="473"/>
    </row>
    <row r="1126" spans="1:4" x14ac:dyDescent="0.25">
      <c r="A1126" s="473"/>
      <c r="B1126" s="473"/>
      <c r="C1126" s="473"/>
      <c r="D1126" s="473"/>
    </row>
    <row r="1127" spans="1:4" x14ac:dyDescent="0.25">
      <c r="A1127" s="473"/>
      <c r="B1127" s="473"/>
      <c r="C1127" s="473"/>
      <c r="D1127" s="473"/>
    </row>
    <row r="1128" spans="1:4" x14ac:dyDescent="0.25">
      <c r="A1128" s="473"/>
      <c r="B1128" s="473"/>
      <c r="C1128" s="473"/>
      <c r="D1128" s="473"/>
    </row>
    <row r="1129" spans="1:4" x14ac:dyDescent="0.25">
      <c r="A1129" s="473"/>
      <c r="B1129" s="473"/>
      <c r="C1129" s="473"/>
      <c r="D1129" s="473"/>
    </row>
    <row r="1130" spans="1:4" x14ac:dyDescent="0.25">
      <c r="A1130" s="473"/>
      <c r="B1130" s="473"/>
      <c r="C1130" s="473"/>
      <c r="D1130" s="473"/>
    </row>
    <row r="1131" spans="1:4" x14ac:dyDescent="0.25">
      <c r="A1131" s="473"/>
      <c r="B1131" s="473"/>
      <c r="C1131" s="473"/>
      <c r="D1131" s="473"/>
    </row>
    <row r="1132" spans="1:4" x14ac:dyDescent="0.25">
      <c r="A1132" s="473"/>
      <c r="B1132" s="473"/>
      <c r="C1132" s="473"/>
      <c r="D1132" s="473"/>
    </row>
    <row r="1133" spans="1:4" x14ac:dyDescent="0.25">
      <c r="A1133" s="473"/>
      <c r="B1133" s="473"/>
      <c r="C1133" s="473"/>
      <c r="D1133" s="473"/>
    </row>
    <row r="1134" spans="1:4" x14ac:dyDescent="0.25">
      <c r="A1134" s="473"/>
      <c r="B1134" s="473"/>
      <c r="C1134" s="473"/>
      <c r="D1134" s="473"/>
    </row>
    <row r="1135" spans="1:4" x14ac:dyDescent="0.25">
      <c r="A1135" s="473"/>
      <c r="B1135" s="473"/>
      <c r="C1135" s="473"/>
      <c r="D1135" s="473"/>
    </row>
    <row r="1136" spans="1:4" x14ac:dyDescent="0.25">
      <c r="A1136" s="473"/>
      <c r="B1136" s="473"/>
      <c r="C1136" s="473"/>
      <c r="D1136" s="473"/>
    </row>
    <row r="1137" spans="1:4" x14ac:dyDescent="0.25">
      <c r="A1137" s="473"/>
      <c r="B1137" s="473"/>
      <c r="C1137" s="473"/>
      <c r="D1137" s="473"/>
    </row>
    <row r="1138" spans="1:4" x14ac:dyDescent="0.25">
      <c r="A1138" s="473"/>
      <c r="B1138" s="473"/>
      <c r="C1138" s="473"/>
      <c r="D1138" s="473"/>
    </row>
    <row r="1139" spans="1:4" x14ac:dyDescent="0.25">
      <c r="A1139" s="473"/>
      <c r="B1139" s="473"/>
      <c r="C1139" s="473"/>
      <c r="D1139" s="473"/>
    </row>
    <row r="1140" spans="1:4" x14ac:dyDescent="0.25">
      <c r="A1140" s="473"/>
      <c r="B1140" s="473"/>
      <c r="C1140" s="473"/>
      <c r="D1140" s="473"/>
    </row>
    <row r="1141" spans="1:4" x14ac:dyDescent="0.25">
      <c r="A1141" s="473"/>
      <c r="B1141" s="473"/>
      <c r="C1141" s="473"/>
      <c r="D1141" s="473"/>
    </row>
    <row r="1142" spans="1:4" x14ac:dyDescent="0.25">
      <c r="A1142" s="473"/>
      <c r="B1142" s="473"/>
      <c r="C1142" s="473"/>
      <c r="D1142" s="473"/>
    </row>
    <row r="1143" spans="1:4" x14ac:dyDescent="0.25">
      <c r="A1143" s="473"/>
      <c r="B1143" s="473"/>
      <c r="C1143" s="473"/>
      <c r="D1143" s="473"/>
    </row>
    <row r="1144" spans="1:4" x14ac:dyDescent="0.25">
      <c r="A1144" s="473"/>
      <c r="B1144" s="473"/>
      <c r="C1144" s="473"/>
      <c r="D1144" s="473"/>
    </row>
    <row r="1145" spans="1:4" x14ac:dyDescent="0.25">
      <c r="A1145" s="473"/>
      <c r="B1145" s="473"/>
      <c r="C1145" s="473"/>
      <c r="D1145" s="473"/>
    </row>
    <row r="1146" spans="1:4" x14ac:dyDescent="0.25">
      <c r="A1146" s="473"/>
      <c r="B1146" s="473"/>
      <c r="C1146" s="473"/>
      <c r="D1146" s="473"/>
    </row>
    <row r="1147" spans="1:4" x14ac:dyDescent="0.25">
      <c r="A1147" s="473"/>
      <c r="B1147" s="473"/>
      <c r="C1147" s="473"/>
      <c r="D1147" s="473"/>
    </row>
    <row r="1148" spans="1:4" x14ac:dyDescent="0.25">
      <c r="A1148" s="473"/>
      <c r="B1148" s="473"/>
      <c r="C1148" s="473"/>
      <c r="D1148" s="473"/>
    </row>
    <row r="1149" spans="1:4" x14ac:dyDescent="0.25">
      <c r="A1149" s="473"/>
      <c r="B1149" s="473"/>
      <c r="C1149" s="473"/>
      <c r="D1149" s="473"/>
    </row>
    <row r="1150" spans="1:4" x14ac:dyDescent="0.25">
      <c r="A1150" s="473"/>
      <c r="B1150" s="473"/>
      <c r="C1150" s="473"/>
      <c r="D1150" s="473"/>
    </row>
    <row r="1151" spans="1:4" x14ac:dyDescent="0.25">
      <c r="A1151" s="473"/>
      <c r="B1151" s="473"/>
      <c r="C1151" s="473"/>
      <c r="D1151" s="473"/>
    </row>
    <row r="1152" spans="1:4" x14ac:dyDescent="0.25">
      <c r="A1152" s="473"/>
      <c r="B1152" s="473"/>
      <c r="C1152" s="473"/>
      <c r="D1152" s="473"/>
    </row>
    <row r="1153" spans="1:4" x14ac:dyDescent="0.25">
      <c r="A1153" s="473"/>
      <c r="B1153" s="473"/>
      <c r="C1153" s="473"/>
      <c r="D1153" s="473"/>
    </row>
    <row r="1154" spans="1:4" x14ac:dyDescent="0.25">
      <c r="A1154" s="473"/>
      <c r="B1154" s="473"/>
      <c r="C1154" s="473"/>
      <c r="D1154" s="473"/>
    </row>
    <row r="1155" spans="1:4" x14ac:dyDescent="0.25">
      <c r="A1155" s="473"/>
      <c r="B1155" s="473"/>
      <c r="C1155" s="473"/>
      <c r="D1155" s="473"/>
    </row>
    <row r="1156" spans="1:4" x14ac:dyDescent="0.25">
      <c r="A1156" s="473"/>
      <c r="B1156" s="473"/>
      <c r="C1156" s="473"/>
      <c r="D1156" s="473"/>
    </row>
    <row r="1157" spans="1:4" x14ac:dyDescent="0.25">
      <c r="A1157" s="473"/>
      <c r="B1157" s="473"/>
      <c r="C1157" s="473"/>
      <c r="D1157" s="473"/>
    </row>
    <row r="1158" spans="1:4" x14ac:dyDescent="0.25">
      <c r="A1158" s="473"/>
      <c r="B1158" s="473"/>
      <c r="C1158" s="473"/>
      <c r="D1158" s="473"/>
    </row>
    <row r="1159" spans="1:4" x14ac:dyDescent="0.25">
      <c r="A1159" s="473"/>
      <c r="B1159" s="473"/>
      <c r="C1159" s="473"/>
      <c r="D1159" s="473"/>
    </row>
    <row r="1160" spans="1:4" x14ac:dyDescent="0.25">
      <c r="A1160" s="473"/>
      <c r="B1160" s="473"/>
      <c r="C1160" s="473"/>
      <c r="D1160" s="473"/>
    </row>
    <row r="1161" spans="1:4" x14ac:dyDescent="0.25">
      <c r="A1161" s="473"/>
      <c r="B1161" s="473"/>
      <c r="C1161" s="473"/>
      <c r="D1161" s="473"/>
    </row>
    <row r="1162" spans="1:4" x14ac:dyDescent="0.25">
      <c r="A1162" s="473"/>
      <c r="B1162" s="473"/>
      <c r="C1162" s="473"/>
      <c r="D1162" s="473"/>
    </row>
    <row r="1163" spans="1:4" x14ac:dyDescent="0.25">
      <c r="A1163" s="473"/>
      <c r="B1163" s="473"/>
      <c r="C1163" s="473"/>
      <c r="D1163" s="473"/>
    </row>
    <row r="1164" spans="1:4" x14ac:dyDescent="0.25">
      <c r="A1164" s="473"/>
      <c r="B1164" s="473"/>
      <c r="C1164" s="473"/>
      <c r="D1164" s="473"/>
    </row>
    <row r="1165" spans="1:4" x14ac:dyDescent="0.25">
      <c r="A1165" s="473"/>
      <c r="B1165" s="473"/>
      <c r="C1165" s="473"/>
      <c r="D1165" s="473"/>
    </row>
    <row r="1166" spans="1:4" x14ac:dyDescent="0.25">
      <c r="A1166" s="473"/>
      <c r="B1166" s="473"/>
      <c r="C1166" s="473"/>
      <c r="D1166" s="473"/>
    </row>
    <row r="1167" spans="1:4" x14ac:dyDescent="0.25">
      <c r="A1167" s="473"/>
      <c r="B1167" s="473"/>
      <c r="C1167" s="473"/>
      <c r="D1167" s="473"/>
    </row>
    <row r="1168" spans="1:4" x14ac:dyDescent="0.25">
      <c r="A1168" s="473"/>
      <c r="B1168" s="473"/>
      <c r="C1168" s="473"/>
      <c r="D1168" s="473"/>
    </row>
    <row r="1169" spans="1:4" x14ac:dyDescent="0.25">
      <c r="A1169" s="473"/>
      <c r="B1169" s="473"/>
      <c r="C1169" s="473"/>
      <c r="D1169" s="473"/>
    </row>
    <row r="1170" spans="1:4" x14ac:dyDescent="0.25">
      <c r="A1170" s="473"/>
      <c r="B1170" s="473"/>
      <c r="C1170" s="473"/>
      <c r="D1170" s="473"/>
    </row>
    <row r="1171" spans="1:4" x14ac:dyDescent="0.25">
      <c r="A1171" s="473"/>
      <c r="B1171" s="473"/>
      <c r="C1171" s="473"/>
      <c r="D1171" s="473"/>
    </row>
    <row r="1172" spans="1:4" x14ac:dyDescent="0.25">
      <c r="A1172" s="473"/>
      <c r="B1172" s="473"/>
      <c r="C1172" s="473"/>
      <c r="D1172" s="473"/>
    </row>
    <row r="1173" spans="1:4" x14ac:dyDescent="0.25">
      <c r="A1173" s="473"/>
      <c r="B1173" s="473"/>
      <c r="C1173" s="473"/>
      <c r="D1173" s="473"/>
    </row>
    <row r="1174" spans="1:4" x14ac:dyDescent="0.25">
      <c r="A1174" s="473"/>
      <c r="B1174" s="473"/>
      <c r="C1174" s="473"/>
      <c r="D1174" s="473"/>
    </row>
    <row r="1175" spans="1:4" x14ac:dyDescent="0.25">
      <c r="A1175" s="473"/>
      <c r="B1175" s="473"/>
      <c r="C1175" s="473"/>
      <c r="D1175" s="473"/>
    </row>
    <row r="1176" spans="1:4" x14ac:dyDescent="0.25">
      <c r="A1176" s="473"/>
      <c r="B1176" s="473"/>
      <c r="C1176" s="473"/>
      <c r="D1176" s="473"/>
    </row>
    <row r="1177" spans="1:4" x14ac:dyDescent="0.25">
      <c r="A1177" s="473"/>
      <c r="B1177" s="473"/>
      <c r="C1177" s="473"/>
      <c r="D1177" s="473"/>
    </row>
    <row r="1178" spans="1:4" x14ac:dyDescent="0.25">
      <c r="A1178" s="473"/>
      <c r="B1178" s="473"/>
      <c r="C1178" s="473"/>
      <c r="D1178" s="473"/>
    </row>
    <row r="1179" spans="1:4" x14ac:dyDescent="0.25">
      <c r="A1179" s="473"/>
      <c r="B1179" s="473"/>
      <c r="C1179" s="473"/>
      <c r="D1179" s="473"/>
    </row>
    <row r="1180" spans="1:4" x14ac:dyDescent="0.25">
      <c r="A1180" s="473"/>
      <c r="B1180" s="473"/>
      <c r="C1180" s="473"/>
      <c r="D1180" s="473"/>
    </row>
    <row r="1181" spans="1:4" x14ac:dyDescent="0.25">
      <c r="A1181" s="473"/>
      <c r="B1181" s="473"/>
      <c r="C1181" s="473"/>
      <c r="D1181" s="473"/>
    </row>
    <row r="1182" spans="1:4" x14ac:dyDescent="0.25">
      <c r="A1182" s="473"/>
      <c r="B1182" s="473"/>
      <c r="C1182" s="473"/>
      <c r="D1182" s="473"/>
    </row>
    <row r="1183" spans="1:4" x14ac:dyDescent="0.25">
      <c r="A1183" s="473"/>
      <c r="B1183" s="473"/>
      <c r="C1183" s="473"/>
      <c r="D1183" s="473"/>
    </row>
    <row r="1184" spans="1:4" x14ac:dyDescent="0.25">
      <c r="A1184" s="473"/>
      <c r="B1184" s="473"/>
      <c r="C1184" s="473"/>
      <c r="D1184" s="473"/>
    </row>
    <row r="1185" spans="1:4" x14ac:dyDescent="0.25">
      <c r="A1185" s="473"/>
      <c r="B1185" s="473"/>
      <c r="C1185" s="473"/>
      <c r="D1185" s="473"/>
    </row>
    <row r="1186" spans="1:4" x14ac:dyDescent="0.25">
      <c r="A1186" s="473"/>
      <c r="B1186" s="473"/>
      <c r="C1186" s="473"/>
      <c r="D1186" s="473"/>
    </row>
    <row r="1187" spans="1:4" x14ac:dyDescent="0.25">
      <c r="A1187" s="473"/>
      <c r="B1187" s="473"/>
      <c r="C1187" s="473"/>
      <c r="D1187" s="473"/>
    </row>
    <row r="1188" spans="1:4" x14ac:dyDescent="0.25">
      <c r="A1188" s="473"/>
      <c r="B1188" s="473"/>
      <c r="C1188" s="473"/>
      <c r="D1188" s="473"/>
    </row>
    <row r="1189" spans="1:4" x14ac:dyDescent="0.25">
      <c r="A1189" s="473"/>
      <c r="B1189" s="473"/>
      <c r="C1189" s="473"/>
      <c r="D1189" s="473"/>
    </row>
    <row r="1190" spans="1:4" x14ac:dyDescent="0.25">
      <c r="A1190" s="473"/>
      <c r="B1190" s="473"/>
      <c r="C1190" s="473"/>
      <c r="D1190" s="473"/>
    </row>
    <row r="1191" spans="1:4" x14ac:dyDescent="0.25">
      <c r="A1191" s="473"/>
      <c r="B1191" s="473"/>
      <c r="C1191" s="473"/>
      <c r="D1191" s="473"/>
    </row>
    <row r="1192" spans="1:4" x14ac:dyDescent="0.25">
      <c r="A1192" s="473"/>
      <c r="B1192" s="473"/>
      <c r="C1192" s="473"/>
      <c r="D1192" s="473"/>
    </row>
    <row r="1193" spans="1:4" x14ac:dyDescent="0.25">
      <c r="A1193" s="473"/>
      <c r="B1193" s="473"/>
      <c r="C1193" s="473"/>
      <c r="D1193" s="473"/>
    </row>
    <row r="1194" spans="1:4" x14ac:dyDescent="0.25">
      <c r="A1194" s="473"/>
      <c r="B1194" s="473"/>
      <c r="C1194" s="473"/>
      <c r="D1194" s="473"/>
    </row>
    <row r="1195" spans="1:4" x14ac:dyDescent="0.25">
      <c r="A1195" s="473"/>
      <c r="B1195" s="473"/>
      <c r="C1195" s="473"/>
      <c r="D1195" s="473"/>
    </row>
    <row r="1196" spans="1:4" x14ac:dyDescent="0.25">
      <c r="A1196" s="473"/>
      <c r="B1196" s="473"/>
      <c r="C1196" s="473"/>
      <c r="D1196" s="473"/>
    </row>
    <row r="1197" spans="1:4" x14ac:dyDescent="0.25">
      <c r="A1197" s="473"/>
      <c r="B1197" s="473"/>
      <c r="C1197" s="473"/>
      <c r="D1197" s="473"/>
    </row>
    <row r="1198" spans="1:4" x14ac:dyDescent="0.25">
      <c r="A1198" s="473"/>
      <c r="B1198" s="473"/>
      <c r="C1198" s="473"/>
      <c r="D1198" s="473"/>
    </row>
    <row r="1199" spans="1:4" x14ac:dyDescent="0.25">
      <c r="A1199" s="473"/>
      <c r="B1199" s="473"/>
      <c r="C1199" s="473"/>
      <c r="D1199" s="473"/>
    </row>
    <row r="1200" spans="1:4" x14ac:dyDescent="0.25">
      <c r="A1200" s="473"/>
      <c r="B1200" s="473"/>
      <c r="C1200" s="473"/>
      <c r="D1200" s="473"/>
    </row>
    <row r="1201" spans="1:4" x14ac:dyDescent="0.25">
      <c r="A1201" s="473"/>
      <c r="B1201" s="473"/>
      <c r="C1201" s="473"/>
      <c r="D1201" s="473"/>
    </row>
    <row r="1202" spans="1:4" x14ac:dyDescent="0.25">
      <c r="A1202" s="473"/>
      <c r="B1202" s="473"/>
      <c r="C1202" s="473"/>
      <c r="D1202" s="473"/>
    </row>
    <row r="1203" spans="1:4" x14ac:dyDescent="0.25">
      <c r="A1203" s="473"/>
      <c r="B1203" s="473"/>
      <c r="C1203" s="473"/>
      <c r="D1203" s="473"/>
    </row>
    <row r="1204" spans="1:4" x14ac:dyDescent="0.25">
      <c r="A1204" s="473"/>
      <c r="B1204" s="473"/>
      <c r="C1204" s="473"/>
      <c r="D1204" s="473"/>
    </row>
    <row r="1205" spans="1:4" x14ac:dyDescent="0.25">
      <c r="A1205" s="473"/>
      <c r="B1205" s="473"/>
      <c r="C1205" s="473"/>
      <c r="D1205" s="473"/>
    </row>
    <row r="1206" spans="1:4" x14ac:dyDescent="0.25">
      <c r="A1206" s="473"/>
      <c r="B1206" s="473"/>
      <c r="C1206" s="473"/>
      <c r="D1206" s="473"/>
    </row>
    <row r="1207" spans="1:4" x14ac:dyDescent="0.25">
      <c r="A1207" s="473"/>
      <c r="B1207" s="473"/>
      <c r="C1207" s="473"/>
      <c r="D1207" s="473"/>
    </row>
    <row r="1208" spans="1:4" x14ac:dyDescent="0.25">
      <c r="A1208" s="473"/>
      <c r="B1208" s="473"/>
      <c r="C1208" s="473"/>
      <c r="D1208" s="473"/>
    </row>
    <row r="1209" spans="1:4" x14ac:dyDescent="0.25">
      <c r="A1209" s="473"/>
      <c r="B1209" s="473"/>
      <c r="C1209" s="473"/>
      <c r="D1209" s="473"/>
    </row>
    <row r="1210" spans="1:4" x14ac:dyDescent="0.25">
      <c r="A1210" s="473"/>
      <c r="B1210" s="473"/>
      <c r="C1210" s="473"/>
      <c r="D1210" s="473"/>
    </row>
    <row r="1211" spans="1:4" x14ac:dyDescent="0.25">
      <c r="A1211" s="473"/>
      <c r="B1211" s="473"/>
      <c r="C1211" s="473"/>
      <c r="D1211" s="473"/>
    </row>
    <row r="1212" spans="1:4" x14ac:dyDescent="0.25">
      <c r="A1212" s="473"/>
      <c r="B1212" s="473"/>
      <c r="C1212" s="473"/>
      <c r="D1212" s="473"/>
    </row>
    <row r="1213" spans="1:4" x14ac:dyDescent="0.25">
      <c r="A1213" s="473"/>
      <c r="B1213" s="473"/>
      <c r="C1213" s="473"/>
      <c r="D1213" s="473"/>
    </row>
    <row r="1214" spans="1:4" x14ac:dyDescent="0.25">
      <c r="A1214" s="473"/>
      <c r="B1214" s="473"/>
      <c r="C1214" s="473"/>
      <c r="D1214" s="473"/>
    </row>
    <row r="1215" spans="1:4" x14ac:dyDescent="0.25">
      <c r="A1215" s="473"/>
      <c r="B1215" s="473"/>
      <c r="C1215" s="473"/>
      <c r="D1215" s="473"/>
    </row>
    <row r="1216" spans="1:4" x14ac:dyDescent="0.25">
      <c r="A1216" s="473"/>
      <c r="B1216" s="473"/>
      <c r="C1216" s="473"/>
      <c r="D1216" s="473"/>
    </row>
    <row r="1217" spans="1:4" x14ac:dyDescent="0.25">
      <c r="A1217" s="473"/>
      <c r="B1217" s="473"/>
      <c r="C1217" s="473"/>
      <c r="D1217" s="473"/>
    </row>
    <row r="1218" spans="1:4" x14ac:dyDescent="0.25">
      <c r="A1218" s="473"/>
      <c r="B1218" s="473"/>
      <c r="C1218" s="473"/>
      <c r="D1218" s="473"/>
    </row>
    <row r="1219" spans="1:4" x14ac:dyDescent="0.25">
      <c r="A1219" s="473"/>
      <c r="B1219" s="473"/>
      <c r="C1219" s="473"/>
      <c r="D1219" s="473"/>
    </row>
    <row r="1220" spans="1:4" x14ac:dyDescent="0.25">
      <c r="A1220" s="473"/>
      <c r="B1220" s="473"/>
      <c r="C1220" s="473"/>
      <c r="D1220" s="473"/>
    </row>
    <row r="1221" spans="1:4" x14ac:dyDescent="0.25">
      <c r="A1221" s="473"/>
      <c r="B1221" s="473"/>
      <c r="C1221" s="473"/>
      <c r="D1221" s="473"/>
    </row>
    <row r="1222" spans="1:4" x14ac:dyDescent="0.25">
      <c r="A1222" s="473"/>
      <c r="B1222" s="473"/>
      <c r="C1222" s="473"/>
      <c r="D1222" s="473"/>
    </row>
    <row r="1223" spans="1:4" x14ac:dyDescent="0.25">
      <c r="A1223" s="473"/>
      <c r="B1223" s="473"/>
      <c r="C1223" s="473"/>
      <c r="D1223" s="473"/>
    </row>
    <row r="1224" spans="1:4" x14ac:dyDescent="0.25">
      <c r="A1224" s="473"/>
      <c r="B1224" s="473"/>
      <c r="C1224" s="473"/>
      <c r="D1224" s="473"/>
    </row>
    <row r="1225" spans="1:4" x14ac:dyDescent="0.25">
      <c r="A1225" s="473"/>
      <c r="B1225" s="473"/>
      <c r="C1225" s="473"/>
      <c r="D1225" s="473"/>
    </row>
    <row r="1226" spans="1:4" x14ac:dyDescent="0.25">
      <c r="A1226" s="473"/>
      <c r="B1226" s="473"/>
      <c r="C1226" s="473"/>
      <c r="D1226" s="473"/>
    </row>
    <row r="1227" spans="1:4" x14ac:dyDescent="0.25">
      <c r="A1227" s="473"/>
      <c r="B1227" s="473"/>
      <c r="C1227" s="473"/>
      <c r="D1227" s="473"/>
    </row>
    <row r="1228" spans="1:4" x14ac:dyDescent="0.25">
      <c r="A1228" s="473"/>
      <c r="B1228" s="473"/>
      <c r="C1228" s="473"/>
      <c r="D1228" s="473"/>
    </row>
    <row r="1229" spans="1:4" x14ac:dyDescent="0.25">
      <c r="A1229" s="473"/>
      <c r="B1229" s="473"/>
      <c r="C1229" s="473"/>
      <c r="D1229" s="473"/>
    </row>
    <row r="1230" spans="1:4" x14ac:dyDescent="0.25">
      <c r="A1230" s="473"/>
      <c r="B1230" s="473"/>
      <c r="C1230" s="473"/>
      <c r="D1230" s="473"/>
    </row>
    <row r="1231" spans="1:4" x14ac:dyDescent="0.25">
      <c r="A1231" s="473"/>
      <c r="B1231" s="473"/>
      <c r="C1231" s="473"/>
      <c r="D1231" s="473"/>
    </row>
    <row r="1232" spans="1:4" x14ac:dyDescent="0.25">
      <c r="A1232" s="473"/>
      <c r="B1232" s="473"/>
      <c r="C1232" s="473"/>
      <c r="D1232" s="473"/>
    </row>
    <row r="1233" spans="1:4" x14ac:dyDescent="0.25">
      <c r="A1233" s="473"/>
      <c r="B1233" s="473"/>
      <c r="C1233" s="473"/>
      <c r="D1233" s="473"/>
    </row>
    <row r="1234" spans="1:4" x14ac:dyDescent="0.25">
      <c r="A1234" s="473"/>
      <c r="B1234" s="473"/>
      <c r="C1234" s="473"/>
      <c r="D1234" s="473"/>
    </row>
    <row r="1235" spans="1:4" x14ac:dyDescent="0.25">
      <c r="A1235" s="473"/>
      <c r="B1235" s="473"/>
      <c r="C1235" s="473"/>
      <c r="D1235" s="473"/>
    </row>
    <row r="1236" spans="1:4" x14ac:dyDescent="0.25">
      <c r="A1236" s="473"/>
      <c r="B1236" s="473"/>
      <c r="C1236" s="473"/>
      <c r="D1236" s="473"/>
    </row>
    <row r="1237" spans="1:4" x14ac:dyDescent="0.25">
      <c r="A1237" s="473"/>
      <c r="B1237" s="473"/>
      <c r="C1237" s="473"/>
      <c r="D1237" s="473"/>
    </row>
    <row r="1238" spans="1:4" x14ac:dyDescent="0.25">
      <c r="A1238" s="473"/>
      <c r="B1238" s="473"/>
      <c r="C1238" s="473"/>
      <c r="D1238" s="473"/>
    </row>
    <row r="1239" spans="1:4" x14ac:dyDescent="0.25">
      <c r="A1239" s="473"/>
      <c r="B1239" s="473"/>
      <c r="C1239" s="473"/>
      <c r="D1239" s="473"/>
    </row>
    <row r="1240" spans="1:4" x14ac:dyDescent="0.25">
      <c r="A1240" s="473"/>
      <c r="B1240" s="473"/>
      <c r="C1240" s="473"/>
      <c r="D1240" s="473"/>
    </row>
    <row r="1241" spans="1:4" x14ac:dyDescent="0.25">
      <c r="A1241" s="473"/>
      <c r="B1241" s="473"/>
      <c r="C1241" s="473"/>
      <c r="D1241" s="473"/>
    </row>
    <row r="1242" spans="1:4" x14ac:dyDescent="0.25">
      <c r="A1242" s="473"/>
      <c r="B1242" s="473"/>
      <c r="C1242" s="473"/>
      <c r="D1242" s="473"/>
    </row>
    <row r="1243" spans="1:4" x14ac:dyDescent="0.25">
      <c r="A1243" s="473"/>
      <c r="B1243" s="473"/>
      <c r="C1243" s="473"/>
      <c r="D1243" s="473"/>
    </row>
    <row r="1244" spans="1:4" x14ac:dyDescent="0.25">
      <c r="A1244" s="473"/>
      <c r="B1244" s="473"/>
      <c r="C1244" s="473"/>
      <c r="D1244" s="473"/>
    </row>
    <row r="1245" spans="1:4" x14ac:dyDescent="0.25">
      <c r="A1245" s="473"/>
      <c r="B1245" s="473"/>
      <c r="C1245" s="473"/>
      <c r="D1245" s="473"/>
    </row>
    <row r="1246" spans="1:4" x14ac:dyDescent="0.25">
      <c r="A1246" s="473"/>
      <c r="B1246" s="473"/>
      <c r="C1246" s="473"/>
      <c r="D1246" s="473"/>
    </row>
    <row r="1247" spans="1:4" x14ac:dyDescent="0.25">
      <c r="A1247" s="473"/>
      <c r="B1247" s="473"/>
      <c r="C1247" s="473"/>
      <c r="D1247" s="473"/>
    </row>
    <row r="1248" spans="1:4" x14ac:dyDescent="0.25">
      <c r="A1248" s="473"/>
      <c r="B1248" s="473"/>
      <c r="C1248" s="473"/>
      <c r="D1248" s="473"/>
    </row>
    <row r="1249" spans="1:4" x14ac:dyDescent="0.25">
      <c r="A1249" s="473"/>
      <c r="B1249" s="473"/>
      <c r="C1249" s="473"/>
      <c r="D1249" s="473"/>
    </row>
    <row r="1250" spans="1:4" x14ac:dyDescent="0.25">
      <c r="A1250" s="473"/>
      <c r="B1250" s="473"/>
      <c r="C1250" s="473"/>
      <c r="D1250" s="473"/>
    </row>
    <row r="1251" spans="1:4" x14ac:dyDescent="0.25">
      <c r="A1251" s="473"/>
      <c r="B1251" s="473"/>
      <c r="C1251" s="473"/>
      <c r="D1251" s="473"/>
    </row>
    <row r="1252" spans="1:4" x14ac:dyDescent="0.25">
      <c r="A1252" s="473"/>
      <c r="B1252" s="473"/>
      <c r="C1252" s="473"/>
      <c r="D1252" s="473"/>
    </row>
    <row r="1253" spans="1:4" x14ac:dyDescent="0.25">
      <c r="A1253" s="473"/>
      <c r="B1253" s="473"/>
      <c r="C1253" s="473"/>
      <c r="D1253" s="473"/>
    </row>
    <row r="1254" spans="1:4" x14ac:dyDescent="0.25">
      <c r="A1254" s="473"/>
      <c r="B1254" s="473"/>
      <c r="C1254" s="473"/>
      <c r="D1254" s="473"/>
    </row>
    <row r="1255" spans="1:4" x14ac:dyDescent="0.25">
      <c r="A1255" s="473"/>
      <c r="B1255" s="473"/>
      <c r="C1255" s="473"/>
      <c r="D1255" s="473"/>
    </row>
    <row r="1256" spans="1:4" x14ac:dyDescent="0.25">
      <c r="A1256" s="473"/>
      <c r="B1256" s="473"/>
      <c r="C1256" s="473"/>
      <c r="D1256" s="473"/>
    </row>
    <row r="1257" spans="1:4" x14ac:dyDescent="0.25">
      <c r="A1257" s="473"/>
      <c r="B1257" s="473"/>
      <c r="C1257" s="473"/>
      <c r="D1257" s="473"/>
    </row>
    <row r="1258" spans="1:4" x14ac:dyDescent="0.25">
      <c r="A1258" s="473"/>
      <c r="B1258" s="473"/>
      <c r="C1258" s="473"/>
      <c r="D1258" s="473"/>
    </row>
    <row r="1259" spans="1:4" x14ac:dyDescent="0.25">
      <c r="A1259" s="473"/>
      <c r="B1259" s="473"/>
      <c r="C1259" s="473"/>
      <c r="D1259" s="473"/>
    </row>
    <row r="1260" spans="1:4" x14ac:dyDescent="0.25">
      <c r="A1260" s="473"/>
      <c r="B1260" s="473"/>
      <c r="C1260" s="473"/>
      <c r="D1260" s="473"/>
    </row>
    <row r="1261" spans="1:4" x14ac:dyDescent="0.25">
      <c r="A1261" s="473"/>
      <c r="B1261" s="473"/>
      <c r="C1261" s="473"/>
      <c r="D1261" s="473"/>
    </row>
    <row r="1262" spans="1:4" x14ac:dyDescent="0.25">
      <c r="A1262" s="473"/>
      <c r="B1262" s="473"/>
      <c r="C1262" s="473"/>
      <c r="D1262" s="473"/>
    </row>
    <row r="1263" spans="1:4" x14ac:dyDescent="0.25">
      <c r="A1263" s="473"/>
      <c r="B1263" s="473"/>
      <c r="C1263" s="473"/>
      <c r="D1263" s="473"/>
    </row>
    <row r="1264" spans="1:4" x14ac:dyDescent="0.25">
      <c r="A1264" s="473"/>
      <c r="B1264" s="473"/>
      <c r="C1264" s="473"/>
      <c r="D1264" s="473"/>
    </row>
    <row r="1265" spans="1:4" x14ac:dyDescent="0.25">
      <c r="A1265" s="473"/>
      <c r="B1265" s="473"/>
      <c r="C1265" s="473"/>
      <c r="D1265" s="473"/>
    </row>
    <row r="1266" spans="1:4" x14ac:dyDescent="0.25">
      <c r="A1266" s="473"/>
      <c r="B1266" s="473"/>
      <c r="C1266" s="473"/>
      <c r="D1266" s="473"/>
    </row>
    <row r="1267" spans="1:4" x14ac:dyDescent="0.25">
      <c r="A1267" s="473"/>
      <c r="B1267" s="473"/>
      <c r="C1267" s="473"/>
      <c r="D1267" s="473"/>
    </row>
    <row r="1268" spans="1:4" x14ac:dyDescent="0.25">
      <c r="A1268" s="473"/>
      <c r="B1268" s="473"/>
      <c r="C1268" s="473"/>
      <c r="D1268" s="473"/>
    </row>
    <row r="1269" spans="1:4" x14ac:dyDescent="0.25">
      <c r="A1269" s="473"/>
      <c r="B1269" s="473"/>
      <c r="C1269" s="473"/>
      <c r="D1269" s="473"/>
    </row>
    <row r="1270" spans="1:4" x14ac:dyDescent="0.25">
      <c r="A1270" s="473"/>
      <c r="B1270" s="473"/>
      <c r="C1270" s="473"/>
      <c r="D1270" s="473"/>
    </row>
    <row r="1271" spans="1:4" x14ac:dyDescent="0.25">
      <c r="A1271" s="473"/>
      <c r="B1271" s="473"/>
      <c r="C1271" s="473"/>
      <c r="D1271" s="473"/>
    </row>
    <row r="1272" spans="1:4" x14ac:dyDescent="0.25">
      <c r="A1272" s="473"/>
      <c r="B1272" s="473"/>
      <c r="C1272" s="473"/>
      <c r="D1272" s="473"/>
    </row>
    <row r="1273" spans="1:4" x14ac:dyDescent="0.25">
      <c r="A1273" s="473"/>
      <c r="B1273" s="473"/>
      <c r="C1273" s="473"/>
      <c r="D1273" s="473"/>
    </row>
    <row r="1274" spans="1:4" x14ac:dyDescent="0.25">
      <c r="A1274" s="473"/>
      <c r="B1274" s="473"/>
      <c r="C1274" s="473"/>
      <c r="D1274" s="473"/>
    </row>
    <row r="1275" spans="1:4" x14ac:dyDescent="0.25">
      <c r="A1275" s="473"/>
      <c r="B1275" s="473"/>
      <c r="C1275" s="473"/>
      <c r="D1275" s="473"/>
    </row>
    <row r="1276" spans="1:4" x14ac:dyDescent="0.25">
      <c r="A1276" s="473"/>
      <c r="B1276" s="473"/>
      <c r="C1276" s="473"/>
      <c r="D1276" s="473"/>
    </row>
    <row r="1277" spans="1:4" x14ac:dyDescent="0.25">
      <c r="A1277" s="473"/>
      <c r="B1277" s="473"/>
      <c r="C1277" s="473"/>
      <c r="D1277" s="473"/>
    </row>
  </sheetData>
  <pageMargins left="0.75" right="0.75" top="1" bottom="1" header="0.5" footer="0.5"/>
  <pageSetup orientation="portrait" r:id="rId1"/>
  <headerFooter alignWithMargins="0">
    <oddHeader>&amp;A</oddHeader>
    <oddFooter>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K64"/>
  <sheetViews>
    <sheetView workbookViewId="0">
      <selection activeCell="C30" sqref="C30:C47"/>
    </sheetView>
  </sheetViews>
  <sheetFormatPr defaultRowHeight="13.2" x14ac:dyDescent="0.25"/>
  <sheetData>
    <row r="1" spans="1:1" x14ac:dyDescent="0.25">
      <c r="A1" s="539">
        <v>36741.392361111109</v>
      </c>
    </row>
    <row r="2" spans="1:1" x14ac:dyDescent="0.25">
      <c r="A2" t="s">
        <v>347</v>
      </c>
    </row>
    <row r="3" spans="1:1" x14ac:dyDescent="0.25">
      <c r="A3" t="s">
        <v>348</v>
      </c>
    </row>
    <row r="4" spans="1:1" x14ac:dyDescent="0.25">
      <c r="A4" t="s">
        <v>344</v>
      </c>
    </row>
    <row r="5" spans="1:1" x14ac:dyDescent="0.25">
      <c r="A5" t="s">
        <v>338</v>
      </c>
    </row>
    <row r="6" spans="1:1" x14ac:dyDescent="0.25">
      <c r="A6" t="s">
        <v>345</v>
      </c>
    </row>
    <row r="7" spans="1:1" x14ac:dyDescent="0.25">
      <c r="A7" t="s">
        <v>339</v>
      </c>
    </row>
    <row r="8" spans="1:1" x14ac:dyDescent="0.25">
      <c r="A8" t="s">
        <v>349</v>
      </c>
    </row>
    <row r="9" spans="1:1" x14ac:dyDescent="0.25">
      <c r="A9" t="s">
        <v>340</v>
      </c>
    </row>
    <row r="10" spans="1:1" x14ac:dyDescent="0.25">
      <c r="A10" t="s">
        <v>346</v>
      </c>
    </row>
    <row r="11" spans="1:1" x14ac:dyDescent="0.25">
      <c r="A11" t="s">
        <v>350</v>
      </c>
    </row>
    <row r="12" spans="1:1" x14ac:dyDescent="0.25">
      <c r="A12" t="s">
        <v>351</v>
      </c>
    </row>
    <row r="13" spans="1:1" x14ac:dyDescent="0.25">
      <c r="A13" t="s">
        <v>352</v>
      </c>
    </row>
    <row r="14" spans="1:1" x14ac:dyDescent="0.25">
      <c r="A14" t="s">
        <v>353</v>
      </c>
    </row>
    <row r="15" spans="1:1" x14ac:dyDescent="0.25">
      <c r="A15" t="s">
        <v>354</v>
      </c>
    </row>
    <row r="16" spans="1:1" x14ac:dyDescent="0.25">
      <c r="A16" t="s">
        <v>355</v>
      </c>
    </row>
    <row r="17" spans="1:10" x14ac:dyDescent="0.25">
      <c r="A17" t="s">
        <v>356</v>
      </c>
    </row>
    <row r="18" spans="1:10" x14ac:dyDescent="0.25">
      <c r="A18" t="s">
        <v>357</v>
      </c>
    </row>
    <row r="19" spans="1:10" x14ac:dyDescent="0.25">
      <c r="A19" t="s">
        <v>307</v>
      </c>
    </row>
    <row r="20" spans="1:10" x14ac:dyDescent="0.25">
      <c r="A20" t="s">
        <v>311</v>
      </c>
    </row>
    <row r="21" spans="1:10" x14ac:dyDescent="0.25">
      <c r="A21" t="s">
        <v>310</v>
      </c>
    </row>
    <row r="22" spans="1:10" x14ac:dyDescent="0.25">
      <c r="A22" t="s">
        <v>312</v>
      </c>
    </row>
    <row r="23" spans="1:10" x14ac:dyDescent="0.25">
      <c r="A23" t="s">
        <v>308</v>
      </c>
    </row>
    <row r="24" spans="1:10" x14ac:dyDescent="0.25">
      <c r="A24" t="s">
        <v>309</v>
      </c>
    </row>
    <row r="25" spans="1:10" x14ac:dyDescent="0.25">
      <c r="A25" t="s">
        <v>304</v>
      </c>
    </row>
    <row r="26" spans="1:10" x14ac:dyDescent="0.25">
      <c r="A26" t="s">
        <v>306</v>
      </c>
    </row>
    <row r="27" spans="1:10" x14ac:dyDescent="0.25">
      <c r="A27" t="s">
        <v>305</v>
      </c>
    </row>
    <row r="28" spans="1:10" x14ac:dyDescent="0.25">
      <c r="A28" t="s">
        <v>304</v>
      </c>
    </row>
    <row r="29" spans="1:10" x14ac:dyDescent="0.25">
      <c r="A29" t="s">
        <v>301</v>
      </c>
    </row>
    <row r="30" spans="1:10" x14ac:dyDescent="0.25">
      <c r="A30" t="s">
        <v>302</v>
      </c>
      <c r="C30" s="539">
        <v>36958.216666666667</v>
      </c>
    </row>
    <row r="31" spans="1:10" x14ac:dyDescent="0.25">
      <c r="C31" t="s">
        <v>429</v>
      </c>
      <c r="D31" t="s">
        <v>397</v>
      </c>
      <c r="E31">
        <v>64</v>
      </c>
      <c r="F31">
        <v>66</v>
      </c>
      <c r="G31">
        <v>35</v>
      </c>
      <c r="H31">
        <v>82</v>
      </c>
      <c r="I31">
        <v>5</v>
      </c>
      <c r="J31">
        <v>1</v>
      </c>
    </row>
    <row r="32" spans="1:10" x14ac:dyDescent="0.25">
      <c r="C32" t="s">
        <v>430</v>
      </c>
      <c r="D32" t="s">
        <v>398</v>
      </c>
      <c r="E32">
        <v>69</v>
      </c>
      <c r="F32">
        <v>72</v>
      </c>
      <c r="G32">
        <v>35</v>
      </c>
      <c r="H32">
        <v>83</v>
      </c>
      <c r="I32">
        <v>0</v>
      </c>
      <c r="J32">
        <v>1</v>
      </c>
    </row>
    <row r="33" spans="3:11" x14ac:dyDescent="0.25">
      <c r="C33" t="s">
        <v>407</v>
      </c>
      <c r="D33" t="s">
        <v>398</v>
      </c>
      <c r="E33">
        <v>50</v>
      </c>
      <c r="F33">
        <v>100</v>
      </c>
      <c r="G33">
        <v>35</v>
      </c>
      <c r="H33">
        <v>103</v>
      </c>
      <c r="I33">
        <v>0</v>
      </c>
      <c r="J33">
        <v>1</v>
      </c>
    </row>
    <row r="34" spans="3:11" x14ac:dyDescent="0.25">
      <c r="C34" t="s">
        <v>338</v>
      </c>
      <c r="D34" t="s">
        <v>399</v>
      </c>
      <c r="E34">
        <v>0</v>
      </c>
      <c r="F34">
        <v>60</v>
      </c>
      <c r="G34">
        <v>18</v>
      </c>
      <c r="H34">
        <v>60</v>
      </c>
      <c r="I34">
        <v>0</v>
      </c>
      <c r="J34">
        <v>1</v>
      </c>
    </row>
    <row r="35" spans="3:11" x14ac:dyDescent="0.25">
      <c r="C35" t="s">
        <v>408</v>
      </c>
      <c r="D35" t="s">
        <v>399</v>
      </c>
      <c r="E35">
        <v>0</v>
      </c>
      <c r="F35">
        <v>60</v>
      </c>
      <c r="G35">
        <v>18</v>
      </c>
      <c r="H35">
        <v>60</v>
      </c>
      <c r="I35">
        <v>0</v>
      </c>
      <c r="J35">
        <v>1</v>
      </c>
    </row>
    <row r="36" spans="3:11" x14ac:dyDescent="0.25">
      <c r="C36" t="s">
        <v>405</v>
      </c>
      <c r="D36" t="s">
        <v>399</v>
      </c>
      <c r="E36">
        <v>0</v>
      </c>
      <c r="F36">
        <v>100</v>
      </c>
      <c r="G36">
        <v>47</v>
      </c>
      <c r="H36">
        <v>107</v>
      </c>
      <c r="I36">
        <v>0</v>
      </c>
      <c r="J36">
        <v>1</v>
      </c>
    </row>
    <row r="37" spans="3:11" x14ac:dyDescent="0.25">
      <c r="C37" t="s">
        <v>406</v>
      </c>
      <c r="D37" t="s">
        <v>399</v>
      </c>
      <c r="E37">
        <v>0</v>
      </c>
      <c r="F37">
        <v>100</v>
      </c>
      <c r="G37">
        <v>68</v>
      </c>
      <c r="H37">
        <v>107</v>
      </c>
      <c r="I37">
        <v>0</v>
      </c>
      <c r="J37">
        <v>1</v>
      </c>
    </row>
    <row r="38" spans="3:11" x14ac:dyDescent="0.25">
      <c r="C38" t="s">
        <v>431</v>
      </c>
      <c r="D38" t="s">
        <v>397</v>
      </c>
      <c r="E38">
        <v>202</v>
      </c>
      <c r="F38">
        <v>204</v>
      </c>
      <c r="G38">
        <v>86</v>
      </c>
      <c r="H38">
        <v>214</v>
      </c>
      <c r="I38">
        <v>1</v>
      </c>
      <c r="J38">
        <v>1</v>
      </c>
    </row>
    <row r="39" spans="3:11" x14ac:dyDescent="0.25">
      <c r="C39" t="s">
        <v>432</v>
      </c>
      <c r="E39">
        <v>385</v>
      </c>
      <c r="F39">
        <v>442</v>
      </c>
      <c r="G39">
        <v>191</v>
      </c>
      <c r="H39">
        <v>482</v>
      </c>
      <c r="I39">
        <v>7</v>
      </c>
      <c r="J39" t="s">
        <v>15</v>
      </c>
    </row>
    <row r="40" spans="3:11" x14ac:dyDescent="0.25">
      <c r="C40" t="s">
        <v>419</v>
      </c>
      <c r="D40" t="s">
        <v>400</v>
      </c>
      <c r="E40">
        <v>0</v>
      </c>
      <c r="F40">
        <v>69</v>
      </c>
      <c r="G40">
        <v>15</v>
      </c>
      <c r="H40">
        <v>69</v>
      </c>
      <c r="I40">
        <v>0</v>
      </c>
      <c r="J40">
        <v>1</v>
      </c>
    </row>
    <row r="41" spans="3:11" x14ac:dyDescent="0.25">
      <c r="C41" t="s">
        <v>401</v>
      </c>
      <c r="D41" t="s">
        <v>399</v>
      </c>
      <c r="E41">
        <v>0</v>
      </c>
      <c r="F41">
        <v>34</v>
      </c>
      <c r="G41">
        <v>28</v>
      </c>
      <c r="H41">
        <v>49</v>
      </c>
      <c r="I41">
        <v>0</v>
      </c>
      <c r="J41">
        <v>1</v>
      </c>
    </row>
    <row r="42" spans="3:11" x14ac:dyDescent="0.25">
      <c r="C42" t="s">
        <v>427</v>
      </c>
      <c r="D42" t="s">
        <v>398</v>
      </c>
      <c r="E42">
        <v>34</v>
      </c>
      <c r="F42">
        <v>37</v>
      </c>
      <c r="G42">
        <v>25</v>
      </c>
      <c r="H42">
        <v>49</v>
      </c>
      <c r="I42">
        <v>0</v>
      </c>
      <c r="J42">
        <v>1</v>
      </c>
    </row>
    <row r="43" spans="3:11" x14ac:dyDescent="0.25">
      <c r="C43" t="s">
        <v>421</v>
      </c>
      <c r="D43" t="s">
        <v>398</v>
      </c>
      <c r="E43">
        <v>105</v>
      </c>
      <c r="F43">
        <v>85</v>
      </c>
      <c r="G43">
        <v>60</v>
      </c>
      <c r="H43">
        <v>151</v>
      </c>
      <c r="I43">
        <v>0</v>
      </c>
      <c r="J43">
        <v>1</v>
      </c>
    </row>
    <row r="44" spans="3:11" x14ac:dyDescent="0.25">
      <c r="C44" t="s">
        <v>428</v>
      </c>
      <c r="E44">
        <v>140</v>
      </c>
      <c r="F44">
        <v>122</v>
      </c>
      <c r="G44">
        <v>85</v>
      </c>
      <c r="H44">
        <v>200</v>
      </c>
      <c r="I44">
        <v>0</v>
      </c>
      <c r="J44" t="s">
        <v>15</v>
      </c>
    </row>
    <row r="45" spans="3:11" x14ac:dyDescent="0.25">
      <c r="C45" t="s">
        <v>355</v>
      </c>
      <c r="D45" t="s">
        <v>398</v>
      </c>
      <c r="E45">
        <v>577</v>
      </c>
      <c r="F45">
        <v>577</v>
      </c>
      <c r="G45">
        <v>577</v>
      </c>
      <c r="H45">
        <v>600</v>
      </c>
      <c r="I45">
        <v>0</v>
      </c>
      <c r="J45">
        <v>1</v>
      </c>
    </row>
    <row r="46" spans="3:11" x14ac:dyDescent="0.25">
      <c r="C46" t="s">
        <v>426</v>
      </c>
      <c r="D46" t="s">
        <v>398</v>
      </c>
      <c r="E46">
        <v>108</v>
      </c>
      <c r="F46">
        <v>108</v>
      </c>
      <c r="G46">
        <v>108</v>
      </c>
      <c r="H46">
        <v>104</v>
      </c>
      <c r="I46">
        <v>0</v>
      </c>
      <c r="J46">
        <v>1</v>
      </c>
    </row>
    <row r="47" spans="3:11" x14ac:dyDescent="0.25">
      <c r="C47" t="s">
        <v>433</v>
      </c>
      <c r="D47">
        <v>42.38</v>
      </c>
      <c r="E47">
        <v>911</v>
      </c>
      <c r="F47">
        <v>916</v>
      </c>
      <c r="G47">
        <v>85</v>
      </c>
      <c r="H47">
        <v>0</v>
      </c>
      <c r="I47">
        <v>0</v>
      </c>
      <c r="J47">
        <v>23800</v>
      </c>
      <c r="K47">
        <v>166</v>
      </c>
    </row>
    <row r="48" spans="3:11" x14ac:dyDescent="0.25">
      <c r="C48" t="s">
        <v>365</v>
      </c>
    </row>
    <row r="49" spans="3:3" x14ac:dyDescent="0.25">
      <c r="C49" t="s">
        <v>367</v>
      </c>
    </row>
    <row r="50" spans="3:3" x14ac:dyDescent="0.25">
      <c r="C50" t="s">
        <v>368</v>
      </c>
    </row>
    <row r="51" spans="3:3" x14ac:dyDescent="0.25">
      <c r="C51" t="s">
        <v>369</v>
      </c>
    </row>
    <row r="52" spans="3:3" x14ac:dyDescent="0.25">
      <c r="C52" t="s">
        <v>358</v>
      </c>
    </row>
    <row r="53" spans="3:3" x14ac:dyDescent="0.25">
      <c r="C53" t="s">
        <v>366</v>
      </c>
    </row>
    <row r="54" spans="3:3" x14ac:dyDescent="0.25">
      <c r="C54" t="s">
        <v>364</v>
      </c>
    </row>
    <row r="55" spans="3:3" x14ac:dyDescent="0.25">
      <c r="C55" t="s">
        <v>362</v>
      </c>
    </row>
    <row r="56" spans="3:3" x14ac:dyDescent="0.25">
      <c r="C56" t="s">
        <v>370</v>
      </c>
    </row>
    <row r="57" spans="3:3" x14ac:dyDescent="0.25">
      <c r="C57" t="s">
        <v>362</v>
      </c>
    </row>
    <row r="58" spans="3:3" x14ac:dyDescent="0.25">
      <c r="C58" t="s">
        <v>304</v>
      </c>
    </row>
    <row r="59" spans="3:3" x14ac:dyDescent="0.25">
      <c r="C59" t="s">
        <v>359</v>
      </c>
    </row>
    <row r="60" spans="3:3" x14ac:dyDescent="0.25">
      <c r="C60" t="s">
        <v>360</v>
      </c>
    </row>
    <row r="61" spans="3:3" x14ac:dyDescent="0.25">
      <c r="C61" t="s">
        <v>360</v>
      </c>
    </row>
    <row r="62" spans="3:3" x14ac:dyDescent="0.25">
      <c r="C62" t="s">
        <v>304</v>
      </c>
    </row>
    <row r="63" spans="3:3" x14ac:dyDescent="0.25">
      <c r="C63" t="s">
        <v>359</v>
      </c>
    </row>
    <row r="64" spans="3:3" x14ac:dyDescent="0.25">
      <c r="C64" t="s">
        <v>360</v>
      </c>
    </row>
  </sheetData>
  <pageMargins left="0.75" right="0.75" top="1" bottom="1" header="0.5" footer="0.5"/>
  <pageSetup orientation="portrait" r:id="rId1"/>
  <headerFooter alignWithMargins="0"/>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B1" workbookViewId="0">
      <selection activeCell="B1" sqref="A1:IV65536"/>
    </sheetView>
  </sheetViews>
  <sheetFormatPr defaultRowHeight="13.2" x14ac:dyDescent="0.25"/>
  <cols>
    <col min="1" max="1" width="9.109375" hidden="1" customWidth="1"/>
    <col min="3" max="4" width="10.33203125" customWidth="1"/>
  </cols>
  <sheetData>
    <row r="2" spans="3:6" ht="17.399999999999999" x14ac:dyDescent="0.3">
      <c r="C2" s="468" t="s">
        <v>287</v>
      </c>
      <c r="D2" s="469"/>
      <c r="E2" s="470"/>
      <c r="F2" s="469"/>
    </row>
    <row r="4" spans="3:6" x14ac:dyDescent="0.25">
      <c r="C4" s="471" t="s">
        <v>282</v>
      </c>
      <c r="E4" s="472">
        <v>36244</v>
      </c>
    </row>
    <row r="5" spans="3:6" x14ac:dyDescent="0.25">
      <c r="C5" s="471" t="s">
        <v>283</v>
      </c>
      <c r="E5" s="472">
        <v>36244</v>
      </c>
    </row>
    <row r="17" spans="5:5" x14ac:dyDescent="0.25">
      <c r="E17" s="473"/>
    </row>
    <row r="18" spans="5:5" x14ac:dyDescent="0.25">
      <c r="E18" s="473"/>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8" baseType="variant">
      <vt:variant>
        <vt:lpstr>Worksheets</vt:lpstr>
      </vt:variant>
      <vt:variant>
        <vt:i4>12</vt:i4>
      </vt:variant>
      <vt:variant>
        <vt:lpstr>Charts</vt:lpstr>
      </vt:variant>
      <vt:variant>
        <vt:i4>3</vt:i4>
      </vt:variant>
      <vt:variant>
        <vt:lpstr>Dialogs</vt:lpstr>
      </vt:variant>
      <vt:variant>
        <vt:i4>1</vt:i4>
      </vt:variant>
      <vt:variant>
        <vt:lpstr>Named Ranges</vt:lpstr>
      </vt:variant>
      <vt:variant>
        <vt:i4>22</vt:i4>
      </vt:variant>
    </vt:vector>
  </HeadingPairs>
  <TitlesOfParts>
    <vt:vector size="38" baseType="lpstr">
      <vt:lpstr>Deals</vt:lpstr>
      <vt:lpstr>Preschedule</vt:lpstr>
      <vt:lpstr>Fuel</vt:lpstr>
      <vt:lpstr>Economics</vt:lpstr>
      <vt:lpstr>Balancing</vt:lpstr>
      <vt:lpstr>Pivot</vt:lpstr>
      <vt:lpstr>spin reserve log sheet</vt:lpstr>
      <vt:lpstr>Unit Summary</vt:lpstr>
      <vt:lpstr>HeatRate</vt:lpstr>
      <vt:lpstr>TMMData</vt:lpstr>
      <vt:lpstr>EPEData</vt:lpstr>
      <vt:lpstr>Top</vt:lpstr>
      <vt:lpstr>Chart3</vt:lpstr>
      <vt:lpstr>Chart1</vt:lpstr>
      <vt:lpstr>Chart2</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TMMData!fStart</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Havlíček Jan</cp:lastModifiedBy>
  <cp:lastPrinted>2000-12-02T06:40:39Z</cp:lastPrinted>
  <dcterms:created xsi:type="dcterms:W3CDTF">1998-02-07T06:53:21Z</dcterms:created>
  <dcterms:modified xsi:type="dcterms:W3CDTF">2023-09-10T15:13:08Z</dcterms:modified>
</cp:coreProperties>
</file>