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As Queried from GRMS" sheetId="1" r:id="rId1"/>
    <sheet name="GRMS Detail" sheetId="18" r:id="rId2"/>
    <sheet name="As Reported by Canada" sheetId="1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1REPORT_">'[17]East P&amp;L'!#REF!</definedName>
    <definedName name="_401_TUSCORARA">[15]Portfolios!$G$228:$H$470</definedName>
    <definedName name="_xlnm._FilterDatabase" localSheetId="1" hidden="1">'GRMS Detail'!$A$7:$AK$76</definedName>
    <definedName name="_Order1" hidden="1">255</definedName>
    <definedName name="_Order2" hidden="1">255</definedName>
    <definedName name="BadCanCurves">#REF!</definedName>
    <definedName name="BasChange">'[15]Basis Change'!$A$1:$AH$653</definedName>
    <definedName name="BasisBuckets">'[5]Date Master'!$O$3:$P$332</definedName>
    <definedName name="BasisLoc">[15]Portfolios!$D$228:$F$470</definedName>
    <definedName name="BasisPos">'[15]Backward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'[12]Report-BenchmarkPositions'!$A$538:$AK$592</definedName>
    <definedName name="Curves">[9]Curves!$A$3:$F$722</definedName>
    <definedName name="CurveTable" localSheetId="1">'GRMS Detail'!$AI$2:$AK$10</definedName>
    <definedName name="CurveTable">#REF!</definedName>
    <definedName name="_2DA">'[8]Orig Sched'!#REF!</definedName>
    <definedName name="DAILY">'[13]Orig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[15]Portfolios!$I$228</definedName>
    <definedName name="location2">[15]Portfolios!$I$228:$J$470</definedName>
    <definedName name="locations">[15]Portfolios!$G$228:$H$470</definedName>
    <definedName name="locpos">'[15]Backward Roll Sort'!$A$4:$G$224</definedName>
    <definedName name="locpos2">'[15]Backward Roll Sort'!$I$4:$O$224</definedName>
    <definedName name="Macro3">[14]!Macro3</definedName>
    <definedName name="Macro4">[14]!Macro4</definedName>
    <definedName name="Notional">'[15]Backward Roll Notional Top 25'!$A$1:$BY$338</definedName>
    <definedName name="_NX1">'[16]Run Query'!$C$15</definedName>
    <definedName name="PGDBuckets">'[5]Date Master'!$R$3:$S$332</definedName>
    <definedName name="PGOne">"POWGAS"</definedName>
    <definedName name="PhoneNumbers">'[11]12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'[8]Orig Sched'!#REF!</definedName>
    <definedName name="RANGE">'[13]Orig Sched'!#REF!</definedName>
    <definedName name="regions">'[15]BASIS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A4" i="19" l="1"/>
  <c r="AC7" i="19"/>
  <c r="AE7" i="19"/>
  <c r="E12" i="19"/>
  <c r="G12" i="19"/>
  <c r="I12" i="19"/>
  <c r="K12" i="19"/>
  <c r="M12" i="19"/>
  <c r="AC12" i="19"/>
  <c r="AE12" i="19"/>
  <c r="AG12" i="19"/>
  <c r="E13" i="19"/>
  <c r="G13" i="19"/>
  <c r="I13" i="19"/>
  <c r="K13" i="19"/>
  <c r="M13" i="19"/>
  <c r="AC13" i="19"/>
  <c r="AE13" i="19"/>
  <c r="AG13" i="19"/>
  <c r="E14" i="19"/>
  <c r="G14" i="19"/>
  <c r="I14" i="19"/>
  <c r="K14" i="19"/>
  <c r="M14" i="19"/>
  <c r="AC14" i="19"/>
  <c r="AE14" i="19"/>
  <c r="AG14" i="19"/>
  <c r="E15" i="19"/>
  <c r="G15" i="19"/>
  <c r="I15" i="19"/>
  <c r="K15" i="19"/>
  <c r="M15" i="19"/>
  <c r="AC15" i="19"/>
  <c r="AE15" i="19"/>
  <c r="AG15" i="19"/>
  <c r="E16" i="19"/>
  <c r="G16" i="19"/>
  <c r="I16" i="19"/>
  <c r="K16" i="19"/>
  <c r="M16" i="19"/>
  <c r="AC16" i="19"/>
  <c r="AE16" i="19"/>
  <c r="AG16" i="19"/>
  <c r="E17" i="19"/>
  <c r="G17" i="19"/>
  <c r="I17" i="19"/>
  <c r="K17" i="19"/>
  <c r="M17" i="19"/>
  <c r="AC17" i="19"/>
  <c r="AE17" i="19"/>
  <c r="AG17" i="19"/>
  <c r="AC19" i="19"/>
  <c r="AC20" i="19"/>
  <c r="AC21" i="19"/>
  <c r="I1" i="18"/>
  <c r="J1" i="18"/>
  <c r="I2" i="18"/>
  <c r="J2" i="18"/>
  <c r="AH2" i="18"/>
  <c r="A3" i="18"/>
  <c r="I3" i="18"/>
  <c r="J3" i="18"/>
  <c r="AH3" i="18"/>
  <c r="A4" i="18"/>
  <c r="I4" i="18"/>
  <c r="J4" i="18"/>
  <c r="AH4" i="18"/>
  <c r="A5" i="18"/>
  <c r="H5" i="18"/>
  <c r="I5" i="18"/>
  <c r="J5" i="18"/>
  <c r="M5" i="18"/>
  <c r="N5" i="18"/>
  <c r="AH5" i="18"/>
  <c r="AH6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H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AH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H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H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H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H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H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H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H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</connections>
</file>

<file path=xl/sharedStrings.xml><?xml version="1.0" encoding="utf-8"?>
<sst xmlns="http://schemas.openxmlformats.org/spreadsheetml/2006/main" count="765" uniqueCount="121">
  <si>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</si>
  <si>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</si>
  <si>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</si>
  <si>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</si>
  <si>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</si>
  <si>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</si>
  <si>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</si>
  <si>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</si>
  <si>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</si>
  <si>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</si>
  <si>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</si>
  <si>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</si>
  <si>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</si>
  <si>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</si>
  <si>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</si>
  <si>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</si>
  <si>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</si>
  <si>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</si>
  <si>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</si>
  <si>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</si>
  <si>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</si>
  <si>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</si>
  <si>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</si>
  <si>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</si>
  <si>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</si>
  <si>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</si>
  <si>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</si>
  <si>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</si>
  <si>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</si>
  <si>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</si>
  <si>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</si>
  <si>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</si>
  <si>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</si>
  <si>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</si>
  <si>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</si>
  <si>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</si>
  <si>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</si>
  <si>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</si>
  <si>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</si>
  <si>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</si>
  <si>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KEY</t>
  </si>
  <si>
    <t>Curve</t>
  </si>
  <si>
    <t>Amount1</t>
  </si>
  <si>
    <t>Amount2</t>
  </si>
  <si>
    <t>IM-CANADA</t>
  </si>
  <si>
    <t>INTRA-CAND-BC-GD-GDL</t>
  </si>
  <si>
    <t>GD-CGPR-AECO/AV</t>
  </si>
  <si>
    <t>GD-AECOUS-DAILY</t>
  </si>
  <si>
    <t>GD-NWPL_ROCKY_M</t>
  </si>
  <si>
    <t>GDP-CHI.GATE</t>
  </si>
  <si>
    <t>Maximum</t>
  </si>
  <si>
    <t>M</t>
  </si>
  <si>
    <t>INTRA-CAND-EAST-PHY</t>
  </si>
  <si>
    <t>CHIPPAWA/IM</t>
  </si>
  <si>
    <t>GDP-DAWN</t>
  </si>
  <si>
    <t>Minimum</t>
  </si>
  <si>
    <t>CORNWALL/IM</t>
  </si>
  <si>
    <t>GDP-HEHUB</t>
  </si>
  <si>
    <t>Derived</t>
  </si>
  <si>
    <t>PRICE</t>
  </si>
  <si>
    <t>BASIS</t>
  </si>
  <si>
    <t>GD</t>
  </si>
  <si>
    <t>DAWN/IM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</si>
  <si>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</si>
  <si>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</si>
  <si>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</si>
  <si>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</si>
  <si>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</si>
  <si>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</si>
  <si>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</si>
  <si>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</si>
  <si>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</si>
  <si>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</si>
  <si>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</si>
  <si>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</si>
  <si>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</si>
  <si>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</si>
  <si>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</si>
  <si>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</si>
  <si>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</si>
  <si>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</si>
  <si>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</si>
  <si>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</si>
  <si>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</si>
  <si>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</si>
  <si>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</si>
  <si>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</si>
  <si>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</si>
  <si>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</si>
  <si>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</si>
  <si>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</si>
  <si>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</si>
  <si>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</si>
  <si>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</si>
  <si>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</si>
  <si>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</si>
  <si>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</si>
  <si>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</si>
  <si>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</si>
  <si>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</si>
  <si>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</si>
  <si>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</si>
  <si>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</si>
  <si>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</si>
  <si>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</si>
  <si>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</si>
  <si>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</si>
  <si>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</si>
  <si>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</si>
  <si>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</si>
  <si>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</si>
  <si>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</si>
  <si>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</si>
  <si>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</si>
  <si>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</si>
  <si>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</si>
  <si>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</si>
  <si>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</si>
  <si>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</si>
  <si>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 xml:space="preserve"> CANADA (INTRAMONTH)</t>
  </si>
  <si>
    <t>Check - s/b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</si>
</sst>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74" formatCode="yyyy/mm/dd\ hh:mm:ss:ss"/>
    <numFmt numFmtId="187" formatCode="General_)"/>
  </numFmts>
  <fonts count="20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  <font>
      <i/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Border="0"/>
    <xf numFmtId="0" fontId="1" fillId="0" borderId="0"/>
  </cellStyleXfs>
  <cellXfs count="106">
    <xf numFmtId="0" fontId="0" fillId="0" borderId="0" xfId="0"/>
    <xf numFmtId="0" fontId="3" fillId="0" borderId="0" xfId="3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8" fontId="2" fillId="0" borderId="0" xfId="1" applyNumberFormat="1" applyFont="1"/>
    <xf numFmtId="167" fontId="2" fillId="0" borderId="0" xfId="1" applyNumberFormat="1" applyFont="1" applyFill="1"/>
    <xf numFmtId="43" fontId="2" fillId="0" borderId="0" xfId="1" applyFont="1" applyFill="1"/>
    <xf numFmtId="167" fontId="2" fillId="0" borderId="0" xfId="1" applyNumberFormat="1" applyFont="1"/>
    <xf numFmtId="167" fontId="2" fillId="5" borderId="0" xfId="1" applyNumberFormat="1" applyFont="1" applyFill="1"/>
    <xf numFmtId="0" fontId="5" fillId="0" borderId="0" xfId="2" applyFont="1" applyFill="1" applyAlignment="1">
      <alignment horizontal="center"/>
    </xf>
    <xf numFmtId="0" fontId="2" fillId="0" borderId="0" xfId="2"/>
    <xf numFmtId="0" fontId="8" fillId="0" borderId="0" xfId="2" applyFont="1" applyAlignment="1">
      <alignment horizontal="right"/>
    </xf>
    <xf numFmtId="0" fontId="2" fillId="0" borderId="0" xfId="2" applyBorder="1"/>
    <xf numFmtId="173" fontId="2" fillId="0" borderId="0" xfId="2" applyNumberFormat="1"/>
    <xf numFmtId="0" fontId="2" fillId="0" borderId="0" xfId="2" applyNumberFormat="1"/>
    <xf numFmtId="0" fontId="8" fillId="0" borderId="0" xfId="2" applyFont="1" applyAlignment="1">
      <alignment horizontal="center"/>
    </xf>
    <xf numFmtId="15" fontId="2" fillId="0" borderId="0" xfId="2" applyNumberFormat="1" applyAlignment="1">
      <alignment horizontal="center"/>
    </xf>
    <xf numFmtId="174" fontId="2" fillId="0" borderId="0" xfId="2" applyNumberFormat="1"/>
    <xf numFmtId="167" fontId="2" fillId="0" borderId="0" xfId="2" applyNumberFormat="1"/>
    <xf numFmtId="0" fontId="2" fillId="0" borderId="0" xfId="2" applyAlignment="1">
      <alignment horizontal="center"/>
    </xf>
    <xf numFmtId="0" fontId="2" fillId="5" borderId="0" xfId="2" applyFill="1"/>
    <xf numFmtId="0" fontId="2" fillId="0" borderId="0" xfId="2" applyNumberFormat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0" xfId="0" quotePrefix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3" fillId="0" borderId="0" xfId="0" applyFont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9" fillId="6" borderId="0" xfId="0" applyFont="1" applyFill="1"/>
    <xf numFmtId="43" fontId="19" fillId="6" borderId="0" xfId="0" applyNumberFormat="1" applyFont="1" applyFill="1"/>
  </cellXfs>
  <cellStyles count="4">
    <cellStyle name="Comma" xfId="1" builtinId="3"/>
    <cellStyle name="Normal" xfId="0" builtinId="0"/>
    <cellStyle name="Normal_GBM_0615" xfId="2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onnections" Target="connection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56794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679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899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4119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810006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02208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441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8661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7881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710160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655040" y="0"/>
          <a:ext cx="8686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653260" y="0"/>
          <a:ext cx="9677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697200" y="0"/>
          <a:ext cx="8458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649700" y="0"/>
          <a:ext cx="8229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717804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25602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334000" y="0"/>
          <a:ext cx="8153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0</xdr:row>
      <xdr:rowOff>0</xdr:rowOff>
    </xdr:from>
    <xdr:to>
      <xdr:col>1</xdr:col>
      <xdr:colOff>30480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3048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182880</xdr:colOff>
          <xdr:row>0</xdr:row>
          <xdr:rowOff>0</xdr:rowOff>
        </xdr:from>
        <xdr:to>
          <xdr:col>10</xdr:col>
          <xdr:colOff>480060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8097500" y="0"/>
          <a:ext cx="98298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198120</xdr:colOff>
          <xdr:row>0</xdr:row>
          <xdr:rowOff>0</xdr:rowOff>
        </xdr:from>
        <xdr:to>
          <xdr:col>16</xdr:col>
          <xdr:colOff>502920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0</xdr:row>
          <xdr:rowOff>0</xdr:rowOff>
        </xdr:from>
        <xdr:to>
          <xdr:col>0</xdr:col>
          <xdr:colOff>1150620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567940" y="1219200"/>
          <a:ext cx="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5679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4899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4119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10006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02208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9441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8661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7881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710160" y="1219200"/>
          <a:ext cx="80010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655040" y="1219200"/>
          <a:ext cx="8686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653260" y="1219200"/>
          <a:ext cx="9677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19200"/>
          <a:ext cx="24612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697200" y="1219200"/>
          <a:ext cx="84582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649700" y="1219200"/>
          <a:ext cx="82296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717804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25602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334000" y="1219200"/>
          <a:ext cx="81534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446740"/>
          <a:ext cx="256794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64080"/>
          <a:ext cx="25679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30480</xdr:colOff>
      <xdr:row>11</xdr:row>
      <xdr:rowOff>0</xdr:rowOff>
    </xdr:from>
    <xdr:to>
      <xdr:col>1</xdr:col>
      <xdr:colOff>30480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3048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8097500" y="1219200"/>
          <a:ext cx="982980" cy="3276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64080"/>
          <a:ext cx="24612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236220</xdr:colOff>
          <xdr:row>1</xdr:row>
          <xdr:rowOff>30480</xdr:rowOff>
        </xdr:from>
        <xdr:to>
          <xdr:col>0</xdr:col>
          <xdr:colOff>1143000</xdr:colOff>
          <xdr:row>4</xdr:row>
          <xdr:rowOff>411480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04060"/>
          <a:ext cx="246126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Positions_0615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1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sitions"/>
      <sheetName val="sb Houston"/>
      <sheetName val="Template"/>
      <sheetName val="Houston"/>
      <sheetName val="BC GD"/>
      <sheetName val="Opt GD"/>
      <sheetName val="AB Fin"/>
      <sheetName val="AB GD"/>
      <sheetName val="Summary"/>
      <sheetName val="West Cash"/>
      <sheetName val="BC Cash"/>
    </sheetNames>
    <sheetDataSet>
      <sheetData sheetId="0">
        <row r="50">
          <cell r="B50">
            <v>55.837346491842716</v>
          </cell>
          <cell r="C50">
            <v>-289.22572731190041</v>
          </cell>
          <cell r="D50">
            <v>0</v>
          </cell>
          <cell r="E50">
            <v>0</v>
          </cell>
          <cell r="F50">
            <v>0</v>
          </cell>
          <cell r="H50">
            <v>-57.301175082914796</v>
          </cell>
        </row>
        <row r="51">
          <cell r="B51">
            <v>189.81936071481061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H51">
            <v>98.4</v>
          </cell>
        </row>
        <row r="52">
          <cell r="G52">
            <v>0</v>
          </cell>
          <cell r="H52">
            <v>0</v>
          </cell>
        </row>
        <row r="54">
          <cell r="B54">
            <v>0</v>
          </cell>
          <cell r="C54">
            <v>-427.39769999999999</v>
          </cell>
          <cell r="D54">
            <v>218.82881731247898</v>
          </cell>
          <cell r="E54">
            <v>112.05423979366878</v>
          </cell>
          <cell r="F54">
            <v>100.858</v>
          </cell>
          <cell r="H54">
            <v>-20.367634526931766</v>
          </cell>
        </row>
        <row r="56">
          <cell r="G56">
            <v>-39.225662999099313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W3">
            <v>36692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QUERY3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2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J16" sqref="AJ16"/>
    </sheetView>
  </sheetViews>
  <sheetFormatPr defaultColWidth="9.109375" defaultRowHeight="13.2" x14ac:dyDescent="0.25"/>
  <cols>
    <col min="1" max="1" width="35.88671875" style="10" customWidth="1"/>
    <col min="2" max="2" width="1.5546875" style="2" customWidth="1"/>
    <col min="3" max="3" width="14.44140625" style="3" hidden="1" customWidth="1"/>
    <col min="4" max="4" width="9.33203125" style="3" hidden="1" customWidth="1"/>
    <col min="5" max="5" width="11.88671875" style="2" customWidth="1"/>
    <col min="6" max="6" width="1.5546875" style="2" customWidth="1"/>
    <col min="7" max="7" width="11.88671875" style="2" customWidth="1"/>
    <col min="8" max="8" width="1.5546875" style="2" customWidth="1"/>
    <col min="9" max="9" width="11.88671875" style="2" customWidth="1"/>
    <col min="10" max="10" width="1.5546875" style="2" customWidth="1"/>
    <col min="11" max="11" width="11.88671875" style="2" customWidth="1"/>
    <col min="12" max="12" width="1.5546875" style="2" customWidth="1"/>
    <col min="13" max="13" width="11.88671875" style="2" customWidth="1"/>
    <col min="14" max="14" width="1.5546875" style="2" customWidth="1"/>
    <col min="15" max="15" width="11.88671875" style="2" customWidth="1"/>
    <col min="16" max="16" width="1.5546875" style="2" customWidth="1"/>
    <col min="17" max="17" width="11.88671875" style="2" customWidth="1"/>
    <col min="18" max="18" width="1.5546875" style="2" customWidth="1"/>
    <col min="19" max="19" width="11.88671875" style="2" customWidth="1"/>
    <col min="20" max="20" width="1.5546875" style="2" customWidth="1"/>
    <col min="21" max="21" width="11.88671875" style="2" customWidth="1"/>
    <col min="22" max="22" width="1.5546875" style="2" customWidth="1"/>
    <col min="23" max="23" width="11.88671875" style="2" customWidth="1"/>
    <col min="24" max="24" width="1.5546875" style="2" customWidth="1"/>
    <col min="25" max="25" width="11.88671875" style="2" customWidth="1"/>
    <col min="26" max="26" width="1.5546875" style="2" customWidth="1"/>
    <col min="27" max="27" width="11.6640625" style="2" customWidth="1"/>
    <col min="28" max="28" width="2.109375" style="2" customWidth="1"/>
    <col min="29" max="29" width="12.6640625" style="2" customWidth="1"/>
    <col min="30" max="30" width="1.88671875" style="2" customWidth="1"/>
    <col min="31" max="31" width="14.109375" style="2" customWidth="1"/>
    <col min="32" max="32" width="1.109375" style="5" customWidth="1"/>
    <col min="33" max="33" width="12.33203125" style="5" customWidth="1"/>
    <col min="34" max="34" width="1.5546875" style="6" customWidth="1"/>
    <col min="35" max="35" width="12" style="5" customWidth="1"/>
    <col min="36" max="36" width="9.109375" style="2"/>
    <col min="37" max="37" width="14.33203125" style="2" customWidth="1"/>
    <col min="38" max="16384" width="9.109375" style="2"/>
  </cols>
  <sheetData>
    <row r="1" spans="1:44" ht="12.75" customHeight="1" x14ac:dyDescent="0.25">
      <c r="A1" s="1" t="s">
        <v>0</v>
      </c>
      <c r="AE1" s="4"/>
      <c r="AI1" s="7" t="s">
        <v>1</v>
      </c>
    </row>
    <row r="2" spans="1:44" ht="12.75" customHeight="1" x14ac:dyDescent="0.25">
      <c r="A2" s="1"/>
      <c r="AC2" s="8"/>
      <c r="AE2" s="8"/>
      <c r="AG2" s="8"/>
      <c r="AI2" s="9" t="s">
        <v>2</v>
      </c>
    </row>
    <row r="3" spans="1:44" ht="12.75" customHeight="1" x14ac:dyDescent="0.25">
      <c r="AE3"/>
      <c r="AI3" s="7"/>
    </row>
    <row r="4" spans="1:44" ht="12.75" customHeight="1" x14ac:dyDescent="0.25">
      <c r="AE4"/>
    </row>
    <row r="5" spans="1:44" ht="45.75" customHeight="1" x14ac:dyDescent="0.25">
      <c r="A5" s="11">
        <v>36692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5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5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3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8" thickTop="1" x14ac:dyDescent="0.25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3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3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5">
      <c r="A12" s="64" t="s">
        <v>28</v>
      </c>
      <c r="B12" s="23"/>
      <c r="C12" s="3" t="s">
        <v>29</v>
      </c>
      <c r="D12" s="3" t="s">
        <v>30</v>
      </c>
      <c r="E12" s="65">
        <v>0</v>
      </c>
      <c r="F12" s="75"/>
      <c r="G12" s="67">
        <v>0</v>
      </c>
      <c r="H12" s="23"/>
      <c r="I12" s="65">
        <v>0</v>
      </c>
      <c r="J12" s="23"/>
      <c r="K12" s="65">
        <v>0</v>
      </c>
      <c r="L12" s="23"/>
      <c r="M12" s="65"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23"/>
      <c r="W12" s="65">
        <v>0</v>
      </c>
      <c r="X12" s="23"/>
      <c r="Y12" s="65">
        <v>0</v>
      </c>
      <c r="Z12" s="23"/>
      <c r="AA12" s="65">
        <v>0</v>
      </c>
      <c r="AB12" s="23"/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0</v>
      </c>
      <c r="AJ12" s="61"/>
      <c r="AK12" s="48">
        <v>-480.7</v>
      </c>
      <c r="AL12"/>
      <c r="AM12" s="48">
        <v>480.7</v>
      </c>
      <c r="AN12" s="74"/>
      <c r="AO12" s="61">
        <v>0</v>
      </c>
      <c r="AQ12" s="26">
        <v>492.40117508291479</v>
      </c>
    </row>
    <row r="13" spans="1:44" ht="12.75" customHeight="1" x14ac:dyDescent="0.25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/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5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5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5">
      <c r="A16" s="64" t="s">
        <v>18</v>
      </c>
      <c r="B16" s="23"/>
      <c r="C16" s="3" t="s">
        <v>29</v>
      </c>
      <c r="D16" s="3" t="s">
        <v>19</v>
      </c>
      <c r="E16" s="48">
        <v>48.090440000000001</v>
      </c>
      <c r="F16" s="38"/>
      <c r="G16" s="76">
        <v>0</v>
      </c>
      <c r="H16" s="23"/>
      <c r="I16" s="48">
        <v>-6.5209200000000003</v>
      </c>
      <c r="J16" s="23"/>
      <c r="K16" s="48">
        <v>0</v>
      </c>
      <c r="L16" s="23"/>
      <c r="M16" s="48">
        <v>0</v>
      </c>
      <c r="N16" s="23"/>
      <c r="O16" s="48">
        <v>0</v>
      </c>
      <c r="P16" s="23"/>
      <c r="Q16" s="48">
        <v>0</v>
      </c>
      <c r="R16" s="23"/>
      <c r="S16" s="48">
        <v>0</v>
      </c>
      <c r="T16" s="23"/>
      <c r="U16" s="48">
        <v>0</v>
      </c>
      <c r="V16" s="23"/>
      <c r="W16" s="48">
        <v>0</v>
      </c>
      <c r="X16" s="23"/>
      <c r="Y16" s="48">
        <v>0</v>
      </c>
      <c r="Z16" s="23"/>
      <c r="AA16" s="48">
        <v>0</v>
      </c>
      <c r="AB16" s="23"/>
      <c r="AC16" s="48">
        <v>0</v>
      </c>
      <c r="AD16" s="23"/>
      <c r="AE16" s="48">
        <v>0</v>
      </c>
      <c r="AF16" s="23">
        <v>0</v>
      </c>
      <c r="AG16" s="48">
        <v>0</v>
      </c>
      <c r="AH16" s="66">
        <v>0</v>
      </c>
      <c r="AI16" s="67">
        <v>41.569519999999997</v>
      </c>
      <c r="AJ16" s="61"/>
      <c r="AK16" s="48">
        <v>192.2</v>
      </c>
      <c r="AL16"/>
      <c r="AM16" s="48">
        <v>-150.63047999999998</v>
      </c>
      <c r="AN16" s="74"/>
      <c r="AO16" s="61">
        <v>41.569519999999997</v>
      </c>
      <c r="AP16" s="28"/>
      <c r="AQ16" s="26">
        <v>-161.43047999999999</v>
      </c>
      <c r="AR16" s="29"/>
    </row>
    <row r="17" spans="1:44" ht="12.75" customHeight="1" x14ac:dyDescent="0.25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/>
      <c r="K17" s="48">
        <v>0</v>
      </c>
      <c r="L17" s="23"/>
      <c r="M17" s="48">
        <v>0</v>
      </c>
      <c r="N17" s="23"/>
      <c r="O17" s="48">
        <v>0</v>
      </c>
      <c r="P17" s="23"/>
      <c r="Q17" s="48">
        <v>0</v>
      </c>
      <c r="R17" s="23"/>
      <c r="S17" s="48">
        <v>0</v>
      </c>
      <c r="T17" s="23"/>
      <c r="U17" s="48">
        <v>0</v>
      </c>
      <c r="V17" s="23"/>
      <c r="W17" s="48">
        <v>0</v>
      </c>
      <c r="X17" s="23"/>
      <c r="Y17" s="48">
        <v>0</v>
      </c>
      <c r="Z17" s="23"/>
      <c r="AA17" s="48">
        <v>0</v>
      </c>
      <c r="AB17" s="23"/>
      <c r="AC17" s="48">
        <v>0</v>
      </c>
      <c r="AD17" s="23"/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5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/>
      <c r="K18" s="48">
        <v>0</v>
      </c>
      <c r="L18" s="23"/>
      <c r="M18" s="48">
        <v>0</v>
      </c>
      <c r="N18" s="23"/>
      <c r="O18" s="48">
        <v>0</v>
      </c>
      <c r="P18" s="23"/>
      <c r="Q18" s="48">
        <v>0</v>
      </c>
      <c r="R18" s="23"/>
      <c r="S18" s="48">
        <v>0</v>
      </c>
      <c r="T18" s="23"/>
      <c r="U18" s="48">
        <v>0</v>
      </c>
      <c r="V18" s="23"/>
      <c r="W18" s="48">
        <v>0</v>
      </c>
      <c r="X18" s="23"/>
      <c r="Y18" s="48">
        <v>0</v>
      </c>
      <c r="Z18" s="23"/>
      <c r="AA18" s="48">
        <v>0</v>
      </c>
      <c r="AB18" s="23"/>
      <c r="AC18" s="48">
        <v>0</v>
      </c>
      <c r="AD18" s="23"/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5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-348.13290000000001</v>
      </c>
      <c r="J19" s="23"/>
      <c r="K19" s="48">
        <v>64.883899999999997</v>
      </c>
      <c r="L19" s="23"/>
      <c r="M19" s="48">
        <v>78.093000000000004</v>
      </c>
      <c r="N19" s="23"/>
      <c r="O19" s="48">
        <v>110.35550000000001</v>
      </c>
      <c r="P19" s="23"/>
      <c r="Q19" s="48">
        <v>0</v>
      </c>
      <c r="R19" s="23"/>
      <c r="S19" s="48">
        <v>0</v>
      </c>
      <c r="T19" s="23"/>
      <c r="U19" s="48">
        <v>0</v>
      </c>
      <c r="V19" s="23"/>
      <c r="W19" s="48">
        <v>0</v>
      </c>
      <c r="X19" s="23"/>
      <c r="Y19" s="48">
        <v>0</v>
      </c>
      <c r="Z19" s="23"/>
      <c r="AA19" s="48">
        <v>0</v>
      </c>
      <c r="AB19" s="23"/>
      <c r="AC19" s="48">
        <v>0</v>
      </c>
      <c r="AD19" s="23"/>
      <c r="AE19" s="48">
        <v>0</v>
      </c>
      <c r="AF19" s="23">
        <v>0</v>
      </c>
      <c r="AG19" s="48">
        <v>0</v>
      </c>
      <c r="AH19" s="25">
        <v>0</v>
      </c>
      <c r="AI19" s="67">
        <v>-94.8005</v>
      </c>
      <c r="AJ19" s="61"/>
      <c r="AK19" s="48">
        <v>357.7</v>
      </c>
      <c r="AL19"/>
      <c r="AM19" s="48">
        <v>-452.50049999999999</v>
      </c>
      <c r="AN19" s="74"/>
      <c r="AO19" s="61">
        <v>-94.8005</v>
      </c>
      <c r="AP19" s="28"/>
      <c r="AQ19" s="26">
        <v>-454.03286547306823</v>
      </c>
      <c r="AR19" s="29"/>
    </row>
    <row r="20" spans="1:44" ht="12.75" customHeight="1" x14ac:dyDescent="0.3">
      <c r="A20" s="50" t="s">
        <v>10</v>
      </c>
      <c r="B20" s="23"/>
      <c r="E20" s="68">
        <v>48.090440000000001</v>
      </c>
      <c r="F20" s="77"/>
      <c r="G20" s="68">
        <v>0</v>
      </c>
      <c r="H20" s="23"/>
      <c r="I20" s="68">
        <v>-354.65382</v>
      </c>
      <c r="J20" s="23"/>
      <c r="K20" s="68">
        <v>64.883899999999997</v>
      </c>
      <c r="L20" s="23"/>
      <c r="M20" s="68">
        <v>78.093000000000004</v>
      </c>
      <c r="N20" s="23"/>
      <c r="O20" s="68">
        <v>110.35550000000001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-53.230980000000002</v>
      </c>
      <c r="AJ20" s="61"/>
      <c r="AK20" s="68">
        <v>69.2</v>
      </c>
      <c r="AL20"/>
      <c r="AM20" s="68">
        <v>-122.43097999999998</v>
      </c>
      <c r="AN20" s="74"/>
      <c r="AO20" s="69">
        <v>-53.230980000000002</v>
      </c>
      <c r="AP20" s="38"/>
      <c r="AQ20" s="68">
        <v>-123.06217039015343</v>
      </c>
      <c r="AR20" s="59"/>
    </row>
    <row r="21" spans="1:44" ht="12.75" customHeight="1" x14ac:dyDescent="0.25">
      <c r="A21" s="10" t="s">
        <v>24</v>
      </c>
      <c r="E21" s="2">
        <v>-88.109559999999988</v>
      </c>
      <c r="G21" s="2">
        <v>0</v>
      </c>
      <c r="I21" s="2">
        <v>168.84618</v>
      </c>
      <c r="K21" s="2">
        <v>-172.51609999999999</v>
      </c>
      <c r="M21" s="2">
        <v>-37.006999999999991</v>
      </c>
      <c r="O21" s="2">
        <v>6.3555000000000064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-122.43097999999996</v>
      </c>
    </row>
    <row r="22" spans="1:44" ht="12.75" customHeight="1" x14ac:dyDescent="0.25"/>
    <row r="23" spans="1:44" ht="12.75" customHeight="1" x14ac:dyDescent="0.25"/>
    <row r="24" spans="1:44" ht="12.75" customHeight="1" x14ac:dyDescent="0.25"/>
    <row r="25" spans="1:44" ht="12.75" customHeight="1" x14ac:dyDescent="0.25"/>
    <row r="26" spans="1:44" ht="12.75" customHeight="1" x14ac:dyDescent="0.25"/>
    <row r="27" spans="1:44" ht="12.75" customHeight="1" x14ac:dyDescent="0.25"/>
    <row r="28" spans="1:44" ht="12.75" customHeight="1" x14ac:dyDescent="0.25"/>
    <row r="29" spans="1:44" ht="12.75" customHeight="1" x14ac:dyDescent="0.25"/>
    <row r="30" spans="1:44" ht="12.75" customHeight="1" x14ac:dyDescent="0.25"/>
    <row r="31" spans="1:44" ht="12.75" customHeight="1" x14ac:dyDescent="0.25"/>
    <row r="32" spans="1:4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spans="1:23" ht="12.75" customHeight="1" x14ac:dyDescent="0.25"/>
    <row r="66" spans="1:23" ht="12.75" customHeight="1" x14ac:dyDescent="0.25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5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5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5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5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5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5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5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5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5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5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5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5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5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5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5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5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5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5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5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5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5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5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5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5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5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5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5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5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5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5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5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5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5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5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5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5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5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5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5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5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5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5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5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5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5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5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5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5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5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5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5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5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5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5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5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5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5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5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5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5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5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5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5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5"/>
    <row r="131" spans="5:23" ht="12.75" customHeight="1" x14ac:dyDescent="0.25"/>
    <row r="132" spans="5:23" ht="12.75" customHeight="1" x14ac:dyDescent="0.25"/>
    <row r="133" spans="5:23" ht="12.75" customHeight="1" x14ac:dyDescent="0.25"/>
    <row r="134" spans="5:23" ht="12.75" customHeight="1" x14ac:dyDescent="0.25"/>
    <row r="135" spans="5:23" ht="12.75" customHeight="1" x14ac:dyDescent="0.25"/>
    <row r="136" spans="5:23" ht="12.75" customHeight="1" x14ac:dyDescent="0.25"/>
    <row r="137" spans="5:23" ht="12.75" customHeight="1" x14ac:dyDescent="0.25"/>
    <row r="138" spans="5:23" ht="12.75" customHeight="1" x14ac:dyDescent="0.25"/>
    <row r="139" spans="5:23" ht="12.75" customHeight="1" x14ac:dyDescent="0.25"/>
    <row r="140" spans="5:23" ht="12.75" customHeight="1" x14ac:dyDescent="0.25"/>
    <row r="141" spans="5:23" ht="12.75" customHeight="1" x14ac:dyDescent="0.25"/>
    <row r="142" spans="5:23" ht="12.75" customHeight="1" x14ac:dyDescent="0.25"/>
    <row r="143" spans="5:23" ht="12.75" customHeight="1" x14ac:dyDescent="0.25"/>
    <row r="144" spans="5:23" ht="12.75" customHeight="1" x14ac:dyDescent="0.25"/>
    <row r="145" spans="1:35" ht="12.75" customHeight="1" x14ac:dyDescent="0.25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3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5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5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5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5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5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3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3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3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236220</xdr:colOff>
                <xdr:row>0</xdr:row>
                <xdr:rowOff>0</xdr:rowOff>
              </from>
              <to>
                <xdr:col>0</xdr:col>
                <xdr:colOff>1150620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236220</xdr:colOff>
                <xdr:row>1</xdr:row>
                <xdr:rowOff>30480</xdr:rowOff>
              </from>
              <to>
                <xdr:col>0</xdr:col>
                <xdr:colOff>1143000</xdr:colOff>
                <xdr:row>4</xdr:row>
                <xdr:rowOff>411480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182880</xdr:colOff>
                    <xdr:row>0</xdr:row>
                    <xdr:rowOff>0</xdr:rowOff>
                  </from>
                  <to>
                    <xdr:col>10</xdr:col>
                    <xdr:colOff>480060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198120</xdr:colOff>
                    <xdr:row>0</xdr:row>
                    <xdr:rowOff>0</xdr:rowOff>
                  </from>
                  <to>
                    <xdr:col>16</xdr:col>
                    <xdr:colOff>502920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02"/>
  <sheetViews>
    <sheetView topLeftCell="C2" workbookViewId="0">
      <selection activeCell="D33" sqref="D33"/>
    </sheetView>
  </sheetViews>
  <sheetFormatPr defaultColWidth="8" defaultRowHeight="13.2" x14ac:dyDescent="0.25"/>
  <cols>
    <col min="1" max="1" width="17.5546875" style="84" customWidth="1"/>
    <col min="2" max="2" width="15.88671875" style="84" customWidth="1"/>
    <col min="3" max="3" width="17.5546875" style="84" customWidth="1"/>
    <col min="4" max="4" width="25" style="84" customWidth="1"/>
    <col min="5" max="5" width="17" style="84" hidden="1" customWidth="1"/>
    <col min="6" max="6" width="13.88671875" style="84" hidden="1" customWidth="1"/>
    <col min="7" max="7" width="19.5546875" style="84" customWidth="1"/>
    <col min="8" max="8" width="48" style="84" customWidth="1"/>
    <col min="9" max="9" width="26.5546875" style="84" customWidth="1"/>
    <col min="10" max="10" width="31.33203125" style="84" customWidth="1"/>
    <col min="11" max="11" width="21.88671875" style="84" customWidth="1"/>
    <col min="12" max="12" width="20.109375" style="84" customWidth="1"/>
    <col min="13" max="13" width="11.6640625" style="84" customWidth="1"/>
    <col min="14" max="14" width="18" style="84" customWidth="1"/>
    <col min="15" max="16" width="17.5546875" style="84" customWidth="1"/>
    <col min="17" max="21" width="13.33203125" style="84" customWidth="1"/>
    <col min="22" max="22" width="18.44140625" style="84" customWidth="1"/>
    <col min="23" max="23" width="20.44140625" style="84" customWidth="1"/>
    <col min="24" max="25" width="20" style="84" customWidth="1"/>
    <col min="26" max="28" width="8" style="84"/>
    <col min="29" max="29" width="17.5546875" style="84" customWidth="1"/>
    <col min="30" max="30" width="17.5546875" style="84" bestFit="1" customWidth="1"/>
    <col min="31" max="31" width="25" style="84" customWidth="1"/>
    <col min="32" max="32" width="20.5546875" style="84" customWidth="1"/>
    <col min="33" max="33" width="8" style="84"/>
    <col min="34" max="34" width="56.44140625" style="84" customWidth="1"/>
    <col min="35" max="35" width="17.5546875" style="84" bestFit="1" customWidth="1"/>
    <col min="36" max="16384" width="8" style="84"/>
  </cols>
  <sheetData>
    <row r="1" spans="1:37" ht="13.8" x14ac:dyDescent="0.3">
      <c r="A1" s="83"/>
      <c r="H1" s="85" t="s">
        <v>21</v>
      </c>
      <c r="I1" s="78">
        <f ca="1">SUMIF(O$8:O$39,H1,I$8:I$39)</f>
        <v>0</v>
      </c>
      <c r="J1" s="78">
        <f ca="1">SUMIF(O$8:O$39,H1,J$8:J$39)</f>
        <v>0</v>
      </c>
      <c r="AC1" s="84" t="s">
        <v>36</v>
      </c>
      <c r="AD1" s="84" t="s">
        <v>37</v>
      </c>
      <c r="AE1" s="84" t="s">
        <v>38</v>
      </c>
      <c r="AF1" s="84" t="s">
        <v>39</v>
      </c>
      <c r="AH1" s="84" t="s">
        <v>40</v>
      </c>
      <c r="AI1" s="84" t="s">
        <v>41</v>
      </c>
      <c r="AJ1" s="84" t="s">
        <v>42</v>
      </c>
      <c r="AK1" s="84" t="s">
        <v>43</v>
      </c>
    </row>
    <row r="2" spans="1:37" ht="13.8" x14ac:dyDescent="0.3">
      <c r="C2" s="86"/>
      <c r="H2" s="85" t="s">
        <v>20</v>
      </c>
      <c r="I2" s="78">
        <f ca="1">SUMIF(O$8:O$39,H2,I$8:I$39)</f>
        <v>0</v>
      </c>
      <c r="J2" s="78">
        <f ca="1">SUMIF(O$8:O$39,H2,J$8:J$39)</f>
        <v>0</v>
      </c>
      <c r="AC2" s="87">
        <v>36033</v>
      </c>
      <c r="AD2" s="88" t="s">
        <v>44</v>
      </c>
      <c r="AE2" s="88" t="s">
        <v>45</v>
      </c>
      <c r="AF2" s="88" t="s">
        <v>46</v>
      </c>
      <c r="AG2" s="84" t="s">
        <v>19</v>
      </c>
      <c r="AH2" s="84" t="str">
        <f t="shared" ref="AH2:AH39" ca="1" si="0">CONCATENATE(AE2,AF2)</f>
        <v>INTRA-CAND-BC-GD-GDLGD-CGPR-AECO/AV</v>
      </c>
      <c r="AI2" s="88" t="s">
        <v>47</v>
      </c>
      <c r="AJ2" s="79">
        <v>-0.2</v>
      </c>
    </row>
    <row r="3" spans="1:37" ht="13.8" x14ac:dyDescent="0.3">
      <c r="A3" s="89" t="str">
        <f ca="1">IF(A4=A5,"OK","ERROR")</f>
        <v>OK</v>
      </c>
      <c r="H3" s="85" t="s">
        <v>19</v>
      </c>
      <c r="I3" s="78">
        <f ca="1">SUMIF(O$8:O$39,H3,I$8:I$39)</f>
        <v>663523</v>
      </c>
      <c r="J3" s="78">
        <f ca="1">SUMIF(O$8:O$39,H3,J$8:J$39)</f>
        <v>415695.2</v>
      </c>
      <c r="AC3" s="87">
        <v>36033</v>
      </c>
      <c r="AD3" s="88" t="s">
        <v>44</v>
      </c>
      <c r="AE3" s="88" t="s">
        <v>45</v>
      </c>
      <c r="AF3" s="88" t="s">
        <v>48</v>
      </c>
      <c r="AG3" s="84" t="s">
        <v>19</v>
      </c>
      <c r="AH3" s="84" t="str">
        <f t="shared" ca="1" si="0"/>
        <v>INTRA-CAND-BC-GD-GDLGD-NWPL_ROCKY_M</v>
      </c>
      <c r="AI3" s="88" t="s">
        <v>49</v>
      </c>
      <c r="AJ3" s="79">
        <v>-0.2</v>
      </c>
    </row>
    <row r="4" spans="1:37" ht="13.8" x14ac:dyDescent="0.3">
      <c r="A4" s="90">
        <f ca="1">MAX(A7:A39)</f>
        <v>36691</v>
      </c>
      <c r="B4" s="84" t="s">
        <v>50</v>
      </c>
      <c r="H4" s="85" t="s">
        <v>51</v>
      </c>
      <c r="I4" s="78">
        <f ca="1">SUMIF(E$8:E$39,H4,I$8:I$39)</f>
        <v>-21618982</v>
      </c>
      <c r="J4" s="78">
        <f ca="1">SUMIF(O$8:O$39,H4,J$8:J$39)</f>
        <v>0</v>
      </c>
      <c r="AC4" s="87">
        <v>36033</v>
      </c>
      <c r="AD4" s="88" t="s">
        <v>44</v>
      </c>
      <c r="AE4" s="88" t="s">
        <v>52</v>
      </c>
      <c r="AF4" s="88" t="s">
        <v>53</v>
      </c>
      <c r="AG4" s="84" t="s">
        <v>30</v>
      </c>
      <c r="AH4" s="84" t="str">
        <f t="shared" ca="1" si="0"/>
        <v>INTRA-CAND-EAST-PHYCHIPPAWA/IM</v>
      </c>
      <c r="AI4" s="88" t="s">
        <v>54</v>
      </c>
      <c r="AJ4" s="79">
        <v>-0.2</v>
      </c>
      <c r="AK4" s="79">
        <v>0.8</v>
      </c>
    </row>
    <row r="5" spans="1:37" x14ac:dyDescent="0.25">
      <c r="A5" s="90">
        <f ca="1">MIN(A7:A39)</f>
        <v>36691</v>
      </c>
      <c r="B5" s="84" t="s">
        <v>55</v>
      </c>
      <c r="H5" s="91">
        <f ca="1">MAX(H7:H39)</f>
        <v>37165</v>
      </c>
      <c r="I5" s="78">
        <f ca="1">SUBTOTAL(9,I7:I39)</f>
        <v>-21618982</v>
      </c>
      <c r="J5" s="78">
        <f ca="1">SUBTOTAL(9,J7:J39)</f>
        <v>415695.2</v>
      </c>
      <c r="K5" s="78"/>
      <c r="L5" s="80"/>
      <c r="M5" s="81">
        <f ca="1">SUBTOTAL(9,M7:M39)</f>
        <v>-2161.8982000000001</v>
      </c>
      <c r="N5" s="81">
        <f ca="1">SUBTOTAL(9,N7:N39)</f>
        <v>41.569520000000004</v>
      </c>
      <c r="AC5" s="87">
        <v>36033</v>
      </c>
      <c r="AD5" s="88" t="s">
        <v>44</v>
      </c>
      <c r="AE5" s="88" t="s">
        <v>52</v>
      </c>
      <c r="AF5" s="88" t="s">
        <v>56</v>
      </c>
      <c r="AG5" s="84" t="s">
        <v>30</v>
      </c>
      <c r="AH5" s="84" t="str">
        <f t="shared" ca="1" si="0"/>
        <v>INTRA-CAND-EAST-PHYCORNWALL/IM</v>
      </c>
      <c r="AI5" s="88" t="s">
        <v>57</v>
      </c>
      <c r="AJ5" s="79">
        <v>1.1000000000000001</v>
      </c>
      <c r="AK5" s="79">
        <v>0.7</v>
      </c>
    </row>
    <row r="6" spans="1:37" x14ac:dyDescent="0.25">
      <c r="H6" s="92"/>
      <c r="I6" s="81"/>
      <c r="J6" s="81"/>
      <c r="K6" s="81"/>
      <c r="M6" s="78">
        <v>10000</v>
      </c>
      <c r="O6" s="93" t="s">
        <v>58</v>
      </c>
      <c r="Q6" s="93" t="s">
        <v>59</v>
      </c>
      <c r="R6" s="93" t="s">
        <v>60</v>
      </c>
      <c r="S6" s="93" t="s">
        <v>30</v>
      </c>
      <c r="T6" s="93" t="s">
        <v>61</v>
      </c>
      <c r="U6" s="93"/>
      <c r="AC6" s="87">
        <v>36033</v>
      </c>
      <c r="AD6" s="88" t="s">
        <v>44</v>
      </c>
      <c r="AE6" s="88" t="s">
        <v>52</v>
      </c>
      <c r="AF6" s="88" t="s">
        <v>62</v>
      </c>
      <c r="AG6" s="84" t="s">
        <v>30</v>
      </c>
      <c r="AH6" s="84" t="str">
        <f t="shared" ca="1" si="0"/>
        <v>INTRA-CAND-EAST-PHYDAWN/IM</v>
      </c>
      <c r="AI6" s="88" t="s">
        <v>63</v>
      </c>
      <c r="AJ6" s="79">
        <v>0.7</v>
      </c>
    </row>
    <row r="7" spans="1:37" x14ac:dyDescent="0.25">
      <c r="A7" s="84" t="s">
        <v>36</v>
      </c>
      <c r="B7" s="84" t="s">
        <v>37</v>
      </c>
      <c r="C7" s="84" t="s">
        <v>64</v>
      </c>
      <c r="D7" s="84" t="s">
        <v>38</v>
      </c>
      <c r="E7" s="84" t="s">
        <v>65</v>
      </c>
      <c r="F7" s="84" t="s">
        <v>66</v>
      </c>
      <c r="G7" s="84" t="s">
        <v>39</v>
      </c>
      <c r="H7" s="84" t="s">
        <v>67</v>
      </c>
      <c r="I7" s="84" t="s">
        <v>68</v>
      </c>
      <c r="J7" s="84" t="s">
        <v>69</v>
      </c>
      <c r="K7" s="84" t="s">
        <v>70</v>
      </c>
      <c r="L7" s="84" t="s">
        <v>71</v>
      </c>
      <c r="M7" s="84" t="s">
        <v>72</v>
      </c>
      <c r="N7" s="84" t="s">
        <v>73</v>
      </c>
      <c r="O7" s="93" t="s">
        <v>74</v>
      </c>
      <c r="P7" s="84" t="s">
        <v>75</v>
      </c>
      <c r="Q7" s="84" t="s">
        <v>76</v>
      </c>
      <c r="R7" s="84" t="s">
        <v>76</v>
      </c>
      <c r="S7" s="84" t="s">
        <v>76</v>
      </c>
      <c r="T7" s="84" t="s">
        <v>76</v>
      </c>
      <c r="U7" s="84" t="s">
        <v>76</v>
      </c>
      <c r="V7" s="84" t="s">
        <v>71</v>
      </c>
      <c r="W7" s="84" t="s">
        <v>77</v>
      </c>
      <c r="X7" s="84" t="s">
        <v>78</v>
      </c>
      <c r="Y7" s="84" t="s">
        <v>79</v>
      </c>
      <c r="AC7" s="87">
        <v>36033</v>
      </c>
      <c r="AD7" s="88" t="s">
        <v>44</v>
      </c>
      <c r="AE7" s="88" t="s">
        <v>52</v>
      </c>
      <c r="AF7" s="88" t="s">
        <v>80</v>
      </c>
      <c r="AG7" s="84" t="s">
        <v>30</v>
      </c>
      <c r="AH7" s="84" t="str">
        <f t="shared" ca="1" si="0"/>
        <v>INTRA-CAND-EAST-PHYEMPRESS-US/IM</v>
      </c>
      <c r="AI7" s="88" t="s">
        <v>81</v>
      </c>
      <c r="AJ7" s="79">
        <v>0.7</v>
      </c>
    </row>
    <row r="8" spans="1:37" x14ac:dyDescent="0.25">
      <c r="A8" s="87">
        <v>36691</v>
      </c>
      <c r="B8" s="88" t="s">
        <v>82</v>
      </c>
      <c r="C8" s="88" t="s">
        <v>83</v>
      </c>
      <c r="D8" s="88" t="s">
        <v>84</v>
      </c>
      <c r="E8" s="88" t="s">
        <v>51</v>
      </c>
      <c r="F8" s="88" t="s">
        <v>19</v>
      </c>
      <c r="G8" s="88" t="s">
        <v>47</v>
      </c>
      <c r="H8" s="87">
        <v>36678</v>
      </c>
      <c r="I8" s="88">
        <v>-84369</v>
      </c>
      <c r="J8" s="82">
        <f t="shared" ref="J8:J39" ca="1" si="1">IF(ISNA(K8),0,(I8*K8))</f>
        <v>16873.8</v>
      </c>
      <c r="K8" s="82">
        <f t="shared" ref="K8:K39" ca="1" si="2">VLOOKUP(G8,CurveTable,2,FALSE)</f>
        <v>-0.2</v>
      </c>
      <c r="L8" s="82" t="str">
        <f t="shared" ref="L8:L39" ca="1" si="3">G8&amp;H8</f>
        <v>GD-AECOUS-DAILY36678</v>
      </c>
      <c r="M8" s="82">
        <f t="shared" ref="M8:M39" ca="1" si="4">SUM(I8/UOM)</f>
        <v>-8.4368999999999996</v>
      </c>
      <c r="N8" s="82">
        <f t="shared" ref="N8:N39" ca="1" si="5">SUM(J8/UOM)</f>
        <v>1.6873799999999999</v>
      </c>
      <c r="O8" s="94" t="str">
        <f t="shared" ref="O8:O39" ca="1" si="6">INDEX(AG$2:AH$39,MATCH(D8&amp;G8,AH$2:AH$75,0),1)</f>
        <v>G</v>
      </c>
      <c r="P8" s="94" t="str">
        <f ca="1">INDEX([7]Portfolios!A$3:G$929,MATCH(D8,[7]Portfolios!B$3:B$929,0),7)</f>
        <v>IMCANADA</v>
      </c>
      <c r="Q8" s="94">
        <f ca="1">IF($O8="P",INDEX('[7]Date Master'!I$3:J$332,MATCH($H8,'[7]Date Master'!I$3:I$332,0),2),0)</f>
        <v>0</v>
      </c>
      <c r="R8" s="94">
        <f ca="1">IF($O8="D",INDEX('[7]Date Master'!O$3:P$332,MATCH($H8,'[7]Date Master'!O$3:O$332,0),2),0)</f>
        <v>0</v>
      </c>
      <c r="S8" s="94">
        <f ca="1">IF($O8="PHY",INDEX('[7]Date Master'!R$3:S$332,MATCH($H8,'[7]Date Master'!R$3:R$332,0),2),0)</f>
        <v>0</v>
      </c>
      <c r="T8" s="94">
        <f ca="1">IF($O8="G",INDEX('[7]Date Master'!R$3:S$332,MATCH($H8,'[7]Date Master'!R$3:R$332,0),2),0)</f>
        <v>1</v>
      </c>
      <c r="U8" s="94">
        <f t="shared" ref="U8:U39" ca="1" si="7">SUM(Q8:T8)</f>
        <v>1</v>
      </c>
      <c r="V8" s="94" t="str">
        <f t="shared" ref="V8:V39" ca="1" si="8">P8&amp;O8&amp;U8</f>
        <v>IMCANADAG1</v>
      </c>
      <c r="W8" s="94" t="str">
        <f ca="1">IF(ISNA(V8),"-",INDEX([7]Portfolios!A$3:H$827,MATCH(D8,[7]Portfolios!B$3:B$827,0),7)&amp;H8)</f>
        <v>IMCANADA36678</v>
      </c>
      <c r="X8" s="94" t="str">
        <f t="shared" ref="X8:X39" ca="1" si="9">IF(ISNA(V8),"-",P8&amp;E8&amp;H8)</f>
        <v>IMCANADAM36678</v>
      </c>
      <c r="Y8" s="94" t="str">
        <f t="shared" ref="Y8:Y39" ca="1" si="10">P8&amp;O8</f>
        <v>IMCANADAG</v>
      </c>
      <c r="AC8" s="87">
        <v>36033</v>
      </c>
      <c r="AD8" s="88" t="s">
        <v>44</v>
      </c>
      <c r="AE8" s="88" t="s">
        <v>52</v>
      </c>
      <c r="AF8" s="88" t="s">
        <v>85</v>
      </c>
      <c r="AG8" s="84" t="s">
        <v>30</v>
      </c>
      <c r="AH8" s="84" t="str">
        <f t="shared" ca="1" si="0"/>
        <v>INTRA-CAND-EAST-PHYGD-NIAGARA</v>
      </c>
      <c r="AI8" s="88" t="s">
        <v>86</v>
      </c>
      <c r="AJ8" s="79">
        <v>1</v>
      </c>
    </row>
    <row r="9" spans="1:37" x14ac:dyDescent="0.25">
      <c r="A9" s="87">
        <v>36691</v>
      </c>
      <c r="B9" s="88" t="s">
        <v>82</v>
      </c>
      <c r="C9" s="88" t="s">
        <v>83</v>
      </c>
      <c r="D9" s="88" t="s">
        <v>84</v>
      </c>
      <c r="E9" s="88" t="s">
        <v>51</v>
      </c>
      <c r="F9" s="88" t="s">
        <v>19</v>
      </c>
      <c r="G9" s="88" t="s">
        <v>47</v>
      </c>
      <c r="H9" s="87">
        <v>36708</v>
      </c>
      <c r="I9" s="88">
        <v>326046</v>
      </c>
      <c r="J9" s="82">
        <f t="shared" ca="1" si="1"/>
        <v>-65209.200000000004</v>
      </c>
      <c r="K9" s="82">
        <f t="shared" ca="1" si="2"/>
        <v>-0.2</v>
      </c>
      <c r="L9" s="82" t="str">
        <f t="shared" ca="1" si="3"/>
        <v>GD-AECOUS-DAILY36708</v>
      </c>
      <c r="M9" s="82">
        <f t="shared" ca="1" si="4"/>
        <v>32.604599999999998</v>
      </c>
      <c r="N9" s="82">
        <f t="shared" ca="1" si="5"/>
        <v>-6.5209200000000003</v>
      </c>
      <c r="O9" s="94" t="str">
        <f t="shared" ca="1" si="6"/>
        <v>G</v>
      </c>
      <c r="P9" s="94" t="str">
        <f ca="1">INDEX([7]Portfolios!A$3:G$929,MATCH(D9,[7]Portfolios!B$3:B$929,0),7)</f>
        <v>IMCANADA</v>
      </c>
      <c r="Q9" s="94">
        <f ca="1">IF($O9="P",INDEX('[7]Date Master'!I$3:J$332,MATCH($H9,'[7]Date Master'!I$3:I$332,0),2),0)</f>
        <v>0</v>
      </c>
      <c r="R9" s="94">
        <f ca="1">IF($O9="D",INDEX('[7]Date Master'!O$3:P$332,MATCH($H9,'[7]Date Master'!O$3:O$332,0),2),0)</f>
        <v>0</v>
      </c>
      <c r="S9" s="94">
        <f ca="1">IF($O9="PHY",INDEX('[7]Date Master'!R$3:S$332,MATCH($H9,'[7]Date Master'!R$3:R$332,0),2),0)</f>
        <v>0</v>
      </c>
      <c r="T9" s="94">
        <f ca="1">IF($O9="G",INDEX('[7]Date Master'!R$3:S$332,MATCH($H9,'[7]Date Master'!R$3:R$332,0),2),0)</f>
        <v>3</v>
      </c>
      <c r="U9" s="94">
        <f t="shared" ca="1" si="7"/>
        <v>3</v>
      </c>
      <c r="V9" s="94" t="str">
        <f t="shared" ca="1" si="8"/>
        <v>IMCANADAG3</v>
      </c>
      <c r="W9" s="94" t="str">
        <f ca="1">IF(ISNA(V9),"-",INDEX([7]Portfolios!A$3:H$827,MATCH(D9,[7]Portfolios!B$3:B$827,0),7)&amp;H9)</f>
        <v>IMCANADA36708</v>
      </c>
      <c r="X9" s="94" t="str">
        <f t="shared" ca="1" si="9"/>
        <v>IMCANADAM36708</v>
      </c>
      <c r="Y9" s="94" t="str">
        <f t="shared" ca="1" si="10"/>
        <v>IMCANADAG</v>
      </c>
      <c r="AC9" s="87">
        <v>36033</v>
      </c>
      <c r="AD9" s="88" t="s">
        <v>44</v>
      </c>
      <c r="AE9" s="88" t="s">
        <v>52</v>
      </c>
      <c r="AF9" s="88" t="s">
        <v>87</v>
      </c>
      <c r="AG9" s="84" t="s">
        <v>30</v>
      </c>
      <c r="AH9" s="84" t="str">
        <f t="shared" ca="1" si="0"/>
        <v>INTRA-CAND-EAST-PHYGDM-WADDINGTON</v>
      </c>
      <c r="AI9" s="88" t="s">
        <v>88</v>
      </c>
      <c r="AJ9" s="79">
        <v>0.8</v>
      </c>
    </row>
    <row r="10" spans="1:37" x14ac:dyDescent="0.25">
      <c r="A10" s="87">
        <v>36691</v>
      </c>
      <c r="B10" s="88" t="s">
        <v>82</v>
      </c>
      <c r="C10" s="88" t="s">
        <v>83</v>
      </c>
      <c r="D10" s="88" t="s">
        <v>84</v>
      </c>
      <c r="E10" s="88" t="s">
        <v>51</v>
      </c>
      <c r="F10" s="88" t="s">
        <v>19</v>
      </c>
      <c r="G10" s="88" t="s">
        <v>46</v>
      </c>
      <c r="H10" s="87">
        <v>36678</v>
      </c>
      <c r="I10" s="88">
        <v>1063539</v>
      </c>
      <c r="J10" s="82">
        <f t="shared" ca="1" si="1"/>
        <v>0</v>
      </c>
      <c r="K10" s="82" t="e">
        <f t="shared" ca="1" si="2"/>
        <v>#N/A</v>
      </c>
      <c r="L10" s="82" t="str">
        <f t="shared" ca="1" si="3"/>
        <v>GD-CGPR-AECO/AV36678</v>
      </c>
      <c r="M10" s="82">
        <f t="shared" ca="1" si="4"/>
        <v>106.3539</v>
      </c>
      <c r="N10" s="82">
        <f t="shared" ca="1" si="5"/>
        <v>0</v>
      </c>
      <c r="O10" s="94" t="str">
        <f t="shared" ca="1" si="6"/>
        <v>PHY</v>
      </c>
      <c r="P10" s="94" t="str">
        <f ca="1">INDEX([7]Portfolios!A$3:G$929,MATCH(D10,[7]Portfolios!B$3:B$929,0),7)</f>
        <v>IMCANADA</v>
      </c>
      <c r="Q10" s="94">
        <f ca="1">IF($O10="P",INDEX('[7]Date Master'!I$3:J$332,MATCH($H10,'[7]Date Master'!I$3:I$332,0),2),0)</f>
        <v>0</v>
      </c>
      <c r="R10" s="94">
        <f ca="1">IF($O10="D",INDEX('[7]Date Master'!O$3:P$332,MATCH($H10,'[7]Date Master'!O$3:O$332,0),2),0)</f>
        <v>0</v>
      </c>
      <c r="S10" s="94">
        <f ca="1">IF($O10="PHY",INDEX('[7]Date Master'!R$3:S$332,MATCH($H10,'[7]Date Master'!R$3:R$332,0),2),0)</f>
        <v>1</v>
      </c>
      <c r="T10" s="94">
        <f ca="1">IF($O10="G",INDEX('[7]Date Master'!R$3:S$332,MATCH($H10,'[7]Date Master'!R$3:R$332,0),2),0)</f>
        <v>0</v>
      </c>
      <c r="U10" s="94">
        <f t="shared" ca="1" si="7"/>
        <v>1</v>
      </c>
      <c r="V10" s="94" t="str">
        <f t="shared" ca="1" si="8"/>
        <v>IMCANADAPHY1</v>
      </c>
      <c r="W10" s="94" t="str">
        <f ca="1">IF(ISNA(V10),"-",INDEX([7]Portfolios!A$3:H$827,MATCH(D10,[7]Portfolios!B$3:B$827,0),7)&amp;H10)</f>
        <v>IMCANADA36678</v>
      </c>
      <c r="X10" s="94" t="str">
        <f t="shared" ca="1" si="9"/>
        <v>IMCANADAM36678</v>
      </c>
      <c r="Y10" s="94" t="str">
        <f t="shared" ca="1" si="10"/>
        <v>IMCANADAPHY</v>
      </c>
      <c r="AC10" s="87">
        <v>36033</v>
      </c>
      <c r="AD10" s="88" t="s">
        <v>44</v>
      </c>
      <c r="AE10" s="88" t="s">
        <v>52</v>
      </c>
      <c r="AF10" s="88" t="s">
        <v>89</v>
      </c>
      <c r="AG10" s="84" t="s">
        <v>30</v>
      </c>
      <c r="AH10" s="84" t="str">
        <f t="shared" ca="1" si="0"/>
        <v>INTRA-CAND-EAST-PHYNIAGARA/IM</v>
      </c>
      <c r="AI10" s="88" t="s">
        <v>90</v>
      </c>
      <c r="AJ10" s="79">
        <v>0.8</v>
      </c>
    </row>
    <row r="11" spans="1:37" x14ac:dyDescent="0.25">
      <c r="A11" s="87">
        <v>36691</v>
      </c>
      <c r="B11" s="88" t="s">
        <v>82</v>
      </c>
      <c r="C11" s="88" t="s">
        <v>83</v>
      </c>
      <c r="D11" s="88" t="s">
        <v>84</v>
      </c>
      <c r="E11" s="88" t="s">
        <v>51</v>
      </c>
      <c r="F11" s="88" t="s">
        <v>19</v>
      </c>
      <c r="G11" s="88" t="s">
        <v>46</v>
      </c>
      <c r="H11" s="87">
        <v>36708</v>
      </c>
      <c r="I11" s="88">
        <v>-1826956</v>
      </c>
      <c r="J11" s="82">
        <f t="shared" ca="1" si="1"/>
        <v>0</v>
      </c>
      <c r="K11" s="82" t="e">
        <f t="shared" ca="1" si="2"/>
        <v>#N/A</v>
      </c>
      <c r="L11" s="82" t="str">
        <f t="shared" ca="1" si="3"/>
        <v>GD-CGPR-AECO/AV36708</v>
      </c>
      <c r="M11" s="82">
        <f t="shared" ca="1" si="4"/>
        <v>-182.69560000000001</v>
      </c>
      <c r="N11" s="82">
        <f t="shared" ca="1" si="5"/>
        <v>0</v>
      </c>
      <c r="O11" s="94" t="str">
        <f t="shared" ca="1" si="6"/>
        <v>PHY</v>
      </c>
      <c r="P11" s="94" t="str">
        <f ca="1">INDEX([7]Portfolios!A$3:G$929,MATCH(D11,[7]Portfolios!B$3:B$929,0),7)</f>
        <v>IMCANADA</v>
      </c>
      <c r="Q11" s="94">
        <f ca="1">IF($O11="P",INDEX('[7]Date Master'!I$3:J$332,MATCH($H11,'[7]Date Master'!I$3:I$332,0),2),0)</f>
        <v>0</v>
      </c>
      <c r="R11" s="94">
        <f ca="1">IF($O11="D",INDEX('[7]Date Master'!O$3:P$332,MATCH($H11,'[7]Date Master'!O$3:O$332,0),2),0)</f>
        <v>0</v>
      </c>
      <c r="S11" s="94">
        <f ca="1">IF($O11="PHY",INDEX('[7]Date Master'!R$3:S$332,MATCH($H11,'[7]Date Master'!R$3:R$332,0),2),0)</f>
        <v>3</v>
      </c>
      <c r="T11" s="94">
        <f ca="1">IF($O11="G",INDEX('[7]Date Master'!R$3:S$332,MATCH($H11,'[7]Date Master'!R$3:R$332,0),2),0)</f>
        <v>0</v>
      </c>
      <c r="U11" s="94">
        <f t="shared" ca="1" si="7"/>
        <v>3</v>
      </c>
      <c r="V11" s="94" t="str">
        <f t="shared" ca="1" si="8"/>
        <v>IMCANADAPHY3</v>
      </c>
      <c r="W11" s="94" t="str">
        <f ca="1">IF(ISNA(V11),"-",INDEX([7]Portfolios!A$3:H$827,MATCH(D11,[7]Portfolios!B$3:B$827,0),7)&amp;H11)</f>
        <v>IMCANADA36708</v>
      </c>
      <c r="X11" s="94" t="str">
        <f t="shared" ca="1" si="9"/>
        <v>IMCANADAM36708</v>
      </c>
      <c r="Y11" s="94" t="str">
        <f t="shared" ca="1" si="10"/>
        <v>IMCANADAPHY</v>
      </c>
      <c r="AC11" s="87">
        <v>36033</v>
      </c>
      <c r="AD11" s="88" t="s">
        <v>44</v>
      </c>
      <c r="AE11" s="88" t="s">
        <v>52</v>
      </c>
      <c r="AF11" s="88" t="s">
        <v>91</v>
      </c>
      <c r="AG11" s="84" t="s">
        <v>30</v>
      </c>
      <c r="AH11" s="84" t="str">
        <f t="shared" ca="1" si="0"/>
        <v>INTRA-CAND-EAST-PHYPARK-CDN/IM</v>
      </c>
    </row>
    <row r="12" spans="1:37" x14ac:dyDescent="0.25">
      <c r="A12" s="87">
        <v>36691</v>
      </c>
      <c r="B12" s="88" t="s">
        <v>82</v>
      </c>
      <c r="C12" s="88" t="s">
        <v>83</v>
      </c>
      <c r="D12" s="88" t="s">
        <v>84</v>
      </c>
      <c r="E12" s="88" t="s">
        <v>51</v>
      </c>
      <c r="F12" s="88" t="s">
        <v>19</v>
      </c>
      <c r="G12" s="88" t="s">
        <v>46</v>
      </c>
      <c r="H12" s="87">
        <v>36739</v>
      </c>
      <c r="I12" s="88">
        <v>-1817843</v>
      </c>
      <c r="J12" s="82">
        <f t="shared" ca="1" si="1"/>
        <v>0</v>
      </c>
      <c r="K12" s="82" t="e">
        <f t="shared" ca="1" si="2"/>
        <v>#N/A</v>
      </c>
      <c r="L12" s="82" t="str">
        <f t="shared" ca="1" si="3"/>
        <v>GD-CGPR-AECO/AV36739</v>
      </c>
      <c r="M12" s="82">
        <f t="shared" ca="1" si="4"/>
        <v>-181.7843</v>
      </c>
      <c r="N12" s="82">
        <f t="shared" ca="1" si="5"/>
        <v>0</v>
      </c>
      <c r="O12" s="94" t="str">
        <f t="shared" ca="1" si="6"/>
        <v>PHY</v>
      </c>
      <c r="P12" s="94" t="str">
        <f ca="1">INDEX([7]Portfolios!A$3:G$929,MATCH(D12,[7]Portfolios!B$3:B$929,0),7)</f>
        <v>IMCANADA</v>
      </c>
      <c r="Q12" s="94">
        <f ca="1">IF($O12="P",INDEX('[7]Date Master'!I$3:J$332,MATCH($H12,'[7]Date Master'!I$3:I$332,0),2),0)</f>
        <v>0</v>
      </c>
      <c r="R12" s="94">
        <f ca="1">IF($O12="D",INDEX('[7]Date Master'!O$3:P$332,MATCH($H12,'[7]Date Master'!O$3:O$332,0),2),0)</f>
        <v>0</v>
      </c>
      <c r="S12" s="94">
        <f ca="1">IF($O12="PHY",INDEX('[7]Date Master'!R$3:S$332,MATCH($H12,'[7]Date Master'!R$3:R$332,0),2),0)</f>
        <v>4</v>
      </c>
      <c r="T12" s="94">
        <f ca="1">IF($O12="G",INDEX('[7]Date Master'!R$3:S$332,MATCH($H12,'[7]Date Master'!R$3:R$332,0),2),0)</f>
        <v>0</v>
      </c>
      <c r="U12" s="94">
        <f t="shared" ca="1" si="7"/>
        <v>4</v>
      </c>
      <c r="V12" s="94" t="str">
        <f t="shared" ca="1" si="8"/>
        <v>IMCANADAPHY4</v>
      </c>
      <c r="W12" s="94" t="str">
        <f ca="1">IF(ISNA(V12),"-",INDEX([7]Portfolios!A$3:H$827,MATCH(D12,[7]Portfolios!B$3:B$827,0),7)&amp;H12)</f>
        <v>IMCANADA36739</v>
      </c>
      <c r="X12" s="94" t="str">
        <f t="shared" ca="1" si="9"/>
        <v>IMCANADAM36739</v>
      </c>
      <c r="Y12" s="94" t="str">
        <f t="shared" ca="1" si="10"/>
        <v>IMCANADAPHY</v>
      </c>
      <c r="AC12" s="87">
        <v>36033</v>
      </c>
      <c r="AD12" s="88" t="s">
        <v>44</v>
      </c>
      <c r="AE12" s="88" t="s">
        <v>52</v>
      </c>
      <c r="AF12" s="88" t="s">
        <v>92</v>
      </c>
      <c r="AG12" s="84" t="s">
        <v>30</v>
      </c>
      <c r="AH12" s="84" t="str">
        <f t="shared" ca="1" si="0"/>
        <v>INTRA-CAND-EAST-PHYPARKWAY/IM</v>
      </c>
      <c r="AJ12" s="79"/>
    </row>
    <row r="13" spans="1:37" x14ac:dyDescent="0.25">
      <c r="A13" s="87">
        <v>36691</v>
      </c>
      <c r="B13" s="88" t="s">
        <v>82</v>
      </c>
      <c r="C13" s="88" t="s">
        <v>83</v>
      </c>
      <c r="D13" s="88" t="s">
        <v>84</v>
      </c>
      <c r="E13" s="88" t="s">
        <v>51</v>
      </c>
      <c r="F13" s="88" t="s">
        <v>19</v>
      </c>
      <c r="G13" s="88" t="s">
        <v>46</v>
      </c>
      <c r="H13" s="87">
        <v>36770</v>
      </c>
      <c r="I13" s="88">
        <v>-1695599</v>
      </c>
      <c r="J13" s="82">
        <f t="shared" ca="1" si="1"/>
        <v>0</v>
      </c>
      <c r="K13" s="82" t="e">
        <f t="shared" ca="1" si="2"/>
        <v>#N/A</v>
      </c>
      <c r="L13" s="82" t="str">
        <f t="shared" ca="1" si="3"/>
        <v>GD-CGPR-AECO/AV36770</v>
      </c>
      <c r="M13" s="82">
        <f t="shared" ca="1" si="4"/>
        <v>-169.5599</v>
      </c>
      <c r="N13" s="82">
        <f t="shared" ca="1" si="5"/>
        <v>0</v>
      </c>
      <c r="O13" s="94" t="str">
        <f t="shared" ca="1" si="6"/>
        <v>PHY</v>
      </c>
      <c r="P13" s="94" t="str">
        <f ca="1">INDEX([7]Portfolios!A$3:G$929,MATCH(D13,[7]Portfolios!B$3:B$929,0),7)</f>
        <v>IMCANADA</v>
      </c>
      <c r="Q13" s="94">
        <f ca="1">IF($O13="P",INDEX('[7]Date Master'!I$3:J$332,MATCH($H13,'[7]Date Master'!I$3:I$332,0),2),0)</f>
        <v>0</v>
      </c>
      <c r="R13" s="94">
        <f ca="1">IF($O13="D",INDEX('[7]Date Master'!O$3:P$332,MATCH($H13,'[7]Date Master'!O$3:O$332,0),2),0)</f>
        <v>0</v>
      </c>
      <c r="S13" s="94">
        <f ca="1">IF($O13="PHY",INDEX('[7]Date Master'!R$3:S$332,MATCH($H13,'[7]Date Master'!R$3:R$332,0),2),0)</f>
        <v>5</v>
      </c>
      <c r="T13" s="94">
        <f ca="1">IF($O13="G",INDEX('[7]Date Master'!R$3:S$332,MATCH($H13,'[7]Date Master'!R$3:R$332,0),2),0)</f>
        <v>0</v>
      </c>
      <c r="U13" s="94">
        <f t="shared" ca="1" si="7"/>
        <v>5</v>
      </c>
      <c r="V13" s="94" t="str">
        <f t="shared" ca="1" si="8"/>
        <v>IMCANADAPHY5</v>
      </c>
      <c r="W13" s="94" t="str">
        <f ca="1">IF(ISNA(V13),"-",INDEX([7]Portfolios!A$3:H$827,MATCH(D13,[7]Portfolios!B$3:B$827,0),7)&amp;H13)</f>
        <v>IMCANADA36770</v>
      </c>
      <c r="X13" s="94" t="str">
        <f t="shared" ca="1" si="9"/>
        <v>IMCANADAM36770</v>
      </c>
      <c r="Y13" s="94" t="str">
        <f t="shared" ca="1" si="10"/>
        <v>IMCANADAPHY</v>
      </c>
      <c r="AC13" s="87">
        <v>36033</v>
      </c>
      <c r="AD13" s="88" t="s">
        <v>44</v>
      </c>
      <c r="AE13" s="88" t="s">
        <v>52</v>
      </c>
      <c r="AF13" s="88" t="s">
        <v>93</v>
      </c>
      <c r="AG13" s="84" t="s">
        <v>30</v>
      </c>
      <c r="AH13" s="84" t="str">
        <f t="shared" ca="1" si="0"/>
        <v>INTRA-CAND-EAST-PHYWADDINGTON/IM</v>
      </c>
    </row>
    <row r="14" spans="1:37" x14ac:dyDescent="0.25">
      <c r="A14" s="87">
        <v>36691</v>
      </c>
      <c r="B14" s="88" t="s">
        <v>82</v>
      </c>
      <c r="C14" s="88" t="s">
        <v>83</v>
      </c>
      <c r="D14" s="88" t="s">
        <v>84</v>
      </c>
      <c r="E14" s="88" t="s">
        <v>51</v>
      </c>
      <c r="F14" s="88" t="s">
        <v>19</v>
      </c>
      <c r="G14" s="88" t="s">
        <v>46</v>
      </c>
      <c r="H14" s="87">
        <v>36800</v>
      </c>
      <c r="I14" s="88">
        <v>-1743641</v>
      </c>
      <c r="J14" s="82">
        <f t="shared" ca="1" si="1"/>
        <v>0</v>
      </c>
      <c r="K14" s="82" t="e">
        <f t="shared" ca="1" si="2"/>
        <v>#N/A</v>
      </c>
      <c r="L14" s="82" t="str">
        <f t="shared" ca="1" si="3"/>
        <v>GD-CGPR-AECO/AV36800</v>
      </c>
      <c r="M14" s="82">
        <f t="shared" ca="1" si="4"/>
        <v>-174.36410000000001</v>
      </c>
      <c r="N14" s="82">
        <f t="shared" ca="1" si="5"/>
        <v>0</v>
      </c>
      <c r="O14" s="94" t="str">
        <f t="shared" ca="1" si="6"/>
        <v>PHY</v>
      </c>
      <c r="P14" s="94" t="str">
        <f ca="1">INDEX([7]Portfolios!A$3:G$929,MATCH(D14,[7]Portfolios!B$3:B$929,0),7)</f>
        <v>IMCANADA</v>
      </c>
      <c r="Q14" s="94">
        <f ca="1">IF($O14="P",INDEX('[7]Date Master'!I$3:J$332,MATCH($H14,'[7]Date Master'!I$3:I$332,0),2),0)</f>
        <v>0</v>
      </c>
      <c r="R14" s="94">
        <f ca="1">IF($O14="D",INDEX('[7]Date Master'!O$3:P$332,MATCH($H14,'[7]Date Master'!O$3:O$332,0),2),0)</f>
        <v>0</v>
      </c>
      <c r="S14" s="94">
        <f ca="1">IF($O14="PHY",INDEX('[7]Date Master'!R$3:S$332,MATCH($H14,'[7]Date Master'!R$3:R$332,0),2),0)</f>
        <v>6</v>
      </c>
      <c r="T14" s="94">
        <f ca="1">IF($O14="G",INDEX('[7]Date Master'!R$3:S$332,MATCH($H14,'[7]Date Master'!R$3:R$332,0),2),0)</f>
        <v>0</v>
      </c>
      <c r="U14" s="94">
        <f t="shared" ca="1" si="7"/>
        <v>6</v>
      </c>
      <c r="V14" s="94" t="str">
        <f t="shared" ca="1" si="8"/>
        <v>IMCANADAPHY6</v>
      </c>
      <c r="W14" s="94" t="str">
        <f ca="1">IF(ISNA(V14),"-",INDEX([7]Portfolios!A$3:H$827,MATCH(D14,[7]Portfolios!B$3:B$827,0),7)&amp;H14)</f>
        <v>IMCANADA36800</v>
      </c>
      <c r="X14" s="94" t="str">
        <f t="shared" ca="1" si="9"/>
        <v>IMCANADAM36800</v>
      </c>
      <c r="Y14" s="94" t="str">
        <f t="shared" ca="1" si="10"/>
        <v>IMCANADAPHY</v>
      </c>
      <c r="AC14" s="87">
        <v>36033</v>
      </c>
      <c r="AD14" s="88" t="s">
        <v>44</v>
      </c>
      <c r="AE14" s="88" t="s">
        <v>52</v>
      </c>
      <c r="AF14" s="88" t="s">
        <v>93</v>
      </c>
      <c r="AG14" s="84" t="s">
        <v>30</v>
      </c>
      <c r="AH14" s="84" t="str">
        <f t="shared" ca="1" si="0"/>
        <v>INTRA-CAND-EAST-PHYWADDINGTON/IM</v>
      </c>
      <c r="AI14" s="88"/>
    </row>
    <row r="15" spans="1:37" x14ac:dyDescent="0.25">
      <c r="A15" s="87">
        <v>36691</v>
      </c>
      <c r="B15" s="88" t="s">
        <v>82</v>
      </c>
      <c r="C15" s="88" t="s">
        <v>83</v>
      </c>
      <c r="D15" s="88" t="s">
        <v>84</v>
      </c>
      <c r="E15" s="88" t="s">
        <v>51</v>
      </c>
      <c r="F15" s="88" t="s">
        <v>19</v>
      </c>
      <c r="G15" s="88" t="s">
        <v>46</v>
      </c>
      <c r="H15" s="87">
        <v>36831</v>
      </c>
      <c r="I15" s="88">
        <v>-266257</v>
      </c>
      <c r="J15" s="82">
        <f t="shared" ca="1" si="1"/>
        <v>0</v>
      </c>
      <c r="K15" s="82" t="e">
        <f t="shared" ca="1" si="2"/>
        <v>#N/A</v>
      </c>
      <c r="L15" s="82" t="str">
        <f t="shared" ca="1" si="3"/>
        <v>GD-CGPR-AECO/AV36831</v>
      </c>
      <c r="M15" s="82">
        <f t="shared" ca="1" si="4"/>
        <v>-26.625699999999998</v>
      </c>
      <c r="N15" s="82">
        <f t="shared" ca="1" si="5"/>
        <v>0</v>
      </c>
      <c r="O15" s="94" t="str">
        <f t="shared" ca="1" si="6"/>
        <v>PHY</v>
      </c>
      <c r="P15" s="94" t="str">
        <f ca="1">INDEX([7]Portfolios!A$3:G$929,MATCH(D15,[7]Portfolios!B$3:B$929,0),7)</f>
        <v>IMCANADA</v>
      </c>
      <c r="Q15" s="94">
        <f ca="1">IF($O15="P",INDEX('[7]Date Master'!I$3:J$332,MATCH($H15,'[7]Date Master'!I$3:I$332,0),2),0)</f>
        <v>0</v>
      </c>
      <c r="R15" s="94">
        <f ca="1">IF($O15="D",INDEX('[7]Date Master'!O$3:P$332,MATCH($H15,'[7]Date Master'!O$3:O$332,0),2),0)</f>
        <v>0</v>
      </c>
      <c r="S15" s="94">
        <f ca="1">IF($O15="PHY",INDEX('[7]Date Master'!R$3:S$332,MATCH($H15,'[7]Date Master'!R$3:R$332,0),2),0)</f>
        <v>7</v>
      </c>
      <c r="T15" s="94">
        <f ca="1">IF($O15="G",INDEX('[7]Date Master'!R$3:S$332,MATCH($H15,'[7]Date Master'!R$3:R$332,0),2),0)</f>
        <v>0</v>
      </c>
      <c r="U15" s="94">
        <f t="shared" ca="1" si="7"/>
        <v>7</v>
      </c>
      <c r="V15" s="94" t="str">
        <f t="shared" ca="1" si="8"/>
        <v>IMCANADAPHY7</v>
      </c>
      <c r="W15" s="94" t="str">
        <f ca="1">IF(ISNA(V15),"-",INDEX([7]Portfolios!A$3:H$827,MATCH(D15,[7]Portfolios!B$3:B$827,0),7)&amp;H15)</f>
        <v>IMCANADA36831</v>
      </c>
      <c r="X15" s="94" t="str">
        <f t="shared" ca="1" si="9"/>
        <v>IMCANADAM36831</v>
      </c>
      <c r="Y15" s="94" t="str">
        <f t="shared" ca="1" si="10"/>
        <v>IMCANADAPHY</v>
      </c>
      <c r="AC15" s="87">
        <v>36033</v>
      </c>
      <c r="AD15" s="88" t="s">
        <v>44</v>
      </c>
      <c r="AE15" s="88" t="s">
        <v>84</v>
      </c>
      <c r="AF15" s="88" t="s">
        <v>46</v>
      </c>
      <c r="AG15" s="84" t="s">
        <v>30</v>
      </c>
      <c r="AH15" s="84" t="str">
        <f t="shared" ca="1" si="0"/>
        <v>INTRA-CAND-WE-GD-GDLGD-CGPR-AECO/AV</v>
      </c>
      <c r="AI15" s="88"/>
    </row>
    <row r="16" spans="1:37" x14ac:dyDescent="0.25">
      <c r="A16" s="87">
        <v>36691</v>
      </c>
      <c r="B16" s="88" t="s">
        <v>82</v>
      </c>
      <c r="C16" s="88" t="s">
        <v>83</v>
      </c>
      <c r="D16" s="88" t="s">
        <v>84</v>
      </c>
      <c r="E16" s="88" t="s">
        <v>51</v>
      </c>
      <c r="F16" s="88" t="s">
        <v>19</v>
      </c>
      <c r="G16" s="88" t="s">
        <v>46</v>
      </c>
      <c r="H16" s="87">
        <v>36861</v>
      </c>
      <c r="I16" s="88">
        <v>-273774</v>
      </c>
      <c r="J16" s="82">
        <f t="shared" ca="1" si="1"/>
        <v>0</v>
      </c>
      <c r="K16" s="82" t="e">
        <f t="shared" ca="1" si="2"/>
        <v>#N/A</v>
      </c>
      <c r="L16" s="82" t="str">
        <f t="shared" ca="1" si="3"/>
        <v>GD-CGPR-AECO/AV36861</v>
      </c>
      <c r="M16" s="82">
        <f t="shared" ca="1" si="4"/>
        <v>-27.377400000000002</v>
      </c>
      <c r="N16" s="82">
        <f t="shared" ca="1" si="5"/>
        <v>0</v>
      </c>
      <c r="O16" s="94" t="str">
        <f t="shared" ca="1" si="6"/>
        <v>PHY</v>
      </c>
      <c r="P16" s="94" t="str">
        <f ca="1">INDEX([7]Portfolios!A$3:G$929,MATCH(D16,[7]Portfolios!B$3:B$929,0),7)</f>
        <v>IMCANADA</v>
      </c>
      <c r="Q16" s="94">
        <f ca="1">IF($O16="P",INDEX('[7]Date Master'!I$3:J$332,MATCH($H16,'[7]Date Master'!I$3:I$332,0),2),0)</f>
        <v>0</v>
      </c>
      <c r="R16" s="94">
        <f ca="1">IF($O16="D",INDEX('[7]Date Master'!O$3:P$332,MATCH($H16,'[7]Date Master'!O$3:O$332,0),2),0)</f>
        <v>0</v>
      </c>
      <c r="S16" s="94">
        <f ca="1">IF($O16="PHY",INDEX('[7]Date Master'!R$3:S$332,MATCH($H16,'[7]Date Master'!R$3:R$332,0),2),0)</f>
        <v>8</v>
      </c>
      <c r="T16" s="94">
        <f ca="1">IF($O16="G",INDEX('[7]Date Master'!R$3:S$332,MATCH($H16,'[7]Date Master'!R$3:R$332,0),2),0)</f>
        <v>0</v>
      </c>
      <c r="U16" s="94">
        <f t="shared" ca="1" si="7"/>
        <v>8</v>
      </c>
      <c r="V16" s="94" t="str">
        <f t="shared" ca="1" si="8"/>
        <v>IMCANADAPHY8</v>
      </c>
      <c r="W16" s="94" t="str">
        <f ca="1">IF(ISNA(V16),"-",INDEX([7]Portfolios!A$3:H$827,MATCH(D16,[7]Portfolios!B$3:B$827,0),7)&amp;H16)</f>
        <v>IMCANADA36861</v>
      </c>
      <c r="X16" s="94" t="str">
        <f t="shared" ca="1" si="9"/>
        <v>IMCANADAM36861</v>
      </c>
      <c r="Y16" s="94" t="str">
        <f t="shared" ca="1" si="10"/>
        <v>IMCANADAPHY</v>
      </c>
      <c r="AC16" s="87">
        <v>36033</v>
      </c>
      <c r="AD16" s="88" t="s">
        <v>44</v>
      </c>
      <c r="AE16" s="88" t="s">
        <v>84</v>
      </c>
      <c r="AF16" s="88" t="s">
        <v>57</v>
      </c>
      <c r="AG16" s="84" t="s">
        <v>19</v>
      </c>
      <c r="AH16" s="84" t="str">
        <f t="shared" ca="1" si="0"/>
        <v>INTRA-CAND-WE-GD-GDLGDP-HEHUB</v>
      </c>
    </row>
    <row r="17" spans="1:36" x14ac:dyDescent="0.25">
      <c r="A17" s="87">
        <v>36691</v>
      </c>
      <c r="B17" s="88" t="s">
        <v>82</v>
      </c>
      <c r="C17" s="88" t="s">
        <v>83</v>
      </c>
      <c r="D17" s="88" t="s">
        <v>84</v>
      </c>
      <c r="E17" s="88" t="s">
        <v>51</v>
      </c>
      <c r="F17" s="88" t="s">
        <v>19</v>
      </c>
      <c r="G17" s="88" t="s">
        <v>46</v>
      </c>
      <c r="H17" s="87">
        <v>36892</v>
      </c>
      <c r="I17" s="88">
        <v>-227368</v>
      </c>
      <c r="J17" s="82">
        <f t="shared" ca="1" si="1"/>
        <v>0</v>
      </c>
      <c r="K17" s="82" t="e">
        <f t="shared" ca="1" si="2"/>
        <v>#N/A</v>
      </c>
      <c r="L17" s="82" t="str">
        <f t="shared" ca="1" si="3"/>
        <v>GD-CGPR-AECO/AV36892</v>
      </c>
      <c r="M17" s="82">
        <f t="shared" ca="1" si="4"/>
        <v>-22.736799999999999</v>
      </c>
      <c r="N17" s="82">
        <f t="shared" ca="1" si="5"/>
        <v>0</v>
      </c>
      <c r="O17" s="94" t="str">
        <f t="shared" ca="1" si="6"/>
        <v>PHY</v>
      </c>
      <c r="P17" s="94" t="str">
        <f ca="1">INDEX([7]Portfolios!A$3:G$929,MATCH(D17,[7]Portfolios!B$3:B$929,0),7)</f>
        <v>IMCANADA</v>
      </c>
      <c r="Q17" s="94">
        <f ca="1">IF($O17="P",INDEX('[7]Date Master'!I$3:J$332,MATCH($H17,'[7]Date Master'!I$3:I$332,0),2),0)</f>
        <v>0</v>
      </c>
      <c r="R17" s="94">
        <f ca="1">IF($O17="D",INDEX('[7]Date Master'!O$3:P$332,MATCH($H17,'[7]Date Master'!O$3:O$332,0),2),0)</f>
        <v>0</v>
      </c>
      <c r="S17" s="94">
        <f ca="1">IF($O17="PHY",INDEX('[7]Date Master'!R$3:S$332,MATCH($H17,'[7]Date Master'!R$3:R$332,0),2),0)</f>
        <v>9</v>
      </c>
      <c r="T17" s="94">
        <f ca="1">IF($O17="G",INDEX('[7]Date Master'!R$3:S$332,MATCH($H17,'[7]Date Master'!R$3:R$332,0),2),0)</f>
        <v>0</v>
      </c>
      <c r="U17" s="94">
        <f t="shared" ca="1" si="7"/>
        <v>9</v>
      </c>
      <c r="V17" s="94" t="str">
        <f t="shared" ca="1" si="8"/>
        <v>IMCANADAPHY9</v>
      </c>
      <c r="W17" s="94" t="str">
        <f ca="1">IF(ISNA(V17),"-",INDEX([7]Portfolios!A$3:H$827,MATCH(D17,[7]Portfolios!B$3:B$827,0),7)&amp;H17)</f>
        <v>IMCANADA36892</v>
      </c>
      <c r="X17" s="94" t="str">
        <f t="shared" ca="1" si="9"/>
        <v>IMCANADAM36892</v>
      </c>
      <c r="Y17" s="94" t="str">
        <f t="shared" ca="1" si="10"/>
        <v>IMCANADAPHY</v>
      </c>
      <c r="AC17" s="87">
        <v>36033</v>
      </c>
      <c r="AD17" s="88" t="s">
        <v>44</v>
      </c>
      <c r="AE17" s="88" t="s">
        <v>94</v>
      </c>
      <c r="AF17" s="88" t="s">
        <v>95</v>
      </c>
      <c r="AG17" s="84" t="s">
        <v>30</v>
      </c>
      <c r="AH17" s="84" t="str">
        <f t="shared" ca="1" si="0"/>
        <v>INTRA-CAND-WEST-PHYAECO-CDN/IM</v>
      </c>
    </row>
    <row r="18" spans="1:36" x14ac:dyDescent="0.25">
      <c r="A18" s="87">
        <v>36691</v>
      </c>
      <c r="B18" s="88" t="s">
        <v>82</v>
      </c>
      <c r="C18" s="88" t="s">
        <v>83</v>
      </c>
      <c r="D18" s="88" t="s">
        <v>84</v>
      </c>
      <c r="E18" s="88" t="s">
        <v>51</v>
      </c>
      <c r="F18" s="88" t="s">
        <v>19</v>
      </c>
      <c r="G18" s="88" t="s">
        <v>46</v>
      </c>
      <c r="H18" s="87">
        <v>36923</v>
      </c>
      <c r="I18" s="88">
        <v>-200260</v>
      </c>
      <c r="J18" s="82">
        <f t="shared" ca="1" si="1"/>
        <v>0</v>
      </c>
      <c r="K18" s="82" t="e">
        <f t="shared" ca="1" si="2"/>
        <v>#N/A</v>
      </c>
      <c r="L18" s="82" t="str">
        <f t="shared" ca="1" si="3"/>
        <v>GD-CGPR-AECO/AV36923</v>
      </c>
      <c r="M18" s="82">
        <f t="shared" ca="1" si="4"/>
        <v>-20.026</v>
      </c>
      <c r="N18" s="82">
        <f t="shared" ca="1" si="5"/>
        <v>0</v>
      </c>
      <c r="O18" s="94" t="str">
        <f t="shared" ca="1" si="6"/>
        <v>PHY</v>
      </c>
      <c r="P18" s="94" t="str">
        <f ca="1">INDEX([7]Portfolios!A$3:G$929,MATCH(D18,[7]Portfolios!B$3:B$929,0),7)</f>
        <v>IMCANADA</v>
      </c>
      <c r="Q18" s="94">
        <f ca="1">IF($O18="P",INDEX('[7]Date Master'!I$3:J$332,MATCH($H18,'[7]Date Master'!I$3:I$332,0),2),0)</f>
        <v>0</v>
      </c>
      <c r="R18" s="94">
        <f ca="1">IF($O18="D",INDEX('[7]Date Master'!O$3:P$332,MATCH($H18,'[7]Date Master'!O$3:O$332,0),2),0)</f>
        <v>0</v>
      </c>
      <c r="S18" s="94">
        <f ca="1">IF($O18="PHY",INDEX('[7]Date Master'!R$3:S$332,MATCH($H18,'[7]Date Master'!R$3:R$332,0),2),0)</f>
        <v>9</v>
      </c>
      <c r="T18" s="94">
        <f ca="1">IF($O18="G",INDEX('[7]Date Master'!R$3:S$332,MATCH($H18,'[7]Date Master'!R$3:R$332,0),2),0)</f>
        <v>0</v>
      </c>
      <c r="U18" s="94">
        <f t="shared" ca="1" si="7"/>
        <v>9</v>
      </c>
      <c r="V18" s="94" t="str">
        <f t="shared" ca="1" si="8"/>
        <v>IMCANADAPHY9</v>
      </c>
      <c r="W18" s="94" t="str">
        <f ca="1">IF(ISNA(V18),"-",INDEX([7]Portfolios!A$3:H$827,MATCH(D18,[7]Portfolios!B$3:B$827,0),7)&amp;H18)</f>
        <v>IMCANADA36923</v>
      </c>
      <c r="X18" s="94" t="str">
        <f t="shared" ca="1" si="9"/>
        <v>IMCANADAM36923</v>
      </c>
      <c r="Y18" s="94" t="str">
        <f t="shared" ca="1" si="10"/>
        <v>IMCANADAPHY</v>
      </c>
      <c r="AC18" s="87">
        <v>36033</v>
      </c>
      <c r="AD18" s="88" t="s">
        <v>44</v>
      </c>
      <c r="AE18" s="88" t="s">
        <v>94</v>
      </c>
      <c r="AF18" s="88" t="s">
        <v>96</v>
      </c>
      <c r="AG18" s="84" t="s">
        <v>30</v>
      </c>
      <c r="AH18" s="84" t="str">
        <f t="shared" ca="1" si="0"/>
        <v>INTRA-CAND-WEST-PHYAECO-US/IM</v>
      </c>
      <c r="AI18" s="88"/>
    </row>
    <row r="19" spans="1:36" x14ac:dyDescent="0.25">
      <c r="A19" s="87">
        <v>36691</v>
      </c>
      <c r="B19" s="88" t="s">
        <v>82</v>
      </c>
      <c r="C19" s="88" t="s">
        <v>83</v>
      </c>
      <c r="D19" s="88" t="s">
        <v>84</v>
      </c>
      <c r="E19" s="88" t="s">
        <v>51</v>
      </c>
      <c r="F19" s="88" t="s">
        <v>19</v>
      </c>
      <c r="G19" s="88" t="s">
        <v>46</v>
      </c>
      <c r="H19" s="87">
        <v>36951</v>
      </c>
      <c r="I19" s="88">
        <v>-220674</v>
      </c>
      <c r="J19" s="82">
        <f t="shared" ca="1" si="1"/>
        <v>0</v>
      </c>
      <c r="K19" s="82" t="e">
        <f t="shared" ca="1" si="2"/>
        <v>#N/A</v>
      </c>
      <c r="L19" s="82" t="str">
        <f t="shared" ca="1" si="3"/>
        <v>GD-CGPR-AECO/AV36951</v>
      </c>
      <c r="M19" s="82">
        <f t="shared" ca="1" si="4"/>
        <v>-22.067399999999999</v>
      </c>
      <c r="N19" s="82">
        <f t="shared" ca="1" si="5"/>
        <v>0</v>
      </c>
      <c r="O19" s="94" t="str">
        <f t="shared" ca="1" si="6"/>
        <v>PHY</v>
      </c>
      <c r="P19" s="94" t="str">
        <f ca="1">INDEX([7]Portfolios!A$3:G$929,MATCH(D19,[7]Portfolios!B$3:B$929,0),7)</f>
        <v>IMCANADA</v>
      </c>
      <c r="Q19" s="94">
        <f ca="1">IF($O19="P",INDEX('[7]Date Master'!I$3:J$332,MATCH($H19,'[7]Date Master'!I$3:I$332,0),2),0)</f>
        <v>0</v>
      </c>
      <c r="R19" s="94">
        <f ca="1">IF($O19="D",INDEX('[7]Date Master'!O$3:P$332,MATCH($H19,'[7]Date Master'!O$3:O$332,0),2),0)</f>
        <v>0</v>
      </c>
      <c r="S19" s="94">
        <f ca="1">IF($O19="PHY",INDEX('[7]Date Master'!R$3:S$332,MATCH($H19,'[7]Date Master'!R$3:R$332,0),2),0)</f>
        <v>9</v>
      </c>
      <c r="T19" s="94">
        <f ca="1">IF($O19="G",INDEX('[7]Date Master'!R$3:S$332,MATCH($H19,'[7]Date Master'!R$3:R$332,0),2),0)</f>
        <v>0</v>
      </c>
      <c r="U19" s="94">
        <f t="shared" ca="1" si="7"/>
        <v>9</v>
      </c>
      <c r="V19" s="94" t="str">
        <f t="shared" ca="1" si="8"/>
        <v>IMCANADAPHY9</v>
      </c>
      <c r="W19" s="94" t="str">
        <f ca="1">IF(ISNA(V19),"-",INDEX([7]Portfolios!A$3:H$827,MATCH(D19,[7]Portfolios!B$3:B$827,0),7)&amp;H19)</f>
        <v>IMCANADA36951</v>
      </c>
      <c r="X19" s="94" t="str">
        <f t="shared" ca="1" si="9"/>
        <v>IMCANADAM36951</v>
      </c>
      <c r="Y19" s="94" t="str">
        <f t="shared" ca="1" si="10"/>
        <v>IMCANADAPHY</v>
      </c>
      <c r="AC19" s="87">
        <v>36033</v>
      </c>
      <c r="AD19" s="88" t="s">
        <v>44</v>
      </c>
      <c r="AE19" s="88" t="s">
        <v>94</v>
      </c>
      <c r="AF19" s="88" t="s">
        <v>97</v>
      </c>
      <c r="AG19" s="84" t="s">
        <v>30</v>
      </c>
      <c r="AH19" s="84" t="str">
        <f t="shared" ca="1" si="0"/>
        <v>INTRA-CAND-WEST-PHYEMPRESS-CDN/IM</v>
      </c>
      <c r="AI19" s="88"/>
    </row>
    <row r="20" spans="1:36" x14ac:dyDescent="0.25">
      <c r="A20" s="87">
        <v>36691</v>
      </c>
      <c r="B20" s="88" t="s">
        <v>82</v>
      </c>
      <c r="C20" s="88" t="s">
        <v>83</v>
      </c>
      <c r="D20" s="88" t="s">
        <v>84</v>
      </c>
      <c r="E20" s="88" t="s">
        <v>51</v>
      </c>
      <c r="F20" s="88" t="s">
        <v>19</v>
      </c>
      <c r="G20" s="88" t="s">
        <v>46</v>
      </c>
      <c r="H20" s="87">
        <v>36982</v>
      </c>
      <c r="I20" s="88">
        <v>-212441</v>
      </c>
      <c r="J20" s="82">
        <f t="shared" ca="1" si="1"/>
        <v>0</v>
      </c>
      <c r="K20" s="82" t="e">
        <f t="shared" ca="1" si="2"/>
        <v>#N/A</v>
      </c>
      <c r="L20" s="82" t="str">
        <f t="shared" ca="1" si="3"/>
        <v>GD-CGPR-AECO/AV36982</v>
      </c>
      <c r="M20" s="82">
        <f t="shared" ca="1" si="4"/>
        <v>-21.2441</v>
      </c>
      <c r="N20" s="82">
        <f t="shared" ca="1" si="5"/>
        <v>0</v>
      </c>
      <c r="O20" s="94" t="str">
        <f t="shared" ca="1" si="6"/>
        <v>PHY</v>
      </c>
      <c r="P20" s="94" t="str">
        <f ca="1">INDEX([7]Portfolios!A$3:G$929,MATCH(D20,[7]Portfolios!B$3:B$929,0),7)</f>
        <v>IMCANADA</v>
      </c>
      <c r="Q20" s="94">
        <f ca="1">IF($O20="P",INDEX('[7]Date Master'!I$3:J$332,MATCH($H20,'[7]Date Master'!I$3:I$332,0),2),0)</f>
        <v>0</v>
      </c>
      <c r="R20" s="94">
        <f ca="1">IF($O20="D",INDEX('[7]Date Master'!O$3:P$332,MATCH($H20,'[7]Date Master'!O$3:O$332,0),2),0)</f>
        <v>0</v>
      </c>
      <c r="S20" s="94">
        <f ca="1">IF($O20="PHY",INDEX('[7]Date Master'!R$3:S$332,MATCH($H20,'[7]Date Master'!R$3:R$332,0),2),0)</f>
        <v>9</v>
      </c>
      <c r="T20" s="94">
        <f ca="1">IF($O20="G",INDEX('[7]Date Master'!R$3:S$332,MATCH($H20,'[7]Date Master'!R$3:R$332,0),2),0)</f>
        <v>0</v>
      </c>
      <c r="U20" s="94">
        <f t="shared" ca="1" si="7"/>
        <v>9</v>
      </c>
      <c r="V20" s="94" t="str">
        <f t="shared" ca="1" si="8"/>
        <v>IMCANADAPHY9</v>
      </c>
      <c r="W20" s="94" t="str">
        <f ca="1">IF(ISNA(V20),"-",INDEX([7]Portfolios!A$3:H$827,MATCH(D20,[7]Portfolios!B$3:B$827,0),7)&amp;H20)</f>
        <v>IMCANADA36982</v>
      </c>
      <c r="X20" s="94" t="str">
        <f t="shared" ca="1" si="9"/>
        <v>IMCANADAM36982</v>
      </c>
      <c r="Y20" s="94" t="str">
        <f t="shared" ca="1" si="10"/>
        <v>IMCANADAPHY</v>
      </c>
      <c r="AC20" s="87">
        <v>36033</v>
      </c>
      <c r="AD20" s="88" t="s">
        <v>44</v>
      </c>
      <c r="AE20" s="88" t="s">
        <v>94</v>
      </c>
      <c r="AF20" s="88" t="s">
        <v>80</v>
      </c>
      <c r="AG20" s="84" t="s">
        <v>30</v>
      </c>
      <c r="AH20" s="84" t="str">
        <f t="shared" ca="1" si="0"/>
        <v>INTRA-CAND-WEST-PHYEMPRESS-US/IM</v>
      </c>
    </row>
    <row r="21" spans="1:36" x14ac:dyDescent="0.25">
      <c r="A21" s="87">
        <v>36691</v>
      </c>
      <c r="B21" s="88" t="s">
        <v>82</v>
      </c>
      <c r="C21" s="88" t="s">
        <v>83</v>
      </c>
      <c r="D21" s="88" t="s">
        <v>84</v>
      </c>
      <c r="E21" s="88" t="s">
        <v>51</v>
      </c>
      <c r="F21" s="88" t="s">
        <v>19</v>
      </c>
      <c r="G21" s="88" t="s">
        <v>46</v>
      </c>
      <c r="H21" s="87">
        <v>37012</v>
      </c>
      <c r="I21" s="88">
        <v>-218413</v>
      </c>
      <c r="J21" s="82">
        <f t="shared" ca="1" si="1"/>
        <v>0</v>
      </c>
      <c r="K21" s="82" t="e">
        <f t="shared" ca="1" si="2"/>
        <v>#N/A</v>
      </c>
      <c r="L21" s="82" t="str">
        <f t="shared" ca="1" si="3"/>
        <v>GD-CGPR-AECO/AV37012</v>
      </c>
      <c r="M21" s="82">
        <f t="shared" ca="1" si="4"/>
        <v>-21.8413</v>
      </c>
      <c r="N21" s="82">
        <f t="shared" ca="1" si="5"/>
        <v>0</v>
      </c>
      <c r="O21" s="94" t="str">
        <f t="shared" ca="1" si="6"/>
        <v>PHY</v>
      </c>
      <c r="P21" s="94" t="str">
        <f ca="1">INDEX([7]Portfolios!A$3:G$929,MATCH(D21,[7]Portfolios!B$3:B$929,0),7)</f>
        <v>IMCANADA</v>
      </c>
      <c r="Q21" s="94">
        <f ca="1">IF($O21="P",INDEX('[7]Date Master'!I$3:J$332,MATCH($H21,'[7]Date Master'!I$3:I$332,0),2),0)</f>
        <v>0</v>
      </c>
      <c r="R21" s="94">
        <f ca="1">IF($O21="D",INDEX('[7]Date Master'!O$3:P$332,MATCH($H21,'[7]Date Master'!O$3:O$332,0),2),0)</f>
        <v>0</v>
      </c>
      <c r="S21" s="94">
        <f ca="1">IF($O21="PHY",INDEX('[7]Date Master'!R$3:S$332,MATCH($H21,'[7]Date Master'!R$3:R$332,0),2),0)</f>
        <v>9</v>
      </c>
      <c r="T21" s="94">
        <f ca="1">IF($O21="G",INDEX('[7]Date Master'!R$3:S$332,MATCH($H21,'[7]Date Master'!R$3:R$332,0),2),0)</f>
        <v>0</v>
      </c>
      <c r="U21" s="94">
        <f t="shared" ca="1" si="7"/>
        <v>9</v>
      </c>
      <c r="V21" s="94" t="str">
        <f t="shared" ca="1" si="8"/>
        <v>IMCANADAPHY9</v>
      </c>
      <c r="W21" s="94" t="str">
        <f ca="1">IF(ISNA(V21),"-",INDEX([7]Portfolios!A$3:H$827,MATCH(D21,[7]Portfolios!B$3:B$827,0),7)&amp;H21)</f>
        <v>IMCANADA37012</v>
      </c>
      <c r="X21" s="94" t="str">
        <f t="shared" ca="1" si="9"/>
        <v>IMCANADAM37012</v>
      </c>
      <c r="Y21" s="94" t="str">
        <f t="shared" ca="1" si="10"/>
        <v>IMCANADAPHY</v>
      </c>
      <c r="AC21" s="87">
        <v>36033</v>
      </c>
      <c r="AD21" s="88" t="s">
        <v>44</v>
      </c>
      <c r="AE21" s="88" t="s">
        <v>94</v>
      </c>
      <c r="AF21" s="88" t="s">
        <v>47</v>
      </c>
      <c r="AG21" s="84" t="s">
        <v>30</v>
      </c>
      <c r="AH21" s="84" t="str">
        <f t="shared" ca="1" si="0"/>
        <v>INTRA-CAND-WEST-PHYGD-AECOUS-DAILY</v>
      </c>
    </row>
    <row r="22" spans="1:36" x14ac:dyDescent="0.25">
      <c r="A22" s="87">
        <v>36691</v>
      </c>
      <c r="B22" s="88" t="s">
        <v>82</v>
      </c>
      <c r="C22" s="88" t="s">
        <v>83</v>
      </c>
      <c r="D22" s="88" t="s">
        <v>84</v>
      </c>
      <c r="E22" s="88" t="s">
        <v>51</v>
      </c>
      <c r="F22" s="88" t="s">
        <v>19</v>
      </c>
      <c r="G22" s="88" t="s">
        <v>46</v>
      </c>
      <c r="H22" s="87">
        <v>37043</v>
      </c>
      <c r="I22" s="88">
        <v>-210259</v>
      </c>
      <c r="J22" s="82">
        <f t="shared" ca="1" si="1"/>
        <v>0</v>
      </c>
      <c r="K22" s="82" t="e">
        <f t="shared" ca="1" si="2"/>
        <v>#N/A</v>
      </c>
      <c r="L22" s="82" t="str">
        <f t="shared" ca="1" si="3"/>
        <v>GD-CGPR-AECO/AV37043</v>
      </c>
      <c r="M22" s="82">
        <f t="shared" ca="1" si="4"/>
        <v>-21.0259</v>
      </c>
      <c r="N22" s="82">
        <f t="shared" ca="1" si="5"/>
        <v>0</v>
      </c>
      <c r="O22" s="94" t="str">
        <f t="shared" ca="1" si="6"/>
        <v>PHY</v>
      </c>
      <c r="P22" s="94" t="str">
        <f ca="1">INDEX([7]Portfolios!A$3:G$929,MATCH(D22,[7]Portfolios!B$3:B$929,0),7)</f>
        <v>IMCANADA</v>
      </c>
      <c r="Q22" s="94">
        <f ca="1">IF($O22="P",INDEX('[7]Date Master'!I$3:J$332,MATCH($H22,'[7]Date Master'!I$3:I$332,0),2),0)</f>
        <v>0</v>
      </c>
      <c r="R22" s="94">
        <f ca="1">IF($O22="D",INDEX('[7]Date Master'!O$3:P$332,MATCH($H22,'[7]Date Master'!O$3:O$332,0),2),0)</f>
        <v>0</v>
      </c>
      <c r="S22" s="94">
        <f ca="1">IF($O22="PHY",INDEX('[7]Date Master'!R$3:S$332,MATCH($H22,'[7]Date Master'!R$3:R$332,0),2),0)</f>
        <v>9</v>
      </c>
      <c r="T22" s="94">
        <f ca="1">IF($O22="G",INDEX('[7]Date Master'!R$3:S$332,MATCH($H22,'[7]Date Master'!R$3:R$332,0),2),0)</f>
        <v>0</v>
      </c>
      <c r="U22" s="94">
        <f t="shared" ca="1" si="7"/>
        <v>9</v>
      </c>
      <c r="V22" s="94" t="str">
        <f t="shared" ca="1" si="8"/>
        <v>IMCANADAPHY9</v>
      </c>
      <c r="W22" s="94" t="str">
        <f ca="1">IF(ISNA(V22),"-",INDEX([7]Portfolios!A$3:H$827,MATCH(D22,[7]Portfolios!B$3:B$827,0),7)&amp;H22)</f>
        <v>IMCANADA37043</v>
      </c>
      <c r="X22" s="94" t="str">
        <f t="shared" ca="1" si="9"/>
        <v>IMCANADAM37043</v>
      </c>
      <c r="Y22" s="94" t="str">
        <f t="shared" ca="1" si="10"/>
        <v>IMCANADAPHY</v>
      </c>
      <c r="AC22" s="87">
        <v>36033</v>
      </c>
      <c r="AD22" s="88" t="s">
        <v>44</v>
      </c>
      <c r="AE22" s="88" t="s">
        <v>94</v>
      </c>
      <c r="AF22" s="88" t="s">
        <v>46</v>
      </c>
      <c r="AG22" s="84" t="s">
        <v>19</v>
      </c>
      <c r="AH22" s="84" t="str">
        <f t="shared" ca="1" si="0"/>
        <v>INTRA-CAND-WEST-PHYGD-CGPR-AECO/AV</v>
      </c>
    </row>
    <row r="23" spans="1:36" x14ac:dyDescent="0.25">
      <c r="A23" s="87">
        <v>36691</v>
      </c>
      <c r="B23" s="88" t="s">
        <v>82</v>
      </c>
      <c r="C23" s="88" t="s">
        <v>83</v>
      </c>
      <c r="D23" s="88" t="s">
        <v>84</v>
      </c>
      <c r="E23" s="88" t="s">
        <v>51</v>
      </c>
      <c r="F23" s="88" t="s">
        <v>19</v>
      </c>
      <c r="G23" s="88" t="s">
        <v>46</v>
      </c>
      <c r="H23" s="87">
        <v>37073</v>
      </c>
      <c r="I23" s="88">
        <v>-216167</v>
      </c>
      <c r="J23" s="82">
        <f t="shared" ca="1" si="1"/>
        <v>0</v>
      </c>
      <c r="K23" s="82" t="e">
        <f t="shared" ca="1" si="2"/>
        <v>#N/A</v>
      </c>
      <c r="L23" s="82" t="str">
        <f t="shared" ca="1" si="3"/>
        <v>GD-CGPR-AECO/AV37073</v>
      </c>
      <c r="M23" s="82">
        <f t="shared" ca="1" si="4"/>
        <v>-21.616700000000002</v>
      </c>
      <c r="N23" s="82">
        <f t="shared" ca="1" si="5"/>
        <v>0</v>
      </c>
      <c r="O23" s="94" t="str">
        <f t="shared" ca="1" si="6"/>
        <v>PHY</v>
      </c>
      <c r="P23" s="94" t="str">
        <f ca="1">INDEX([7]Portfolios!A$3:G$929,MATCH(D23,[7]Portfolios!B$3:B$929,0),7)</f>
        <v>IMCANADA</v>
      </c>
      <c r="Q23" s="94">
        <f ca="1">IF($O23="P",INDEX('[7]Date Master'!I$3:J$332,MATCH($H23,'[7]Date Master'!I$3:I$332,0),2),0)</f>
        <v>0</v>
      </c>
      <c r="R23" s="94">
        <f ca="1">IF($O23="D",INDEX('[7]Date Master'!O$3:P$332,MATCH($H23,'[7]Date Master'!O$3:O$332,0),2),0)</f>
        <v>0</v>
      </c>
      <c r="S23" s="94">
        <f ca="1">IF($O23="PHY",INDEX('[7]Date Master'!R$3:S$332,MATCH($H23,'[7]Date Master'!R$3:R$332,0),2),0)</f>
        <v>9</v>
      </c>
      <c r="T23" s="94">
        <f ca="1">IF($O23="G",INDEX('[7]Date Master'!R$3:S$332,MATCH($H23,'[7]Date Master'!R$3:R$332,0),2),0)</f>
        <v>0</v>
      </c>
      <c r="U23" s="94">
        <f t="shared" ca="1" si="7"/>
        <v>9</v>
      </c>
      <c r="V23" s="94" t="str">
        <f t="shared" ca="1" si="8"/>
        <v>IMCANADAPHY9</v>
      </c>
      <c r="W23" s="94" t="str">
        <f ca="1">IF(ISNA(V23),"-",INDEX([7]Portfolios!A$3:H$827,MATCH(D23,[7]Portfolios!B$3:B$827,0),7)&amp;H23)</f>
        <v>IMCANADA37073</v>
      </c>
      <c r="X23" s="94" t="str">
        <f t="shared" ca="1" si="9"/>
        <v>IMCANADAM37073</v>
      </c>
      <c r="Y23" s="94" t="str">
        <f t="shared" ca="1" si="10"/>
        <v>IMCANADAPHY</v>
      </c>
      <c r="AC23" s="87">
        <v>36033</v>
      </c>
      <c r="AD23" s="88" t="s">
        <v>44</v>
      </c>
      <c r="AE23" s="88" t="s">
        <v>94</v>
      </c>
      <c r="AF23" s="88" t="s">
        <v>98</v>
      </c>
      <c r="AG23" s="84" t="s">
        <v>30</v>
      </c>
      <c r="AH23" s="84" t="str">
        <f t="shared" ca="1" si="0"/>
        <v>INTRA-CAND-WEST-PHYGD-CGPR-AECO/DA</v>
      </c>
    </row>
    <row r="24" spans="1:36" x14ac:dyDescent="0.25">
      <c r="A24" s="87">
        <v>36691</v>
      </c>
      <c r="B24" s="88" t="s">
        <v>82</v>
      </c>
      <c r="C24" s="88" t="s">
        <v>83</v>
      </c>
      <c r="D24" s="88" t="s">
        <v>84</v>
      </c>
      <c r="E24" s="88" t="s">
        <v>51</v>
      </c>
      <c r="F24" s="88" t="s">
        <v>19</v>
      </c>
      <c r="G24" s="88" t="s">
        <v>46</v>
      </c>
      <c r="H24" s="87">
        <v>37104</v>
      </c>
      <c r="I24" s="88">
        <v>-215045</v>
      </c>
      <c r="J24" s="82">
        <f t="shared" ca="1" si="1"/>
        <v>0</v>
      </c>
      <c r="K24" s="82" t="e">
        <f t="shared" ca="1" si="2"/>
        <v>#N/A</v>
      </c>
      <c r="L24" s="82" t="str">
        <f t="shared" ca="1" si="3"/>
        <v>GD-CGPR-AECO/AV37104</v>
      </c>
      <c r="M24" s="82">
        <f t="shared" ca="1" si="4"/>
        <v>-21.5045</v>
      </c>
      <c r="N24" s="82">
        <f t="shared" ca="1" si="5"/>
        <v>0</v>
      </c>
      <c r="O24" s="94" t="str">
        <f t="shared" ca="1" si="6"/>
        <v>PHY</v>
      </c>
      <c r="P24" s="94" t="str">
        <f ca="1">INDEX([7]Portfolios!A$3:G$929,MATCH(D24,[7]Portfolios!B$3:B$929,0),7)</f>
        <v>IMCANADA</v>
      </c>
      <c r="Q24" s="94">
        <f ca="1">IF($O24="P",INDEX('[7]Date Master'!I$3:J$332,MATCH($H24,'[7]Date Master'!I$3:I$332,0),2),0)</f>
        <v>0</v>
      </c>
      <c r="R24" s="94">
        <f ca="1">IF($O24="D",INDEX('[7]Date Master'!O$3:P$332,MATCH($H24,'[7]Date Master'!O$3:O$332,0),2),0)</f>
        <v>0</v>
      </c>
      <c r="S24" s="94">
        <f ca="1">IF($O24="PHY",INDEX('[7]Date Master'!R$3:S$332,MATCH($H24,'[7]Date Master'!R$3:R$332,0),2),0)</f>
        <v>9</v>
      </c>
      <c r="T24" s="94">
        <f ca="1">IF($O24="G",INDEX('[7]Date Master'!R$3:S$332,MATCH($H24,'[7]Date Master'!R$3:R$332,0),2),0)</f>
        <v>0</v>
      </c>
      <c r="U24" s="94">
        <f t="shared" ca="1" si="7"/>
        <v>9</v>
      </c>
      <c r="V24" s="94" t="str">
        <f t="shared" ca="1" si="8"/>
        <v>IMCANADAPHY9</v>
      </c>
      <c r="W24" s="94" t="str">
        <f ca="1">IF(ISNA(V24),"-",INDEX([7]Portfolios!A$3:H$827,MATCH(D24,[7]Portfolios!B$3:B$827,0),7)&amp;H24)</f>
        <v>IMCANADA37104</v>
      </c>
      <c r="X24" s="94" t="str">
        <f t="shared" ca="1" si="9"/>
        <v>IMCANADAM37104</v>
      </c>
      <c r="Y24" s="94" t="str">
        <f t="shared" ca="1" si="10"/>
        <v>IMCANADAPHY</v>
      </c>
      <c r="AC24" s="87">
        <v>36033</v>
      </c>
      <c r="AD24" s="88" t="s">
        <v>44</v>
      </c>
      <c r="AE24" s="88" t="s">
        <v>94</v>
      </c>
      <c r="AF24" s="88" t="s">
        <v>99</v>
      </c>
      <c r="AG24" s="84" t="s">
        <v>19</v>
      </c>
      <c r="AH24" s="84" t="str">
        <f t="shared" ca="1" si="0"/>
        <v>INTRA-CAND-WEST-PHYGD-CGPR-EMPRESS</v>
      </c>
      <c r="AJ24" s="79"/>
    </row>
    <row r="25" spans="1:36" x14ac:dyDescent="0.25">
      <c r="A25" s="87">
        <v>36691</v>
      </c>
      <c r="B25" s="88" t="s">
        <v>82</v>
      </c>
      <c r="C25" s="88" t="s">
        <v>83</v>
      </c>
      <c r="D25" s="88" t="s">
        <v>84</v>
      </c>
      <c r="E25" s="88" t="s">
        <v>51</v>
      </c>
      <c r="F25" s="88" t="s">
        <v>19</v>
      </c>
      <c r="G25" s="88" t="s">
        <v>46</v>
      </c>
      <c r="H25" s="87">
        <v>37135</v>
      </c>
      <c r="I25" s="88">
        <v>-207027</v>
      </c>
      <c r="J25" s="82">
        <f t="shared" ca="1" si="1"/>
        <v>0</v>
      </c>
      <c r="K25" s="82" t="e">
        <f t="shared" ca="1" si="2"/>
        <v>#N/A</v>
      </c>
      <c r="L25" s="82" t="str">
        <f t="shared" ca="1" si="3"/>
        <v>GD-CGPR-AECO/AV37135</v>
      </c>
      <c r="M25" s="82">
        <f t="shared" ca="1" si="4"/>
        <v>-20.7027</v>
      </c>
      <c r="N25" s="82">
        <f t="shared" ca="1" si="5"/>
        <v>0</v>
      </c>
      <c r="O25" s="94" t="str">
        <f t="shared" ca="1" si="6"/>
        <v>PHY</v>
      </c>
      <c r="P25" s="94" t="str">
        <f ca="1">INDEX([7]Portfolios!A$3:G$929,MATCH(D25,[7]Portfolios!B$3:B$929,0),7)</f>
        <v>IMCANADA</v>
      </c>
      <c r="Q25" s="94">
        <f ca="1">IF($O25="P",INDEX('[7]Date Master'!I$3:J$332,MATCH($H25,'[7]Date Master'!I$3:I$332,0),2),0)</f>
        <v>0</v>
      </c>
      <c r="R25" s="94">
        <f ca="1">IF($O25="D",INDEX('[7]Date Master'!O$3:P$332,MATCH($H25,'[7]Date Master'!O$3:O$332,0),2),0)</f>
        <v>0</v>
      </c>
      <c r="S25" s="94">
        <f ca="1">IF($O25="PHY",INDEX('[7]Date Master'!R$3:S$332,MATCH($H25,'[7]Date Master'!R$3:R$332,0),2),0)</f>
        <v>9</v>
      </c>
      <c r="T25" s="94">
        <f ca="1">IF($O25="G",INDEX('[7]Date Master'!R$3:S$332,MATCH($H25,'[7]Date Master'!R$3:R$332,0),2),0)</f>
        <v>0</v>
      </c>
      <c r="U25" s="94">
        <f t="shared" ca="1" si="7"/>
        <v>9</v>
      </c>
      <c r="V25" s="94" t="str">
        <f t="shared" ca="1" si="8"/>
        <v>IMCANADAPHY9</v>
      </c>
      <c r="W25" s="94" t="str">
        <f ca="1">IF(ISNA(V25),"-",INDEX([7]Portfolios!A$3:H$827,MATCH(D25,[7]Portfolios!B$3:B$827,0),7)&amp;H25)</f>
        <v>IMCANADA37135</v>
      </c>
      <c r="X25" s="94" t="str">
        <f t="shared" ca="1" si="9"/>
        <v>IMCANADAM37135</v>
      </c>
      <c r="Y25" s="94" t="str">
        <f t="shared" ca="1" si="10"/>
        <v>IMCANADAPHY</v>
      </c>
      <c r="AC25" s="87">
        <v>36033</v>
      </c>
      <c r="AD25" s="88" t="s">
        <v>44</v>
      </c>
      <c r="AE25" s="88" t="s">
        <v>45</v>
      </c>
      <c r="AF25" s="88" t="s">
        <v>46</v>
      </c>
      <c r="AG25" s="84" t="s">
        <v>19</v>
      </c>
      <c r="AH25" s="84" t="str">
        <f t="shared" ca="1" si="0"/>
        <v>INTRA-CAND-BC-GD-GDLGD-CGPR-AECO/AV</v>
      </c>
      <c r="AJ25" s="79"/>
    </row>
    <row r="26" spans="1:36" x14ac:dyDescent="0.25">
      <c r="A26" s="87">
        <v>36691</v>
      </c>
      <c r="B26" s="88" t="s">
        <v>82</v>
      </c>
      <c r="C26" s="88" t="s">
        <v>83</v>
      </c>
      <c r="D26" s="88" t="s">
        <v>84</v>
      </c>
      <c r="E26" s="88" t="s">
        <v>51</v>
      </c>
      <c r="F26" s="88" t="s">
        <v>19</v>
      </c>
      <c r="G26" s="88" t="s">
        <v>46</v>
      </c>
      <c r="H26" s="87">
        <v>37165</v>
      </c>
      <c r="I26" s="88">
        <v>-212849</v>
      </c>
      <c r="J26" s="82">
        <f t="shared" ca="1" si="1"/>
        <v>0</v>
      </c>
      <c r="K26" s="82" t="e">
        <f t="shared" ca="1" si="2"/>
        <v>#N/A</v>
      </c>
      <c r="L26" s="82" t="str">
        <f t="shared" ca="1" si="3"/>
        <v>GD-CGPR-AECO/AV37165</v>
      </c>
      <c r="M26" s="82">
        <f t="shared" ca="1" si="4"/>
        <v>-21.2849</v>
      </c>
      <c r="N26" s="82">
        <f t="shared" ca="1" si="5"/>
        <v>0</v>
      </c>
      <c r="O26" s="94" t="str">
        <f t="shared" ca="1" si="6"/>
        <v>PHY</v>
      </c>
      <c r="P26" s="94" t="str">
        <f ca="1">INDEX([7]Portfolios!A$3:G$929,MATCH(D26,[7]Portfolios!B$3:B$929,0),7)</f>
        <v>IMCANADA</v>
      </c>
      <c r="Q26" s="94">
        <f ca="1">IF($O26="P",INDEX('[7]Date Master'!I$3:J$332,MATCH($H26,'[7]Date Master'!I$3:I$332,0),2),0)</f>
        <v>0</v>
      </c>
      <c r="R26" s="94">
        <f ca="1">IF($O26="D",INDEX('[7]Date Master'!O$3:P$332,MATCH($H26,'[7]Date Master'!O$3:O$332,0),2),0)</f>
        <v>0</v>
      </c>
      <c r="S26" s="94">
        <f ca="1">IF($O26="PHY",INDEX('[7]Date Master'!R$3:S$332,MATCH($H26,'[7]Date Master'!R$3:R$332,0),2),0)</f>
        <v>9</v>
      </c>
      <c r="T26" s="94">
        <f ca="1">IF($O26="G",INDEX('[7]Date Master'!R$3:S$332,MATCH($H26,'[7]Date Master'!R$3:R$332,0),2),0)</f>
        <v>0</v>
      </c>
      <c r="U26" s="94">
        <f t="shared" ca="1" si="7"/>
        <v>9</v>
      </c>
      <c r="V26" s="94" t="str">
        <f t="shared" ca="1" si="8"/>
        <v>IMCANADAPHY9</v>
      </c>
      <c r="W26" s="94" t="str">
        <f ca="1">IF(ISNA(V26),"-",INDEX([7]Portfolios!A$3:H$827,MATCH(D26,[7]Portfolios!B$3:B$827,0),7)&amp;H26)</f>
        <v>IMCANADA37165</v>
      </c>
      <c r="X26" s="94" t="str">
        <f t="shared" ca="1" si="9"/>
        <v>IMCANADAM37165</v>
      </c>
      <c r="Y26" s="94" t="str">
        <f t="shared" ca="1" si="10"/>
        <v>IMCANADAPHY</v>
      </c>
      <c r="AC26" s="87">
        <v>36033</v>
      </c>
      <c r="AD26" s="88" t="s">
        <v>44</v>
      </c>
      <c r="AE26" s="88" t="s">
        <v>45</v>
      </c>
      <c r="AF26" s="88" t="s">
        <v>100</v>
      </c>
      <c r="AG26" s="84" t="s">
        <v>19</v>
      </c>
      <c r="AH26" s="84" t="str">
        <f t="shared" ca="1" si="0"/>
        <v>INTRA-CAND-BC-GD-GDLGD-NTHWST/CANB</v>
      </c>
      <c r="AJ26" s="79"/>
    </row>
    <row r="27" spans="1:36" x14ac:dyDescent="0.25">
      <c r="A27" s="87">
        <v>36691</v>
      </c>
      <c r="B27" s="88" t="s">
        <v>82</v>
      </c>
      <c r="C27" s="88" t="s">
        <v>83</v>
      </c>
      <c r="D27" s="88" t="s">
        <v>84</v>
      </c>
      <c r="E27" s="88" t="s">
        <v>51</v>
      </c>
      <c r="F27" s="88" t="s">
        <v>19</v>
      </c>
      <c r="G27" s="88" t="s">
        <v>57</v>
      </c>
      <c r="H27" s="87">
        <v>36678</v>
      </c>
      <c r="I27" s="88">
        <v>421846</v>
      </c>
      <c r="J27" s="82">
        <f t="shared" ca="1" si="1"/>
        <v>464030.60000000003</v>
      </c>
      <c r="K27" s="82">
        <f t="shared" ca="1" si="2"/>
        <v>1.1000000000000001</v>
      </c>
      <c r="L27" s="82" t="str">
        <f t="shared" ca="1" si="3"/>
        <v>GDP-HEHUB36678</v>
      </c>
      <c r="M27" s="82">
        <f t="shared" ca="1" si="4"/>
        <v>42.184600000000003</v>
      </c>
      <c r="N27" s="82">
        <f t="shared" ca="1" si="5"/>
        <v>46.403060000000004</v>
      </c>
      <c r="O27" s="94" t="str">
        <f t="shared" ca="1" si="6"/>
        <v>G</v>
      </c>
      <c r="P27" s="94" t="str">
        <f ca="1">INDEX([7]Portfolios!A$3:G$929,MATCH(D27,[7]Portfolios!B$3:B$929,0),7)</f>
        <v>IMCANADA</v>
      </c>
      <c r="Q27" s="94">
        <f ca="1">IF($O27="P",INDEX('[7]Date Master'!I$3:J$332,MATCH($H27,'[7]Date Master'!I$3:I$332,0),2),0)</f>
        <v>0</v>
      </c>
      <c r="R27" s="94">
        <f ca="1">IF($O27="D",INDEX('[7]Date Master'!O$3:P$332,MATCH($H27,'[7]Date Master'!O$3:O$332,0),2),0)</f>
        <v>0</v>
      </c>
      <c r="S27" s="94">
        <f ca="1">IF($O27="PHY",INDEX('[7]Date Master'!R$3:S$332,MATCH($H27,'[7]Date Master'!R$3:R$332,0),2),0)</f>
        <v>0</v>
      </c>
      <c r="T27" s="94">
        <f ca="1">IF($O27="G",INDEX('[7]Date Master'!R$3:S$332,MATCH($H27,'[7]Date Master'!R$3:R$332,0),2),0)</f>
        <v>1</v>
      </c>
      <c r="U27" s="94">
        <f t="shared" ca="1" si="7"/>
        <v>1</v>
      </c>
      <c r="V27" s="94" t="str">
        <f t="shared" ca="1" si="8"/>
        <v>IMCANADAG1</v>
      </c>
      <c r="W27" s="94" t="str">
        <f ca="1">IF(ISNA(V27),"-",INDEX([7]Portfolios!A$3:H$827,MATCH(D27,[7]Portfolios!B$3:B$827,0),7)&amp;H27)</f>
        <v>IMCANADA36678</v>
      </c>
      <c r="X27" s="94" t="str">
        <f t="shared" ca="1" si="9"/>
        <v>IMCANADAM36678</v>
      </c>
      <c r="Y27" s="94" t="str">
        <f t="shared" ca="1" si="10"/>
        <v>IMCANADAG</v>
      </c>
      <c r="AC27" s="87">
        <v>36033</v>
      </c>
      <c r="AD27" s="88" t="s">
        <v>44</v>
      </c>
      <c r="AE27" s="88" t="s">
        <v>101</v>
      </c>
      <c r="AF27" s="84" t="s">
        <v>86</v>
      </c>
      <c r="AG27" s="84" t="s">
        <v>21</v>
      </c>
      <c r="AH27" s="84" t="str">
        <f t="shared" ca="1" si="0"/>
        <v>INTRA-CAND-WEST-PRCNG</v>
      </c>
      <c r="AJ27" s="79"/>
    </row>
    <row r="28" spans="1:36" x14ac:dyDescent="0.25">
      <c r="A28" s="87">
        <v>36691</v>
      </c>
      <c r="B28" s="88" t="s">
        <v>82</v>
      </c>
      <c r="C28" s="88" t="s">
        <v>83</v>
      </c>
      <c r="D28" s="88" t="s">
        <v>84</v>
      </c>
      <c r="E28" s="88" t="s">
        <v>51</v>
      </c>
      <c r="F28" s="88" t="s">
        <v>19</v>
      </c>
      <c r="G28" s="88" t="s">
        <v>102</v>
      </c>
      <c r="H28" s="87">
        <v>36678</v>
      </c>
      <c r="I28" s="88">
        <v>-84369</v>
      </c>
      <c r="J28" s="82">
        <f t="shared" ca="1" si="1"/>
        <v>0</v>
      </c>
      <c r="K28" s="82" t="e">
        <f t="shared" ca="1" si="2"/>
        <v>#N/A</v>
      </c>
      <c r="L28" s="82" t="str">
        <f t="shared" ca="1" si="3"/>
        <v>GDP-KERN/OPAL36678</v>
      </c>
      <c r="M28" s="82">
        <f t="shared" ca="1" si="4"/>
        <v>-8.4368999999999996</v>
      </c>
      <c r="N28" s="82">
        <f t="shared" ca="1" si="5"/>
        <v>0</v>
      </c>
      <c r="O28" s="94" t="e">
        <f t="shared" ca="1" si="6"/>
        <v>#REF!</v>
      </c>
      <c r="P28" s="94" t="str">
        <f ca="1">INDEX([7]Portfolios!A$3:G$929,MATCH(D28,[7]Portfolios!B$3:B$929,0),7)</f>
        <v>IMCANADA</v>
      </c>
      <c r="Q28" s="94" t="e">
        <f ca="1">IF($O28="P",INDEX('[7]Date Master'!I$3:J$332,MATCH($H28,'[7]Date Master'!I$3:I$332,0),2),0)</f>
        <v>#REF!</v>
      </c>
      <c r="R28" s="94" t="e">
        <f ca="1">IF($O28="D",INDEX('[7]Date Master'!O$3:P$332,MATCH($H28,'[7]Date Master'!O$3:O$332,0),2),0)</f>
        <v>#REF!</v>
      </c>
      <c r="S28" s="94" t="e">
        <f ca="1">IF($O28="PHY",INDEX('[7]Date Master'!R$3:S$332,MATCH($H28,'[7]Date Master'!R$3:R$332,0),2),0)</f>
        <v>#REF!</v>
      </c>
      <c r="T28" s="94" t="e">
        <f ca="1">IF($O28="G",INDEX('[7]Date Master'!R$3:S$332,MATCH($H28,'[7]Date Master'!R$3:R$332,0),2),0)</f>
        <v>#REF!</v>
      </c>
      <c r="U28" s="94" t="e">
        <f t="shared" ca="1" si="7"/>
        <v>#REF!</v>
      </c>
      <c r="V28" s="94" t="e">
        <f t="shared" ca="1" si="8"/>
        <v>#REF!</v>
      </c>
      <c r="W28" s="94" t="str">
        <f ca="1">IF(ISNA(V28),"-",INDEX([7]Portfolios!A$3:H$827,MATCH(D28,[7]Portfolios!B$3:B$827,0),7)&amp;H28)</f>
        <v>IMCANADA36678</v>
      </c>
      <c r="X28" s="94" t="str">
        <f t="shared" ca="1" si="9"/>
        <v>IMCANADAM36678</v>
      </c>
      <c r="Y28" s="94" t="e">
        <f t="shared" ca="1" si="10"/>
        <v>#REF!</v>
      </c>
      <c r="AC28" s="87">
        <v>36033</v>
      </c>
      <c r="AD28" s="88" t="s">
        <v>44</v>
      </c>
      <c r="AE28" s="88" t="s">
        <v>101</v>
      </c>
      <c r="AF28" s="84" t="s">
        <v>103</v>
      </c>
      <c r="AG28" s="84" t="s">
        <v>21</v>
      </c>
      <c r="AH28" s="84" t="str">
        <f t="shared" ca="1" si="0"/>
        <v>INTRA-CAND-WEST-PRCCGPR-AECO/BASIS</v>
      </c>
    </row>
    <row r="29" spans="1:36" x14ac:dyDescent="0.25">
      <c r="A29" s="87">
        <v>36691</v>
      </c>
      <c r="B29" s="88" t="s">
        <v>82</v>
      </c>
      <c r="C29" s="88" t="s">
        <v>83</v>
      </c>
      <c r="D29" s="88" t="s">
        <v>94</v>
      </c>
      <c r="E29" s="88" t="s">
        <v>51</v>
      </c>
      <c r="F29" s="88" t="s">
        <v>21</v>
      </c>
      <c r="G29" s="88" t="s">
        <v>95</v>
      </c>
      <c r="H29" s="87">
        <v>36678</v>
      </c>
      <c r="I29" s="88">
        <v>-1527386</v>
      </c>
      <c r="J29" s="82">
        <f t="shared" ca="1" si="1"/>
        <v>0</v>
      </c>
      <c r="K29" s="82" t="e">
        <f t="shared" ca="1" si="2"/>
        <v>#N/A</v>
      </c>
      <c r="L29" s="82" t="str">
        <f t="shared" ca="1" si="3"/>
        <v>AECO-CDN/IM36678</v>
      </c>
      <c r="M29" s="82">
        <f t="shared" ca="1" si="4"/>
        <v>-152.73859999999999</v>
      </c>
      <c r="N29" s="82">
        <f t="shared" ca="1" si="5"/>
        <v>0</v>
      </c>
      <c r="O29" s="94" t="str">
        <f t="shared" ca="1" si="6"/>
        <v>PHY</v>
      </c>
      <c r="P29" s="94" t="str">
        <f ca="1">INDEX([7]Portfolios!A$3:G$929,MATCH(D29,[7]Portfolios!B$3:B$929,0),7)</f>
        <v>IMCANADA</v>
      </c>
      <c r="Q29" s="94">
        <f ca="1">IF($O29="P",INDEX('[7]Date Master'!I$3:J$332,MATCH($H29,'[7]Date Master'!I$3:I$332,0),2),0)</f>
        <v>0</v>
      </c>
      <c r="R29" s="94">
        <f ca="1">IF($O29="D",INDEX('[7]Date Master'!O$3:P$332,MATCH($H29,'[7]Date Master'!O$3:O$332,0),2),0)</f>
        <v>0</v>
      </c>
      <c r="S29" s="94">
        <f ca="1">IF($O29="PHY",INDEX('[7]Date Master'!R$3:S$332,MATCH($H29,'[7]Date Master'!R$3:R$332,0),2),0)</f>
        <v>1</v>
      </c>
      <c r="T29" s="94">
        <f ca="1">IF($O29="G",INDEX('[7]Date Master'!R$3:S$332,MATCH($H29,'[7]Date Master'!R$3:R$332,0),2),0)</f>
        <v>0</v>
      </c>
      <c r="U29" s="94">
        <f t="shared" ca="1" si="7"/>
        <v>1</v>
      </c>
      <c r="V29" s="94" t="str">
        <f t="shared" ca="1" si="8"/>
        <v>IMCANADAPHY1</v>
      </c>
      <c r="W29" s="94" t="str">
        <f ca="1">IF(ISNA(V29),"-",INDEX([7]Portfolios!A$3:H$827,MATCH(D29,[7]Portfolios!B$3:B$827,0),7)&amp;H29)</f>
        <v>IMCANADA36678</v>
      </c>
      <c r="X29" s="94" t="str">
        <f t="shared" ca="1" si="9"/>
        <v>IMCANADAM36678</v>
      </c>
      <c r="Y29" s="94" t="str">
        <f t="shared" ca="1" si="10"/>
        <v>IMCANADAPHY</v>
      </c>
      <c r="AC29" s="87">
        <v>36033</v>
      </c>
      <c r="AD29" s="88" t="s">
        <v>44</v>
      </c>
      <c r="AE29" s="88" t="s">
        <v>101</v>
      </c>
      <c r="AF29" s="84" t="s">
        <v>104</v>
      </c>
      <c r="AG29" s="84" t="s">
        <v>21</v>
      </c>
      <c r="AH29" s="84" t="str">
        <f t="shared" ca="1" si="0"/>
        <v>INTRA-CAND-WEST-PRCIF-NWPL_ROCKY_M</v>
      </c>
      <c r="AJ29" s="79"/>
    </row>
    <row r="30" spans="1:36" x14ac:dyDescent="0.25">
      <c r="A30" s="87">
        <v>36691</v>
      </c>
      <c r="B30" s="84" t="s">
        <v>82</v>
      </c>
      <c r="C30" s="84" t="s">
        <v>83</v>
      </c>
      <c r="D30" s="84" t="s">
        <v>94</v>
      </c>
      <c r="E30" s="84" t="s">
        <v>51</v>
      </c>
      <c r="F30" s="84" t="s">
        <v>21</v>
      </c>
      <c r="G30" s="84" t="s">
        <v>95</v>
      </c>
      <c r="H30" s="87">
        <v>36708</v>
      </c>
      <c r="I30" s="84">
        <v>-24125966</v>
      </c>
      <c r="J30" s="82">
        <f t="shared" ca="1" si="1"/>
        <v>0</v>
      </c>
      <c r="K30" s="82" t="e">
        <f t="shared" ca="1" si="2"/>
        <v>#N/A</v>
      </c>
      <c r="L30" s="82" t="str">
        <f t="shared" ca="1" si="3"/>
        <v>AECO-CDN/IM36708</v>
      </c>
      <c r="M30" s="82">
        <f t="shared" ca="1" si="4"/>
        <v>-2412.5965999999999</v>
      </c>
      <c r="N30" s="82">
        <f t="shared" ca="1" si="5"/>
        <v>0</v>
      </c>
      <c r="O30" s="94" t="str">
        <f t="shared" ca="1" si="6"/>
        <v>PHY</v>
      </c>
      <c r="P30" s="94" t="str">
        <f ca="1">INDEX([7]Portfolios!A$3:G$929,MATCH(D30,[7]Portfolios!B$3:B$929,0),7)</f>
        <v>IMCANADA</v>
      </c>
      <c r="Q30" s="94">
        <f ca="1">IF($O30="P",INDEX('[7]Date Master'!I$3:J$332,MATCH($H30,'[7]Date Master'!I$3:I$332,0),2),0)</f>
        <v>0</v>
      </c>
      <c r="R30" s="94">
        <f ca="1">IF($O30="D",INDEX('[7]Date Master'!O$3:P$332,MATCH($H30,'[7]Date Master'!O$3:O$332,0),2),0)</f>
        <v>0</v>
      </c>
      <c r="S30" s="94">
        <f ca="1">IF($O30="PHY",INDEX('[7]Date Master'!R$3:S$332,MATCH($H30,'[7]Date Master'!R$3:R$332,0),2),0)</f>
        <v>3</v>
      </c>
      <c r="T30" s="94">
        <f ca="1">IF($O30="G",INDEX('[7]Date Master'!R$3:S$332,MATCH($H30,'[7]Date Master'!R$3:R$332,0),2),0)</f>
        <v>0</v>
      </c>
      <c r="U30" s="94">
        <f t="shared" ca="1" si="7"/>
        <v>3</v>
      </c>
      <c r="V30" s="94" t="str">
        <f t="shared" ca="1" si="8"/>
        <v>IMCANADAPHY3</v>
      </c>
      <c r="W30" s="94" t="str">
        <f ca="1">IF(ISNA(V30),"-",INDEX([7]Portfolios!A$3:H$827,MATCH(D30,[7]Portfolios!B$3:B$827,0),7)&amp;H30)</f>
        <v>IMCANADA36708</v>
      </c>
      <c r="X30" s="94" t="str">
        <f t="shared" ca="1" si="9"/>
        <v>IMCANADAM36708</v>
      </c>
      <c r="Y30" s="94" t="str">
        <f t="shared" ca="1" si="10"/>
        <v>IMCANADAPHY</v>
      </c>
      <c r="AC30" s="87">
        <v>36033</v>
      </c>
      <c r="AD30" s="88" t="s">
        <v>44</v>
      </c>
      <c r="AE30" s="84" t="s">
        <v>84</v>
      </c>
      <c r="AF30" s="84" t="s">
        <v>47</v>
      </c>
      <c r="AG30" s="84" t="s">
        <v>19</v>
      </c>
      <c r="AH30" s="84" t="str">
        <f t="shared" ca="1" si="0"/>
        <v>INTRA-CAND-WE-GD-GDLGD-AECOUS-DAILY</v>
      </c>
      <c r="AJ30" s="79"/>
    </row>
    <row r="31" spans="1:36" x14ac:dyDescent="0.25">
      <c r="A31" s="87">
        <v>36691</v>
      </c>
      <c r="B31" s="84" t="s">
        <v>82</v>
      </c>
      <c r="C31" s="84" t="s">
        <v>83</v>
      </c>
      <c r="D31" s="84" t="s">
        <v>94</v>
      </c>
      <c r="E31" s="84" t="s">
        <v>51</v>
      </c>
      <c r="F31" s="84" t="s">
        <v>21</v>
      </c>
      <c r="G31" s="84" t="s">
        <v>96</v>
      </c>
      <c r="H31" s="87">
        <v>36678</v>
      </c>
      <c r="I31" s="84">
        <v>-1143338</v>
      </c>
      <c r="J31" s="82">
        <f t="shared" ca="1" si="1"/>
        <v>0</v>
      </c>
      <c r="K31" s="82" t="e">
        <f t="shared" ca="1" si="2"/>
        <v>#N/A</v>
      </c>
      <c r="L31" s="82" t="str">
        <f t="shared" ca="1" si="3"/>
        <v>AECO-US/IM36678</v>
      </c>
      <c r="M31" s="82">
        <f t="shared" ca="1" si="4"/>
        <v>-114.3338</v>
      </c>
      <c r="N31" s="82">
        <f t="shared" ca="1" si="5"/>
        <v>0</v>
      </c>
      <c r="O31" s="94" t="str">
        <f t="shared" ca="1" si="6"/>
        <v>PHY</v>
      </c>
      <c r="P31" s="94" t="str">
        <f ca="1">INDEX([7]Portfolios!A$3:G$929,MATCH(D31,[7]Portfolios!B$3:B$929,0),7)</f>
        <v>IMCANADA</v>
      </c>
      <c r="Q31" s="94">
        <f ca="1">IF($O31="P",INDEX('[7]Date Master'!I$3:J$332,MATCH($H31,'[7]Date Master'!I$3:I$332,0),2),0)</f>
        <v>0</v>
      </c>
      <c r="R31" s="94">
        <f ca="1">IF($O31="D",INDEX('[7]Date Master'!O$3:P$332,MATCH($H31,'[7]Date Master'!O$3:O$332,0),2),0)</f>
        <v>0</v>
      </c>
      <c r="S31" s="94">
        <f ca="1">IF($O31="PHY",INDEX('[7]Date Master'!R$3:S$332,MATCH($H31,'[7]Date Master'!R$3:R$332,0),2),0)</f>
        <v>1</v>
      </c>
      <c r="T31" s="94">
        <f ca="1">IF($O31="G",INDEX('[7]Date Master'!R$3:S$332,MATCH($H31,'[7]Date Master'!R$3:R$332,0),2),0)</f>
        <v>0</v>
      </c>
      <c r="U31" s="94">
        <f t="shared" ca="1" si="7"/>
        <v>1</v>
      </c>
      <c r="V31" s="94" t="str">
        <f t="shared" ca="1" si="8"/>
        <v>IMCANADAPHY1</v>
      </c>
      <c r="W31" s="94" t="str">
        <f ca="1">IF(ISNA(V31),"-",INDEX([7]Portfolios!A$3:H$827,MATCH(D31,[7]Portfolios!B$3:B$827,0),7)&amp;H31)</f>
        <v>IMCANADA36678</v>
      </c>
      <c r="X31" s="94" t="str">
        <f t="shared" ca="1" si="9"/>
        <v>IMCANADAM36678</v>
      </c>
      <c r="Y31" s="94" t="str">
        <f t="shared" ca="1" si="10"/>
        <v>IMCANADAPHY</v>
      </c>
      <c r="AC31" s="87">
        <v>36033</v>
      </c>
      <c r="AD31" s="88" t="s">
        <v>44</v>
      </c>
      <c r="AE31" s="88" t="s">
        <v>94</v>
      </c>
      <c r="AF31" s="84" t="s">
        <v>105</v>
      </c>
      <c r="AG31" s="84" t="s">
        <v>30</v>
      </c>
      <c r="AH31" s="84" t="str">
        <f t="shared" ca="1" si="0"/>
        <v>INTRA-CAND-WEST-PHYGDC-EMPRESS/DAY</v>
      </c>
      <c r="AJ31" s="79"/>
    </row>
    <row r="32" spans="1:36" x14ac:dyDescent="0.25">
      <c r="A32" s="87">
        <v>36691</v>
      </c>
      <c r="B32" s="84" t="s">
        <v>82</v>
      </c>
      <c r="C32" s="84" t="s">
        <v>83</v>
      </c>
      <c r="D32" s="84" t="s">
        <v>94</v>
      </c>
      <c r="E32" s="84" t="s">
        <v>51</v>
      </c>
      <c r="F32" s="84" t="s">
        <v>21</v>
      </c>
      <c r="G32" s="84" t="s">
        <v>96</v>
      </c>
      <c r="H32" s="87">
        <v>36708</v>
      </c>
      <c r="I32" s="84">
        <v>8486706</v>
      </c>
      <c r="J32" s="82">
        <f t="shared" ca="1" si="1"/>
        <v>0</v>
      </c>
      <c r="K32" s="82" t="e">
        <f t="shared" ca="1" si="2"/>
        <v>#N/A</v>
      </c>
      <c r="L32" s="82" t="str">
        <f t="shared" ca="1" si="3"/>
        <v>AECO-US/IM36708</v>
      </c>
      <c r="M32" s="82">
        <f t="shared" ca="1" si="4"/>
        <v>848.67060000000004</v>
      </c>
      <c r="N32" s="82">
        <f t="shared" ca="1" si="5"/>
        <v>0</v>
      </c>
      <c r="O32" s="94" t="str">
        <f t="shared" ca="1" si="6"/>
        <v>PHY</v>
      </c>
      <c r="P32" s="94" t="str">
        <f ca="1">INDEX([7]Portfolios!A$3:G$929,MATCH(D32,[7]Portfolios!B$3:B$929,0),7)</f>
        <v>IMCANADA</v>
      </c>
      <c r="Q32" s="94">
        <f ca="1">IF($O32="P",INDEX('[7]Date Master'!I$3:J$332,MATCH($H32,'[7]Date Master'!I$3:I$332,0),2),0)</f>
        <v>0</v>
      </c>
      <c r="R32" s="94">
        <f ca="1">IF($O32="D",INDEX('[7]Date Master'!O$3:P$332,MATCH($H32,'[7]Date Master'!O$3:O$332,0),2),0)</f>
        <v>0</v>
      </c>
      <c r="S32" s="94">
        <f ca="1">IF($O32="PHY",INDEX('[7]Date Master'!R$3:S$332,MATCH($H32,'[7]Date Master'!R$3:R$332,0),2),0)</f>
        <v>3</v>
      </c>
      <c r="T32" s="94">
        <f ca="1">IF($O32="G",INDEX('[7]Date Master'!R$3:S$332,MATCH($H32,'[7]Date Master'!R$3:R$332,0),2),0)</f>
        <v>0</v>
      </c>
      <c r="U32" s="94">
        <f t="shared" ca="1" si="7"/>
        <v>3</v>
      </c>
      <c r="V32" s="94" t="str">
        <f t="shared" ca="1" si="8"/>
        <v>IMCANADAPHY3</v>
      </c>
      <c r="W32" s="94" t="str">
        <f ca="1">IF(ISNA(V32),"-",INDEX([7]Portfolios!A$3:H$827,MATCH(D32,[7]Portfolios!B$3:B$827,0),7)&amp;H32)</f>
        <v>IMCANADA36708</v>
      </c>
      <c r="X32" s="94" t="str">
        <f t="shared" ca="1" si="9"/>
        <v>IMCANADAM36708</v>
      </c>
      <c r="Y32" s="94" t="str">
        <f t="shared" ca="1" si="10"/>
        <v>IMCANADAPHY</v>
      </c>
      <c r="AC32" s="87">
        <v>36033</v>
      </c>
      <c r="AD32" s="88" t="s">
        <v>44</v>
      </c>
      <c r="AE32" s="88" t="s">
        <v>106</v>
      </c>
      <c r="AF32" s="88" t="s">
        <v>88</v>
      </c>
      <c r="AG32" s="84" t="s">
        <v>21</v>
      </c>
      <c r="AH32" s="84" t="str">
        <f t="shared" ca="1" si="0"/>
        <v>IMCAN-ERMS-XL-PRCNGMR-AECO/C</v>
      </c>
      <c r="AJ32" s="79"/>
    </row>
    <row r="33" spans="1:34" x14ac:dyDescent="0.25">
      <c r="A33" s="87">
        <v>36691</v>
      </c>
      <c r="B33" s="84" t="s">
        <v>82</v>
      </c>
      <c r="C33" s="84" t="s">
        <v>83</v>
      </c>
      <c r="D33" s="84" t="s">
        <v>94</v>
      </c>
      <c r="E33" s="84" t="s">
        <v>51</v>
      </c>
      <c r="F33" s="84" t="s">
        <v>21</v>
      </c>
      <c r="G33" s="84" t="s">
        <v>107</v>
      </c>
      <c r="H33" s="87">
        <v>36678</v>
      </c>
      <c r="I33" s="84">
        <v>8166</v>
      </c>
      <c r="J33" s="82">
        <f t="shared" ca="1" si="1"/>
        <v>0</v>
      </c>
      <c r="K33" s="82" t="e">
        <f t="shared" ca="1" si="2"/>
        <v>#N/A</v>
      </c>
      <c r="L33" s="82" t="str">
        <f t="shared" ca="1" si="3"/>
        <v>CHIPPAWA-CDN/IM36678</v>
      </c>
      <c r="M33" s="82">
        <f t="shared" ca="1" si="4"/>
        <v>0.81659999999999999</v>
      </c>
      <c r="N33" s="82">
        <f t="shared" ca="1" si="5"/>
        <v>0</v>
      </c>
      <c r="O33" s="94" t="e">
        <f t="shared" ca="1" si="6"/>
        <v>#REF!</v>
      </c>
      <c r="P33" s="94" t="str">
        <f ca="1">INDEX([7]Portfolios!A$3:G$929,MATCH(D33,[7]Portfolios!B$3:B$929,0),7)</f>
        <v>IMCANADA</v>
      </c>
      <c r="Q33" s="94" t="e">
        <f ca="1">IF($O33="P",INDEX('[7]Date Master'!I$3:J$332,MATCH($H33,'[7]Date Master'!I$3:I$332,0),2),0)</f>
        <v>#REF!</v>
      </c>
      <c r="R33" s="94" t="e">
        <f ca="1">IF($O33="D",INDEX('[7]Date Master'!O$3:P$332,MATCH($H33,'[7]Date Master'!O$3:O$332,0),2),0)</f>
        <v>#REF!</v>
      </c>
      <c r="S33" s="94" t="e">
        <f ca="1">IF($O33="PHY",INDEX('[7]Date Master'!R$3:S$332,MATCH($H33,'[7]Date Master'!R$3:R$332,0),2),0)</f>
        <v>#REF!</v>
      </c>
      <c r="T33" s="94" t="e">
        <f ca="1">IF($O33="G",INDEX('[7]Date Master'!R$3:S$332,MATCH($H33,'[7]Date Master'!R$3:R$332,0),2),0)</f>
        <v>#REF!</v>
      </c>
      <c r="U33" s="94" t="e">
        <f t="shared" ca="1" si="7"/>
        <v>#REF!</v>
      </c>
      <c r="V33" s="94" t="e">
        <f t="shared" ca="1" si="8"/>
        <v>#REF!</v>
      </c>
      <c r="W33" s="94" t="str">
        <f ca="1">IF(ISNA(V33),"-",INDEX([7]Portfolios!A$3:H$827,MATCH(D33,[7]Portfolios!B$3:B$827,0),7)&amp;H33)</f>
        <v>IMCANADA36678</v>
      </c>
      <c r="X33" s="94" t="str">
        <f t="shared" ca="1" si="9"/>
        <v>IMCANADAM36678</v>
      </c>
      <c r="Y33" s="94" t="e">
        <f t="shared" ca="1" si="10"/>
        <v>#REF!</v>
      </c>
      <c r="AC33" s="87">
        <v>36033</v>
      </c>
      <c r="AD33" s="88" t="s">
        <v>44</v>
      </c>
      <c r="AE33" s="88" t="s">
        <v>106</v>
      </c>
      <c r="AF33" s="95" t="s">
        <v>86</v>
      </c>
      <c r="AG33" s="84" t="s">
        <v>21</v>
      </c>
      <c r="AH33" s="84" t="str">
        <f t="shared" ca="1" si="0"/>
        <v>IMCAN-ERMS-XL-PRCNG</v>
      </c>
    </row>
    <row r="34" spans="1:34" x14ac:dyDescent="0.25">
      <c r="A34" s="87">
        <v>36691</v>
      </c>
      <c r="B34" s="84" t="s">
        <v>82</v>
      </c>
      <c r="C34" s="84" t="s">
        <v>83</v>
      </c>
      <c r="D34" s="84" t="s">
        <v>94</v>
      </c>
      <c r="E34" s="84" t="s">
        <v>51</v>
      </c>
      <c r="F34" s="84" t="s">
        <v>21</v>
      </c>
      <c r="G34" s="84" t="s">
        <v>107</v>
      </c>
      <c r="H34" s="87">
        <v>36708</v>
      </c>
      <c r="I34" s="84">
        <v>8396</v>
      </c>
      <c r="J34" s="82">
        <f t="shared" ca="1" si="1"/>
        <v>0</v>
      </c>
      <c r="K34" s="82" t="e">
        <f t="shared" ca="1" si="2"/>
        <v>#N/A</v>
      </c>
      <c r="L34" s="82" t="str">
        <f t="shared" ca="1" si="3"/>
        <v>CHIPPAWA-CDN/IM36708</v>
      </c>
      <c r="M34" s="82">
        <f t="shared" ca="1" si="4"/>
        <v>0.83960000000000001</v>
      </c>
      <c r="N34" s="82">
        <f t="shared" ca="1" si="5"/>
        <v>0</v>
      </c>
      <c r="O34" s="94" t="e">
        <f t="shared" ca="1" si="6"/>
        <v>#REF!</v>
      </c>
      <c r="P34" s="94" t="str">
        <f ca="1">INDEX([7]Portfolios!A$3:G$929,MATCH(D34,[7]Portfolios!B$3:B$929,0),7)</f>
        <v>IMCANADA</v>
      </c>
      <c r="Q34" s="94" t="e">
        <f ca="1">IF($O34="P",INDEX('[7]Date Master'!I$3:J$332,MATCH($H34,'[7]Date Master'!I$3:I$332,0),2),0)</f>
        <v>#REF!</v>
      </c>
      <c r="R34" s="94" t="e">
        <f ca="1">IF($O34="D",INDEX('[7]Date Master'!O$3:P$332,MATCH($H34,'[7]Date Master'!O$3:O$332,0),2),0)</f>
        <v>#REF!</v>
      </c>
      <c r="S34" s="94" t="e">
        <f ca="1">IF($O34="PHY",INDEX('[7]Date Master'!R$3:S$332,MATCH($H34,'[7]Date Master'!R$3:R$332,0),2),0)</f>
        <v>#REF!</v>
      </c>
      <c r="T34" s="94" t="e">
        <f ca="1">IF($O34="G",INDEX('[7]Date Master'!R$3:S$332,MATCH($H34,'[7]Date Master'!R$3:R$332,0),2),0)</f>
        <v>#REF!</v>
      </c>
      <c r="U34" s="94" t="e">
        <f t="shared" ca="1" si="7"/>
        <v>#REF!</v>
      </c>
      <c r="V34" s="94" t="e">
        <f t="shared" ca="1" si="8"/>
        <v>#REF!</v>
      </c>
      <c r="W34" s="94" t="str">
        <f ca="1">IF(ISNA(V34),"-",INDEX([7]Portfolios!A$3:H$827,MATCH(D34,[7]Portfolios!B$3:B$827,0),7)&amp;H34)</f>
        <v>IMCANADA36708</v>
      </c>
      <c r="X34" s="94" t="str">
        <f t="shared" ca="1" si="9"/>
        <v>IMCANADAM36708</v>
      </c>
      <c r="Y34" s="94" t="e">
        <f t="shared" ca="1" si="10"/>
        <v>#REF!</v>
      </c>
      <c r="AC34" s="87">
        <v>36033</v>
      </c>
      <c r="AD34" s="88" t="s">
        <v>44</v>
      </c>
      <c r="AE34" s="88" t="s">
        <v>106</v>
      </c>
      <c r="AF34" s="95" t="s">
        <v>63</v>
      </c>
      <c r="AG34" s="84" t="s">
        <v>21</v>
      </c>
      <c r="AH34" s="84" t="str">
        <f t="shared" ca="1" si="0"/>
        <v>IMCAN-ERMS-XL-PRCIF-NTHWST/CANBR</v>
      </c>
    </row>
    <row r="35" spans="1:34" x14ac:dyDescent="0.25">
      <c r="A35" s="87">
        <v>36691</v>
      </c>
      <c r="B35" s="84" t="s">
        <v>82</v>
      </c>
      <c r="C35" s="84" t="s">
        <v>83</v>
      </c>
      <c r="D35" s="84" t="s">
        <v>94</v>
      </c>
      <c r="E35" s="84" t="s">
        <v>51</v>
      </c>
      <c r="F35" s="84" t="s">
        <v>21</v>
      </c>
      <c r="G35" s="84" t="s">
        <v>53</v>
      </c>
      <c r="H35" s="87">
        <v>36678</v>
      </c>
      <c r="I35" s="84">
        <v>-8166</v>
      </c>
      <c r="J35" s="82">
        <f t="shared" ca="1" si="1"/>
        <v>0</v>
      </c>
      <c r="K35" s="82" t="e">
        <f t="shared" ca="1" si="2"/>
        <v>#N/A</v>
      </c>
      <c r="L35" s="82" t="str">
        <f t="shared" ca="1" si="3"/>
        <v>CHIPPAWA/IM36678</v>
      </c>
      <c r="M35" s="82">
        <f t="shared" ca="1" si="4"/>
        <v>-0.81659999999999999</v>
      </c>
      <c r="N35" s="82">
        <f t="shared" ca="1" si="5"/>
        <v>0</v>
      </c>
      <c r="O35" s="94" t="e">
        <f t="shared" ca="1" si="6"/>
        <v>#REF!</v>
      </c>
      <c r="P35" s="94" t="str">
        <f ca="1">INDEX([7]Portfolios!A$3:G$929,MATCH(D35,[7]Portfolios!B$3:B$929,0),7)</f>
        <v>IMCANADA</v>
      </c>
      <c r="Q35" s="94" t="e">
        <f ca="1">IF($O35="P",INDEX('[7]Date Master'!I$3:J$332,MATCH($H35,'[7]Date Master'!I$3:I$332,0),2),0)</f>
        <v>#REF!</v>
      </c>
      <c r="R35" s="94" t="e">
        <f ca="1">IF($O35="D",INDEX('[7]Date Master'!O$3:P$332,MATCH($H35,'[7]Date Master'!O$3:O$332,0),2),0)</f>
        <v>#REF!</v>
      </c>
      <c r="S35" s="94" t="e">
        <f ca="1">IF($O35="PHY",INDEX('[7]Date Master'!R$3:S$332,MATCH($H35,'[7]Date Master'!R$3:R$332,0),2),0)</f>
        <v>#REF!</v>
      </c>
      <c r="T35" s="94" t="e">
        <f ca="1">IF($O35="G",INDEX('[7]Date Master'!R$3:S$332,MATCH($H35,'[7]Date Master'!R$3:R$332,0),2),0)</f>
        <v>#REF!</v>
      </c>
      <c r="U35" s="94" t="e">
        <f t="shared" ca="1" si="7"/>
        <v>#REF!</v>
      </c>
      <c r="V35" s="94" t="e">
        <f t="shared" ca="1" si="8"/>
        <v>#REF!</v>
      </c>
      <c r="W35" s="94" t="str">
        <f ca="1">IF(ISNA(V35),"-",INDEX([7]Portfolios!A$3:H$827,MATCH(D35,[7]Portfolios!B$3:B$827,0),7)&amp;H35)</f>
        <v>IMCANADA36678</v>
      </c>
      <c r="X35" s="94" t="str">
        <f t="shared" ca="1" si="9"/>
        <v>IMCANADAM36678</v>
      </c>
      <c r="Y35" s="94" t="e">
        <f t="shared" ca="1" si="10"/>
        <v>#REF!</v>
      </c>
      <c r="AC35" s="87">
        <v>36033</v>
      </c>
      <c r="AD35" s="88" t="s">
        <v>44</v>
      </c>
      <c r="AE35" s="88" t="s">
        <v>106</v>
      </c>
      <c r="AF35" s="88" t="s">
        <v>90</v>
      </c>
      <c r="AG35" s="84" t="s">
        <v>21</v>
      </c>
      <c r="AH35" s="84" t="str">
        <f t="shared" ca="1" si="0"/>
        <v>IMCAN-ERMS-XL-PRCSTATION2/US$</v>
      </c>
    </row>
    <row r="36" spans="1:34" x14ac:dyDescent="0.25">
      <c r="A36" s="87">
        <v>36691</v>
      </c>
      <c r="B36" s="84" t="s">
        <v>82</v>
      </c>
      <c r="C36" s="84" t="s">
        <v>83</v>
      </c>
      <c r="D36" s="84" t="s">
        <v>94</v>
      </c>
      <c r="E36" s="84" t="s">
        <v>51</v>
      </c>
      <c r="F36" s="84" t="s">
        <v>21</v>
      </c>
      <c r="G36" s="84" t="s">
        <v>108</v>
      </c>
      <c r="H36" s="87">
        <v>36678</v>
      </c>
      <c r="I36" s="84">
        <v>731</v>
      </c>
      <c r="J36" s="82">
        <f t="shared" ca="1" si="1"/>
        <v>0</v>
      </c>
      <c r="K36" s="82" t="e">
        <f t="shared" ca="1" si="2"/>
        <v>#N/A</v>
      </c>
      <c r="L36" s="82" t="str">
        <f t="shared" ca="1" si="3"/>
        <v>EMERSON-ONT36678</v>
      </c>
      <c r="M36" s="82">
        <f t="shared" ca="1" si="4"/>
        <v>7.3099999999999998E-2</v>
      </c>
      <c r="N36" s="82">
        <f t="shared" ca="1" si="5"/>
        <v>0</v>
      </c>
      <c r="O36" s="94" t="e">
        <f t="shared" ca="1" si="6"/>
        <v>#REF!</v>
      </c>
      <c r="P36" s="94" t="str">
        <f ca="1">INDEX([7]Portfolios!A$3:G$929,MATCH(D36,[7]Portfolios!B$3:B$929,0),7)</f>
        <v>IMCANADA</v>
      </c>
      <c r="Q36" s="94" t="e">
        <f ca="1">IF($O36="P",INDEX('[7]Date Master'!I$3:J$332,MATCH($H36,'[7]Date Master'!I$3:I$332,0),2),0)</f>
        <v>#REF!</v>
      </c>
      <c r="R36" s="94" t="e">
        <f ca="1">IF($O36="D",INDEX('[7]Date Master'!O$3:P$332,MATCH($H36,'[7]Date Master'!O$3:O$332,0),2),0)</f>
        <v>#REF!</v>
      </c>
      <c r="S36" s="94" t="e">
        <f ca="1">IF($O36="PHY",INDEX('[7]Date Master'!R$3:S$332,MATCH($H36,'[7]Date Master'!R$3:R$332,0),2),0)</f>
        <v>#REF!</v>
      </c>
      <c r="T36" s="94" t="e">
        <f ca="1">IF($O36="G",INDEX('[7]Date Master'!R$3:S$332,MATCH($H36,'[7]Date Master'!R$3:R$332,0),2),0)</f>
        <v>#REF!</v>
      </c>
      <c r="U36" s="94" t="e">
        <f t="shared" ca="1" si="7"/>
        <v>#REF!</v>
      </c>
      <c r="V36" s="94" t="e">
        <f t="shared" ca="1" si="8"/>
        <v>#REF!</v>
      </c>
      <c r="W36" s="94" t="str">
        <f ca="1">IF(ISNA(V36),"-",INDEX([7]Portfolios!A$3:H$827,MATCH(D36,[7]Portfolios!B$3:B$827,0),7)&amp;H36)</f>
        <v>IMCANADA36678</v>
      </c>
      <c r="X36" s="94" t="str">
        <f t="shared" ca="1" si="9"/>
        <v>IMCANADAM36678</v>
      </c>
      <c r="Y36" s="94" t="e">
        <f t="shared" ca="1" si="10"/>
        <v>#REF!</v>
      </c>
      <c r="AC36" s="87">
        <v>36033</v>
      </c>
      <c r="AD36" s="88" t="s">
        <v>44</v>
      </c>
      <c r="AE36" s="88" t="s">
        <v>106</v>
      </c>
      <c r="AF36" s="88" t="s">
        <v>81</v>
      </c>
      <c r="AG36" s="84" t="s">
        <v>21</v>
      </c>
      <c r="AH36" s="84" t="str">
        <f t="shared" ca="1" si="0"/>
        <v>IMCAN-ERMS-XL-PRCIF-NWPL-ROCK/CA</v>
      </c>
    </row>
    <row r="37" spans="1:34" x14ac:dyDescent="0.25">
      <c r="A37" s="87">
        <v>36691</v>
      </c>
      <c r="B37" s="84" t="s">
        <v>82</v>
      </c>
      <c r="C37" s="84" t="s">
        <v>83</v>
      </c>
      <c r="D37" s="84" t="s">
        <v>94</v>
      </c>
      <c r="E37" s="84" t="s">
        <v>51</v>
      </c>
      <c r="F37" s="84" t="s">
        <v>21</v>
      </c>
      <c r="G37" s="84" t="s">
        <v>108</v>
      </c>
      <c r="H37" s="87">
        <v>36708</v>
      </c>
      <c r="I37" s="84">
        <v>752</v>
      </c>
      <c r="J37" s="82">
        <f t="shared" ca="1" si="1"/>
        <v>0</v>
      </c>
      <c r="K37" s="82" t="e">
        <f t="shared" ca="1" si="2"/>
        <v>#N/A</v>
      </c>
      <c r="L37" s="82" t="str">
        <f t="shared" ca="1" si="3"/>
        <v>EMERSON-ONT36708</v>
      </c>
      <c r="M37" s="82">
        <f t="shared" ca="1" si="4"/>
        <v>7.5200000000000003E-2</v>
      </c>
      <c r="N37" s="82">
        <f t="shared" ca="1" si="5"/>
        <v>0</v>
      </c>
      <c r="O37" s="94" t="e">
        <f t="shared" ca="1" si="6"/>
        <v>#REF!</v>
      </c>
      <c r="P37" s="94" t="str">
        <f ca="1">INDEX([7]Portfolios!A$3:G$929,MATCH(D37,[7]Portfolios!B$3:B$929,0),7)</f>
        <v>IMCANADA</v>
      </c>
      <c r="Q37" s="94" t="e">
        <f ca="1">IF($O37="P",INDEX('[7]Date Master'!I$3:J$332,MATCH($H37,'[7]Date Master'!I$3:I$332,0),2),0)</f>
        <v>#REF!</v>
      </c>
      <c r="R37" s="94" t="e">
        <f ca="1">IF($O37="D",INDEX('[7]Date Master'!O$3:P$332,MATCH($H37,'[7]Date Master'!O$3:O$332,0),2),0)</f>
        <v>#REF!</v>
      </c>
      <c r="S37" s="94" t="e">
        <f ca="1">IF($O37="PHY",INDEX('[7]Date Master'!R$3:S$332,MATCH($H37,'[7]Date Master'!R$3:R$332,0),2),0)</f>
        <v>#REF!</v>
      </c>
      <c r="T37" s="94" t="e">
        <f ca="1">IF($O37="G",INDEX('[7]Date Master'!R$3:S$332,MATCH($H37,'[7]Date Master'!R$3:R$332,0),2),0)</f>
        <v>#REF!</v>
      </c>
      <c r="U37" s="94" t="e">
        <f t="shared" ca="1" si="7"/>
        <v>#REF!</v>
      </c>
      <c r="V37" s="94" t="e">
        <f t="shared" ca="1" si="8"/>
        <v>#REF!</v>
      </c>
      <c r="W37" s="94" t="str">
        <f ca="1">IF(ISNA(V37),"-",INDEX([7]Portfolios!A$3:H$827,MATCH(D37,[7]Portfolios!B$3:B$827,0),7)&amp;H37)</f>
        <v>IMCANADA36708</v>
      </c>
      <c r="X37" s="94" t="str">
        <f t="shared" ca="1" si="9"/>
        <v>IMCANADAM36708</v>
      </c>
      <c r="Y37" s="94" t="e">
        <f t="shared" ca="1" si="10"/>
        <v>#REF!</v>
      </c>
      <c r="AC37" s="87">
        <v>36033</v>
      </c>
      <c r="AD37" s="88" t="s">
        <v>44</v>
      </c>
      <c r="AE37" s="88" t="s">
        <v>106</v>
      </c>
      <c r="AF37" s="88" t="s">
        <v>109</v>
      </c>
      <c r="AG37" s="84" t="s">
        <v>21</v>
      </c>
      <c r="AH37" s="84" t="str">
        <f t="shared" ca="1" si="0"/>
        <v>IMCAN-ERMS-XL-PRCNGI-MALIN/FP</v>
      </c>
    </row>
    <row r="38" spans="1:34" x14ac:dyDescent="0.25">
      <c r="A38" s="87">
        <v>36691</v>
      </c>
      <c r="B38" s="84" t="s">
        <v>82</v>
      </c>
      <c r="C38" s="84" t="s">
        <v>83</v>
      </c>
      <c r="D38" s="84" t="s">
        <v>94</v>
      </c>
      <c r="E38" s="84" t="s">
        <v>51</v>
      </c>
      <c r="F38" s="84" t="s">
        <v>21</v>
      </c>
      <c r="G38" s="84" t="s">
        <v>97</v>
      </c>
      <c r="H38" s="87">
        <v>36678</v>
      </c>
      <c r="I38" s="84">
        <v>2687390</v>
      </c>
      <c r="J38" s="82">
        <f t="shared" ca="1" si="1"/>
        <v>0</v>
      </c>
      <c r="K38" s="82" t="e">
        <f t="shared" ca="1" si="2"/>
        <v>#N/A</v>
      </c>
      <c r="L38" s="82" t="str">
        <f t="shared" ca="1" si="3"/>
        <v>EMPRESS-CDN/IM36678</v>
      </c>
      <c r="M38" s="82">
        <f t="shared" ca="1" si="4"/>
        <v>268.73899999999998</v>
      </c>
      <c r="N38" s="82">
        <f t="shared" ca="1" si="5"/>
        <v>0</v>
      </c>
      <c r="O38" s="94" t="str">
        <f t="shared" ca="1" si="6"/>
        <v>PHY</v>
      </c>
      <c r="P38" s="94" t="str">
        <f ca="1">INDEX([7]Portfolios!A$3:G$929,MATCH(D38,[7]Portfolios!B$3:B$929,0),7)</f>
        <v>IMCANADA</v>
      </c>
      <c r="Q38" s="94">
        <f ca="1">IF($O38="P",INDEX('[7]Date Master'!I$3:J$332,MATCH($H38,'[7]Date Master'!I$3:I$332,0),2),0)</f>
        <v>0</v>
      </c>
      <c r="R38" s="94">
        <f ca="1">IF($O38="D",INDEX('[7]Date Master'!O$3:P$332,MATCH($H38,'[7]Date Master'!O$3:O$332,0),2),0)</f>
        <v>0</v>
      </c>
      <c r="S38" s="94">
        <f ca="1">IF($O38="PHY",INDEX('[7]Date Master'!R$3:S$332,MATCH($H38,'[7]Date Master'!R$3:R$332,0),2),0)</f>
        <v>1</v>
      </c>
      <c r="T38" s="94">
        <f ca="1">IF($O38="G",INDEX('[7]Date Master'!R$3:S$332,MATCH($H38,'[7]Date Master'!R$3:R$332,0),2),0)</f>
        <v>0</v>
      </c>
      <c r="U38" s="94">
        <f t="shared" ca="1" si="7"/>
        <v>1</v>
      </c>
      <c r="V38" s="94" t="str">
        <f t="shared" ca="1" si="8"/>
        <v>IMCANADAPHY1</v>
      </c>
      <c r="W38" s="94" t="str">
        <f ca="1">IF(ISNA(V38),"-",INDEX([7]Portfolios!A$3:H$827,MATCH(D38,[7]Portfolios!B$3:B$827,0),7)&amp;H38)</f>
        <v>IMCANADA36678</v>
      </c>
      <c r="X38" s="94" t="str">
        <f t="shared" ca="1" si="9"/>
        <v>IMCANADAM36678</v>
      </c>
      <c r="Y38" s="94" t="str">
        <f t="shared" ca="1" si="10"/>
        <v>IMCANADAPHY</v>
      </c>
      <c r="AC38" s="87">
        <v>36033</v>
      </c>
      <c r="AD38" s="88" t="s">
        <v>44</v>
      </c>
      <c r="AE38" s="88" t="s">
        <v>110</v>
      </c>
      <c r="AF38" s="88" t="s">
        <v>103</v>
      </c>
      <c r="AG38" s="84" t="s">
        <v>20</v>
      </c>
      <c r="AH38" s="84" t="str">
        <f t="shared" ca="1" si="0"/>
        <v>IMCAN-ERMS-XL-BASCGPR-AECO/BASIS</v>
      </c>
    </row>
    <row r="39" spans="1:34" x14ac:dyDescent="0.25">
      <c r="A39" s="87">
        <v>36691</v>
      </c>
      <c r="B39" s="84" t="s">
        <v>82</v>
      </c>
      <c r="C39" s="84" t="s">
        <v>83</v>
      </c>
      <c r="D39" s="84" t="s">
        <v>94</v>
      </c>
      <c r="E39" s="84" t="s">
        <v>51</v>
      </c>
      <c r="F39" s="84" t="s">
        <v>21</v>
      </c>
      <c r="G39" s="84" t="s">
        <v>97</v>
      </c>
      <c r="H39" s="87">
        <v>36708</v>
      </c>
      <c r="I39" s="84">
        <v>2115613</v>
      </c>
      <c r="J39" s="82">
        <f t="shared" ca="1" si="1"/>
        <v>0</v>
      </c>
      <c r="K39" s="82" t="e">
        <f t="shared" ca="1" si="2"/>
        <v>#N/A</v>
      </c>
      <c r="L39" s="82" t="str">
        <f t="shared" ca="1" si="3"/>
        <v>EMPRESS-CDN/IM36708</v>
      </c>
      <c r="M39" s="82">
        <f t="shared" ca="1" si="4"/>
        <v>211.56129999999999</v>
      </c>
      <c r="N39" s="82">
        <f t="shared" ca="1" si="5"/>
        <v>0</v>
      </c>
      <c r="O39" s="94" t="str">
        <f t="shared" ca="1" si="6"/>
        <v>PHY</v>
      </c>
      <c r="P39" s="94" t="str">
        <f ca="1">INDEX([7]Portfolios!A$3:G$929,MATCH(D39,[7]Portfolios!B$3:B$929,0),7)</f>
        <v>IMCANADA</v>
      </c>
      <c r="Q39" s="94">
        <f ca="1">IF($O39="P",INDEX('[7]Date Master'!I$3:J$332,MATCH($H39,'[7]Date Master'!I$3:I$332,0),2),0)</f>
        <v>0</v>
      </c>
      <c r="R39" s="94">
        <f ca="1">IF($O39="D",INDEX('[7]Date Master'!O$3:P$332,MATCH($H39,'[7]Date Master'!O$3:O$332,0),2),0)</f>
        <v>0</v>
      </c>
      <c r="S39" s="94">
        <f ca="1">IF($O39="PHY",INDEX('[7]Date Master'!R$3:S$332,MATCH($H39,'[7]Date Master'!R$3:R$332,0),2),0)</f>
        <v>3</v>
      </c>
      <c r="T39" s="94">
        <f ca="1">IF($O39="G",INDEX('[7]Date Master'!R$3:S$332,MATCH($H39,'[7]Date Master'!R$3:R$332,0),2),0)</f>
        <v>0</v>
      </c>
      <c r="U39" s="94">
        <f t="shared" ca="1" si="7"/>
        <v>3</v>
      </c>
      <c r="V39" s="94" t="str">
        <f t="shared" ca="1" si="8"/>
        <v>IMCANADAPHY3</v>
      </c>
      <c r="W39" s="94" t="str">
        <f ca="1">IF(ISNA(V39),"-",INDEX([7]Portfolios!A$3:H$827,MATCH(D39,[7]Portfolios!B$3:B$827,0),7)&amp;H39)</f>
        <v>IMCANADA36708</v>
      </c>
      <c r="X39" s="94" t="str">
        <f t="shared" ca="1" si="9"/>
        <v>IMCANADAM36708</v>
      </c>
      <c r="Y39" s="94" t="str">
        <f t="shared" ca="1" si="10"/>
        <v>IMCANADAPHY</v>
      </c>
      <c r="AC39" s="87">
        <v>36033</v>
      </c>
      <c r="AD39" s="88" t="s">
        <v>44</v>
      </c>
      <c r="AE39" s="88" t="s">
        <v>111</v>
      </c>
      <c r="AF39" s="88" t="s">
        <v>57</v>
      </c>
      <c r="AG39" s="84" t="s">
        <v>19</v>
      </c>
      <c r="AH39" s="84" t="str">
        <f t="shared" ca="1" si="0"/>
        <v>IMCAN-ERMS-XL-GDLGDP-HEHUB</v>
      </c>
    </row>
    <row r="40" spans="1:34" x14ac:dyDescent="0.25">
      <c r="A40" s="84">
        <v>36691</v>
      </c>
      <c r="B40" s="84" t="s">
        <v>82</v>
      </c>
      <c r="C40" s="84" t="s">
        <v>83</v>
      </c>
      <c r="D40" s="84" t="s">
        <v>94</v>
      </c>
      <c r="E40" s="84" t="s">
        <v>51</v>
      </c>
      <c r="F40" s="84" t="s">
        <v>21</v>
      </c>
      <c r="G40" s="84" t="s">
        <v>80</v>
      </c>
      <c r="H40" s="87">
        <v>36678</v>
      </c>
      <c r="I40" s="84">
        <v>-2673969</v>
      </c>
      <c r="J40" s="82">
        <f t="shared" ref="J40:J71" ca="1" si="11">IF(ISNA(K40),0,(I40*K40))</f>
        <v>0</v>
      </c>
      <c r="K40" s="82" t="e">
        <f t="shared" ref="K40:K76" ca="1" si="12">VLOOKUP(G40,CurveTable,2,FALSE)</f>
        <v>#N/A</v>
      </c>
      <c r="L40" s="82" t="str">
        <f t="shared" ref="L40:L76" ca="1" si="13">G40&amp;H40</f>
        <v>EMPRESS-US/IM36678</v>
      </c>
      <c r="M40" s="82">
        <f t="shared" ref="M40:M76" ca="1" si="14">SUM(I40/UOM)</f>
        <v>-267.39690000000002</v>
      </c>
      <c r="N40" s="82">
        <f t="shared" ref="N40:N76" ca="1" si="15">SUM(J40/UOM)</f>
        <v>0</v>
      </c>
      <c r="O40" s="94" t="str">
        <f t="shared" ref="O40:O76" ca="1" si="16">INDEX(AG$2:AH$39,MATCH(D40&amp;G40,AH$2:AH$75,0),1)</f>
        <v>PHY</v>
      </c>
      <c r="P40" s="94" t="str">
        <f ca="1">INDEX([7]Portfolios!A$3:G$929,MATCH(D40,[7]Portfolios!B$3:B$929,0),7)</f>
        <v>IMCANADA</v>
      </c>
      <c r="Q40" s="94">
        <f ca="1">IF($O40="P",INDEX('[7]Date Master'!I$3:J$332,MATCH($H40,'[7]Date Master'!I$3:I$332,0),2),0)</f>
        <v>0</v>
      </c>
      <c r="R40" s="94">
        <f ca="1">IF($O40="D",INDEX('[7]Date Master'!O$3:P$332,MATCH($H40,'[7]Date Master'!O$3:O$332,0),2),0)</f>
        <v>0</v>
      </c>
      <c r="S40" s="94">
        <f ca="1">IF($O40="PHY",INDEX('[7]Date Master'!R$3:S$332,MATCH($H40,'[7]Date Master'!R$3:R$332,0),2),0)</f>
        <v>1</v>
      </c>
      <c r="T40" s="94">
        <f ca="1">IF($O40="G",INDEX('[7]Date Master'!R$3:S$332,MATCH($H40,'[7]Date Master'!R$3:R$332,0),2),0)</f>
        <v>0</v>
      </c>
      <c r="U40" s="94">
        <f t="shared" ref="U40:U71" ca="1" si="17">SUM(Q40:T40)</f>
        <v>1</v>
      </c>
      <c r="V40" s="94" t="str">
        <f t="shared" ref="V40:V71" ca="1" si="18">P40&amp;O40&amp;U40</f>
        <v>IMCANADAPHY1</v>
      </c>
      <c r="W40" s="94" t="str">
        <f ca="1">IF(ISNA(V40),"-",INDEX([7]Portfolios!A$3:H$827,MATCH(D40,[7]Portfolios!B$3:B$827,0),7)&amp;H40)</f>
        <v>IMCANADA36678</v>
      </c>
      <c r="X40" s="94" t="str">
        <f t="shared" ref="X40:X76" ca="1" si="19">IF(ISNA(V40),"-",P40&amp;E40&amp;H40)</f>
        <v>IMCANADAM36678</v>
      </c>
      <c r="Y40" s="94" t="str">
        <f t="shared" ref="Y40:Y76" ca="1" si="20">P40&amp;O40</f>
        <v>IMCANADAPHY</v>
      </c>
      <c r="AC40" s="87">
        <v>36033</v>
      </c>
      <c r="AD40" s="88" t="s">
        <v>44</v>
      </c>
      <c r="AE40" s="84" t="s">
        <v>101</v>
      </c>
      <c r="AF40" s="84" t="s">
        <v>115</v>
      </c>
      <c r="AG40" s="84" t="s">
        <v>21</v>
      </c>
      <c r="AH40" s="84" t="s">
        <v>116</v>
      </c>
    </row>
    <row r="41" spans="1:34" x14ac:dyDescent="0.25">
      <c r="A41" s="84">
        <v>36691</v>
      </c>
      <c r="B41" s="84" t="s">
        <v>82</v>
      </c>
      <c r="C41" s="84" t="s">
        <v>83</v>
      </c>
      <c r="D41" s="84" t="s">
        <v>94</v>
      </c>
      <c r="E41" s="84" t="s">
        <v>51</v>
      </c>
      <c r="F41" s="84" t="s">
        <v>21</v>
      </c>
      <c r="G41" s="84" t="s">
        <v>80</v>
      </c>
      <c r="H41" s="87">
        <v>36708</v>
      </c>
      <c r="I41" s="84">
        <v>-2762317</v>
      </c>
      <c r="J41" s="82">
        <f t="shared" ca="1" si="11"/>
        <v>0</v>
      </c>
      <c r="K41" s="82" t="e">
        <f t="shared" ca="1" si="12"/>
        <v>#N/A</v>
      </c>
      <c r="L41" s="82" t="str">
        <f t="shared" ca="1" si="13"/>
        <v>EMPRESS-US/IM36708</v>
      </c>
      <c r="M41" s="82">
        <f t="shared" ca="1" si="14"/>
        <v>-276.23169999999999</v>
      </c>
      <c r="N41" s="82">
        <f t="shared" ca="1" si="15"/>
        <v>0</v>
      </c>
      <c r="O41" s="94" t="str">
        <f t="shared" ca="1" si="16"/>
        <v>PHY</v>
      </c>
      <c r="P41" s="94" t="str">
        <f ca="1">INDEX([7]Portfolios!A$3:G$929,MATCH(D41,[7]Portfolios!B$3:B$929,0),7)</f>
        <v>IMCANADA</v>
      </c>
      <c r="Q41" s="94">
        <f ca="1">IF($O41="P",INDEX('[7]Date Master'!I$3:J$332,MATCH($H41,'[7]Date Master'!I$3:I$332,0),2),0)</f>
        <v>0</v>
      </c>
      <c r="R41" s="94">
        <f ca="1">IF($O41="D",INDEX('[7]Date Master'!O$3:P$332,MATCH($H41,'[7]Date Master'!O$3:O$332,0),2),0)</f>
        <v>0</v>
      </c>
      <c r="S41" s="94">
        <f ca="1">IF($O41="PHY",INDEX('[7]Date Master'!R$3:S$332,MATCH($H41,'[7]Date Master'!R$3:R$332,0),2),0)</f>
        <v>3</v>
      </c>
      <c r="T41" s="94">
        <f ca="1">IF($O41="G",INDEX('[7]Date Master'!R$3:S$332,MATCH($H41,'[7]Date Master'!R$3:R$332,0),2),0)</f>
        <v>0</v>
      </c>
      <c r="U41" s="94">
        <f t="shared" ca="1" si="17"/>
        <v>3</v>
      </c>
      <c r="V41" s="94" t="str">
        <f t="shared" ca="1" si="18"/>
        <v>IMCANADAPHY3</v>
      </c>
      <c r="W41" s="94" t="str">
        <f ca="1">IF(ISNA(V41),"-",INDEX([7]Portfolios!A$3:H$827,MATCH(D41,[7]Portfolios!B$3:B$827,0),7)&amp;H41)</f>
        <v>IMCANADA36708</v>
      </c>
      <c r="X41" s="94" t="str">
        <f t="shared" ca="1" si="19"/>
        <v>IMCANADAM36708</v>
      </c>
      <c r="Y41" s="94" t="str">
        <f t="shared" ca="1" si="20"/>
        <v>IMCANADAPHY</v>
      </c>
      <c r="AC41" s="87">
        <v>36033</v>
      </c>
      <c r="AD41" s="88" t="s">
        <v>44</v>
      </c>
      <c r="AE41" s="84" t="s">
        <v>101</v>
      </c>
      <c r="AF41" s="84" t="s">
        <v>88</v>
      </c>
      <c r="AG41" s="84" t="s">
        <v>21</v>
      </c>
      <c r="AH41" s="84" t="s">
        <v>117</v>
      </c>
    </row>
    <row r="42" spans="1:34" x14ac:dyDescent="0.25">
      <c r="A42" s="84">
        <v>36691</v>
      </c>
      <c r="B42" s="84" t="s">
        <v>82</v>
      </c>
      <c r="C42" s="84" t="s">
        <v>83</v>
      </c>
      <c r="D42" s="84" t="s">
        <v>94</v>
      </c>
      <c r="E42" s="84" t="s">
        <v>51</v>
      </c>
      <c r="F42" s="84" t="s">
        <v>21</v>
      </c>
      <c r="G42" s="84" t="s">
        <v>47</v>
      </c>
      <c r="H42" s="87">
        <v>36678</v>
      </c>
      <c r="I42" s="84">
        <v>0</v>
      </c>
      <c r="J42" s="82">
        <f t="shared" ca="1" si="11"/>
        <v>0</v>
      </c>
      <c r="K42" s="82">
        <f t="shared" ca="1" si="12"/>
        <v>-0.2</v>
      </c>
      <c r="L42" s="82" t="str">
        <f t="shared" ca="1" si="13"/>
        <v>GD-AECOUS-DAILY36678</v>
      </c>
      <c r="M42" s="82">
        <f t="shared" ca="1" si="14"/>
        <v>0</v>
      </c>
      <c r="N42" s="82">
        <f t="shared" ca="1" si="15"/>
        <v>0</v>
      </c>
      <c r="O42" s="94" t="str">
        <f t="shared" ca="1" si="16"/>
        <v>PHY</v>
      </c>
      <c r="P42" s="94" t="str">
        <f ca="1">INDEX([7]Portfolios!A$3:G$929,MATCH(D42,[7]Portfolios!B$3:B$929,0),7)</f>
        <v>IMCANADA</v>
      </c>
      <c r="Q42" s="94">
        <f ca="1">IF($O42="P",INDEX('[7]Date Master'!I$3:J$332,MATCH($H42,'[7]Date Master'!I$3:I$332,0),2),0)</f>
        <v>0</v>
      </c>
      <c r="R42" s="94">
        <f ca="1">IF($O42="D",INDEX('[7]Date Master'!O$3:P$332,MATCH($H42,'[7]Date Master'!O$3:O$332,0),2),0)</f>
        <v>0</v>
      </c>
      <c r="S42" s="94">
        <f ca="1">IF($O42="PHY",INDEX('[7]Date Master'!R$3:S$332,MATCH($H42,'[7]Date Master'!R$3:R$332,0),2),0)</f>
        <v>1</v>
      </c>
      <c r="T42" s="94">
        <f ca="1">IF($O42="G",INDEX('[7]Date Master'!R$3:S$332,MATCH($H42,'[7]Date Master'!R$3:R$332,0),2),0)</f>
        <v>0</v>
      </c>
      <c r="U42" s="94">
        <f t="shared" ca="1" si="17"/>
        <v>1</v>
      </c>
      <c r="V42" s="94" t="str">
        <f t="shared" ca="1" si="18"/>
        <v>IMCANADAPHY1</v>
      </c>
      <c r="W42" s="94" t="str">
        <f ca="1">IF(ISNA(V42),"-",INDEX([7]Portfolios!A$3:H$827,MATCH(D42,[7]Portfolios!B$3:B$827,0),7)&amp;H42)</f>
        <v>IMCANADA36678</v>
      </c>
      <c r="X42" s="94" t="str">
        <f t="shared" ca="1" si="19"/>
        <v>IMCANADAM36678</v>
      </c>
      <c r="Y42" s="94" t="str">
        <f t="shared" ca="1" si="20"/>
        <v>IMCANADAPHY</v>
      </c>
      <c r="AC42" s="87">
        <v>36033</v>
      </c>
      <c r="AD42" s="88" t="s">
        <v>44</v>
      </c>
      <c r="AE42" s="84" t="s">
        <v>101</v>
      </c>
      <c r="AF42" s="84" t="s">
        <v>114</v>
      </c>
      <c r="AG42" s="84" t="s">
        <v>21</v>
      </c>
      <c r="AH42" s="84" t="s">
        <v>118</v>
      </c>
    </row>
    <row r="43" spans="1:34" x14ac:dyDescent="0.25">
      <c r="A43" s="84">
        <v>36691</v>
      </c>
      <c r="B43" s="84" t="s">
        <v>82</v>
      </c>
      <c r="C43" s="84" t="s">
        <v>83</v>
      </c>
      <c r="D43" s="84" t="s">
        <v>94</v>
      </c>
      <c r="E43" s="84" t="s">
        <v>51</v>
      </c>
      <c r="F43" s="84" t="s">
        <v>21</v>
      </c>
      <c r="G43" s="84" t="s">
        <v>112</v>
      </c>
      <c r="H43" s="87">
        <v>36678</v>
      </c>
      <c r="I43" s="84">
        <v>-87286</v>
      </c>
      <c r="J43" s="82">
        <f t="shared" ca="1" si="11"/>
        <v>0</v>
      </c>
      <c r="K43" s="82" t="e">
        <f t="shared" ca="1" si="12"/>
        <v>#N/A</v>
      </c>
      <c r="L43" s="82" t="str">
        <f t="shared" ca="1" si="13"/>
        <v>GD-AECOUSD-DAIL36678</v>
      </c>
      <c r="M43" s="82">
        <f t="shared" ca="1" si="14"/>
        <v>-8.7286000000000001</v>
      </c>
      <c r="N43" s="82">
        <f t="shared" ca="1" si="15"/>
        <v>0</v>
      </c>
      <c r="O43" s="94" t="e">
        <f t="shared" ca="1" si="16"/>
        <v>#REF!</v>
      </c>
      <c r="P43" s="94" t="str">
        <f ca="1">INDEX([7]Portfolios!A$3:G$929,MATCH(D43,[7]Portfolios!B$3:B$929,0),7)</f>
        <v>IMCANADA</v>
      </c>
      <c r="Q43" s="94" t="e">
        <f ca="1">IF($O43="P",INDEX('[7]Date Master'!I$3:J$332,MATCH($H43,'[7]Date Master'!I$3:I$332,0),2),0)</f>
        <v>#REF!</v>
      </c>
      <c r="R43" s="94" t="e">
        <f ca="1">IF($O43="D",INDEX('[7]Date Master'!O$3:P$332,MATCH($H43,'[7]Date Master'!O$3:O$332,0),2),0)</f>
        <v>#REF!</v>
      </c>
      <c r="S43" s="94" t="e">
        <f ca="1">IF($O43="PHY",INDEX('[7]Date Master'!R$3:S$332,MATCH($H43,'[7]Date Master'!R$3:R$332,0),2),0)</f>
        <v>#REF!</v>
      </c>
      <c r="T43" s="94" t="e">
        <f ca="1">IF($O43="G",INDEX('[7]Date Master'!R$3:S$332,MATCH($H43,'[7]Date Master'!R$3:R$332,0),2),0)</f>
        <v>#REF!</v>
      </c>
      <c r="U43" s="94" t="e">
        <f t="shared" ca="1" si="17"/>
        <v>#REF!</v>
      </c>
      <c r="V43" s="94" t="e">
        <f t="shared" ca="1" si="18"/>
        <v>#REF!</v>
      </c>
      <c r="W43" s="94" t="str">
        <f ca="1">IF(ISNA(V43),"-",INDEX([7]Portfolios!A$3:H$827,MATCH(D43,[7]Portfolios!B$3:B$827,0),7)&amp;H43)</f>
        <v>IMCANADA36678</v>
      </c>
      <c r="X43" s="94" t="str">
        <f t="shared" ca="1" si="19"/>
        <v>IMCANADAM36678</v>
      </c>
      <c r="Y43" s="94" t="e">
        <f t="shared" ca="1" si="20"/>
        <v>#REF!</v>
      </c>
      <c r="AC43" s="87">
        <v>36033</v>
      </c>
      <c r="AD43" s="88" t="s">
        <v>44</v>
      </c>
      <c r="AE43" s="88" t="s">
        <v>84</v>
      </c>
      <c r="AF43" s="88" t="s">
        <v>102</v>
      </c>
      <c r="AG43" s="84" t="s">
        <v>19</v>
      </c>
      <c r="AH43" s="84" t="str">
        <f t="shared" ref="AH43:AH61" ca="1" si="21">CONCATENATE(AE43,AF43)</f>
        <v>INTRA-CAND-WE-GD-GDLGDP-KERN/OPAL</v>
      </c>
    </row>
    <row r="44" spans="1:34" x14ac:dyDescent="0.25">
      <c r="A44" s="84">
        <v>36691</v>
      </c>
      <c r="B44" s="84" t="s">
        <v>82</v>
      </c>
      <c r="C44" s="84" t="s">
        <v>83</v>
      </c>
      <c r="D44" s="84" t="s">
        <v>94</v>
      </c>
      <c r="E44" s="84" t="s">
        <v>51</v>
      </c>
      <c r="F44" s="84" t="s">
        <v>21</v>
      </c>
      <c r="G44" s="84" t="s">
        <v>46</v>
      </c>
      <c r="H44" s="87">
        <v>36678</v>
      </c>
      <c r="I44" s="84">
        <v>66482</v>
      </c>
      <c r="J44" s="82">
        <f t="shared" ca="1" si="11"/>
        <v>0</v>
      </c>
      <c r="K44" s="82" t="e">
        <f t="shared" ca="1" si="12"/>
        <v>#N/A</v>
      </c>
      <c r="L44" s="82" t="str">
        <f t="shared" ca="1" si="13"/>
        <v>GD-CGPR-AECO/AV36678</v>
      </c>
      <c r="M44" s="82">
        <f t="shared" ca="1" si="14"/>
        <v>6.6482000000000001</v>
      </c>
      <c r="N44" s="82">
        <f t="shared" ca="1" si="15"/>
        <v>0</v>
      </c>
      <c r="O44" s="94" t="str">
        <f t="shared" ca="1" si="16"/>
        <v>G</v>
      </c>
      <c r="P44" s="94" t="str">
        <f ca="1">INDEX([7]Portfolios!A$3:G$929,MATCH(D44,[7]Portfolios!B$3:B$929,0),7)</f>
        <v>IMCANADA</v>
      </c>
      <c r="Q44" s="94">
        <f ca="1">IF($O44="P",INDEX('[7]Date Master'!I$3:J$332,MATCH($H44,'[7]Date Master'!I$3:I$332,0),2),0)</f>
        <v>0</v>
      </c>
      <c r="R44" s="94">
        <f ca="1">IF($O44="D",INDEX('[7]Date Master'!O$3:P$332,MATCH($H44,'[7]Date Master'!O$3:O$332,0),2),0)</f>
        <v>0</v>
      </c>
      <c r="S44" s="94">
        <f ca="1">IF($O44="PHY",INDEX('[7]Date Master'!R$3:S$332,MATCH($H44,'[7]Date Master'!R$3:R$332,0),2),0)</f>
        <v>0</v>
      </c>
      <c r="T44" s="94">
        <f ca="1">IF($O44="G",INDEX('[7]Date Master'!R$3:S$332,MATCH($H44,'[7]Date Master'!R$3:R$332,0),2),0)</f>
        <v>1</v>
      </c>
      <c r="U44" s="94">
        <f t="shared" ca="1" si="17"/>
        <v>1</v>
      </c>
      <c r="V44" s="94" t="str">
        <f t="shared" ca="1" si="18"/>
        <v>IMCANADAG1</v>
      </c>
      <c r="W44" s="94" t="str">
        <f ca="1">IF(ISNA(V44),"-",INDEX([7]Portfolios!A$3:H$827,MATCH(D44,[7]Portfolios!B$3:B$827,0),7)&amp;H44)</f>
        <v>IMCANADA36678</v>
      </c>
      <c r="X44" s="94" t="str">
        <f t="shared" ca="1" si="19"/>
        <v>IMCANADAM36678</v>
      </c>
      <c r="Y44" s="94" t="str">
        <f t="shared" ca="1" si="20"/>
        <v>IMCANADAG</v>
      </c>
      <c r="AC44" s="87">
        <v>36034</v>
      </c>
      <c r="AD44" s="88" t="s">
        <v>44</v>
      </c>
      <c r="AE44" s="84" t="s">
        <v>94</v>
      </c>
      <c r="AF44" s="84" t="s">
        <v>107</v>
      </c>
      <c r="AG44" s="84" t="s">
        <v>30</v>
      </c>
      <c r="AH44" s="84" t="str">
        <f t="shared" ca="1" si="21"/>
        <v>INTRA-CAND-WEST-PHYCHIPPAWA-CDN/IM</v>
      </c>
    </row>
    <row r="45" spans="1:34" x14ac:dyDescent="0.25">
      <c r="A45" s="84">
        <v>36691</v>
      </c>
      <c r="B45" s="84" t="s">
        <v>82</v>
      </c>
      <c r="C45" s="84" t="s">
        <v>83</v>
      </c>
      <c r="D45" s="84" t="s">
        <v>94</v>
      </c>
      <c r="E45" s="84" t="s">
        <v>51</v>
      </c>
      <c r="F45" s="84" t="s">
        <v>21</v>
      </c>
      <c r="G45" s="84" t="s">
        <v>98</v>
      </c>
      <c r="H45" s="87">
        <v>36678</v>
      </c>
      <c r="I45" s="84">
        <v>1936723</v>
      </c>
      <c r="J45" s="82">
        <f t="shared" ca="1" si="11"/>
        <v>0</v>
      </c>
      <c r="K45" s="82" t="e">
        <f t="shared" ca="1" si="12"/>
        <v>#N/A</v>
      </c>
      <c r="L45" s="82" t="str">
        <f t="shared" ca="1" si="13"/>
        <v>GD-CGPR-AECO/DA36678</v>
      </c>
      <c r="M45" s="82">
        <f t="shared" ca="1" si="14"/>
        <v>193.67230000000001</v>
      </c>
      <c r="N45" s="82">
        <f t="shared" ca="1" si="15"/>
        <v>0</v>
      </c>
      <c r="O45" s="94" t="str">
        <f t="shared" ca="1" si="16"/>
        <v>PHY</v>
      </c>
      <c r="P45" s="94" t="str">
        <f ca="1">INDEX([7]Portfolios!A$3:G$929,MATCH(D45,[7]Portfolios!B$3:B$929,0),7)</f>
        <v>IMCANADA</v>
      </c>
      <c r="Q45" s="94">
        <f ca="1">IF($O45="P",INDEX('[7]Date Master'!I$3:J$332,MATCH($H45,'[7]Date Master'!I$3:I$332,0),2),0)</f>
        <v>0</v>
      </c>
      <c r="R45" s="94">
        <f ca="1">IF($O45="D",INDEX('[7]Date Master'!O$3:P$332,MATCH($H45,'[7]Date Master'!O$3:O$332,0),2),0)</f>
        <v>0</v>
      </c>
      <c r="S45" s="94">
        <f ca="1">IF($O45="PHY",INDEX('[7]Date Master'!R$3:S$332,MATCH($H45,'[7]Date Master'!R$3:R$332,0),2),0)</f>
        <v>1</v>
      </c>
      <c r="T45" s="94">
        <f ca="1">IF($O45="G",INDEX('[7]Date Master'!R$3:S$332,MATCH($H45,'[7]Date Master'!R$3:R$332,0),2),0)</f>
        <v>0</v>
      </c>
      <c r="U45" s="94">
        <f t="shared" ca="1" si="17"/>
        <v>1</v>
      </c>
      <c r="V45" s="94" t="str">
        <f t="shared" ca="1" si="18"/>
        <v>IMCANADAPHY1</v>
      </c>
      <c r="W45" s="94" t="str">
        <f ca="1">IF(ISNA(V45),"-",INDEX([7]Portfolios!A$3:H$827,MATCH(D45,[7]Portfolios!B$3:B$827,0),7)&amp;H45)</f>
        <v>IMCANADA36678</v>
      </c>
      <c r="X45" s="94" t="str">
        <f t="shared" ca="1" si="19"/>
        <v>IMCANADAM36678</v>
      </c>
      <c r="Y45" s="94" t="str">
        <f t="shared" ca="1" si="20"/>
        <v>IMCANADAPHY</v>
      </c>
      <c r="AC45" s="87">
        <v>36035</v>
      </c>
      <c r="AD45" s="88" t="s">
        <v>44</v>
      </c>
      <c r="AE45" s="84" t="s">
        <v>94</v>
      </c>
      <c r="AF45" s="84" t="s">
        <v>107</v>
      </c>
      <c r="AG45" s="84" t="s">
        <v>30</v>
      </c>
      <c r="AH45" s="84" t="str">
        <f t="shared" ca="1" si="21"/>
        <v>INTRA-CAND-WEST-PHYCHIPPAWA-CDN/IM</v>
      </c>
    </row>
    <row r="46" spans="1:34" x14ac:dyDescent="0.25">
      <c r="A46" s="84">
        <v>36691</v>
      </c>
      <c r="B46" s="84" t="s">
        <v>82</v>
      </c>
      <c r="C46" s="84" t="s">
        <v>83</v>
      </c>
      <c r="D46" s="84" t="s">
        <v>94</v>
      </c>
      <c r="E46" s="84" t="s">
        <v>51</v>
      </c>
      <c r="F46" s="84" t="s">
        <v>21</v>
      </c>
      <c r="G46" s="84" t="s">
        <v>105</v>
      </c>
      <c r="H46" s="87">
        <v>36678</v>
      </c>
      <c r="I46" s="84">
        <v>-2383592</v>
      </c>
      <c r="J46" s="82">
        <f t="shared" ca="1" si="11"/>
        <v>0</v>
      </c>
      <c r="K46" s="82" t="e">
        <f t="shared" ca="1" si="12"/>
        <v>#N/A</v>
      </c>
      <c r="L46" s="82" t="str">
        <f t="shared" ca="1" si="13"/>
        <v>GDC-EMPRESS/DAY36678</v>
      </c>
      <c r="M46" s="82">
        <f t="shared" ca="1" si="14"/>
        <v>-238.35919999999999</v>
      </c>
      <c r="N46" s="82">
        <f t="shared" ca="1" si="15"/>
        <v>0</v>
      </c>
      <c r="O46" s="94" t="str">
        <f t="shared" ca="1" si="16"/>
        <v>PHY</v>
      </c>
      <c r="P46" s="94" t="str">
        <f ca="1">INDEX([7]Portfolios!A$3:G$929,MATCH(D46,[7]Portfolios!B$3:B$929,0),7)</f>
        <v>IMCANADA</v>
      </c>
      <c r="Q46" s="94">
        <f ca="1">IF($O46="P",INDEX('[7]Date Master'!I$3:J$332,MATCH($H46,'[7]Date Master'!I$3:I$332,0),2),0)</f>
        <v>0</v>
      </c>
      <c r="R46" s="94">
        <f ca="1">IF($O46="D",INDEX('[7]Date Master'!O$3:P$332,MATCH($H46,'[7]Date Master'!O$3:O$332,0),2),0)</f>
        <v>0</v>
      </c>
      <c r="S46" s="94">
        <f ca="1">IF($O46="PHY",INDEX('[7]Date Master'!R$3:S$332,MATCH($H46,'[7]Date Master'!R$3:R$332,0),2),0)</f>
        <v>1</v>
      </c>
      <c r="T46" s="94">
        <f ca="1">IF($O46="G",INDEX('[7]Date Master'!R$3:S$332,MATCH($H46,'[7]Date Master'!R$3:R$332,0),2),0)</f>
        <v>0</v>
      </c>
      <c r="U46" s="94">
        <f t="shared" ca="1" si="17"/>
        <v>1</v>
      </c>
      <c r="V46" s="94" t="str">
        <f t="shared" ca="1" si="18"/>
        <v>IMCANADAPHY1</v>
      </c>
      <c r="W46" s="94" t="str">
        <f ca="1">IF(ISNA(V46),"-",INDEX([7]Portfolios!A$3:H$827,MATCH(D46,[7]Portfolios!B$3:B$827,0),7)&amp;H46)</f>
        <v>IMCANADA36678</v>
      </c>
      <c r="X46" s="94" t="str">
        <f t="shared" ca="1" si="19"/>
        <v>IMCANADAM36678</v>
      </c>
      <c r="Y46" s="94" t="str">
        <f t="shared" ca="1" si="20"/>
        <v>IMCANADAPHY</v>
      </c>
      <c r="AC46" s="87">
        <v>36036</v>
      </c>
      <c r="AD46" s="88" t="s">
        <v>44</v>
      </c>
      <c r="AE46" s="84" t="s">
        <v>94</v>
      </c>
      <c r="AF46" s="84" t="s">
        <v>53</v>
      </c>
      <c r="AG46" s="84" t="s">
        <v>30</v>
      </c>
      <c r="AH46" s="84" t="str">
        <f t="shared" ca="1" si="21"/>
        <v>INTRA-CAND-WEST-PHYCHIPPAWA/IM</v>
      </c>
    </row>
    <row r="47" spans="1:34" x14ac:dyDescent="0.25">
      <c r="A47" s="84">
        <v>36691</v>
      </c>
      <c r="B47" s="84" t="s">
        <v>82</v>
      </c>
      <c r="C47" s="84" t="s">
        <v>83</v>
      </c>
      <c r="D47" s="84" t="s">
        <v>94</v>
      </c>
      <c r="E47" s="84" t="s">
        <v>51</v>
      </c>
      <c r="F47" s="84" t="s">
        <v>21</v>
      </c>
      <c r="G47" s="84" t="s">
        <v>87</v>
      </c>
      <c r="H47" s="87">
        <v>36678</v>
      </c>
      <c r="I47" s="84">
        <v>1</v>
      </c>
      <c r="J47" s="82">
        <f t="shared" ca="1" si="11"/>
        <v>0</v>
      </c>
      <c r="K47" s="82" t="e">
        <f t="shared" ca="1" si="12"/>
        <v>#N/A</v>
      </c>
      <c r="L47" s="82" t="str">
        <f t="shared" ca="1" si="13"/>
        <v>GDM-WADDINGTON36678</v>
      </c>
      <c r="M47" s="82">
        <f t="shared" ca="1" si="14"/>
        <v>1E-4</v>
      </c>
      <c r="N47" s="82">
        <f t="shared" ca="1" si="15"/>
        <v>0</v>
      </c>
      <c r="O47" s="94" t="e">
        <f t="shared" ca="1" si="16"/>
        <v>#REF!</v>
      </c>
      <c r="P47" s="94" t="str">
        <f ca="1">INDEX([7]Portfolios!A$3:G$929,MATCH(D47,[7]Portfolios!B$3:B$929,0),7)</f>
        <v>IMCANADA</v>
      </c>
      <c r="Q47" s="94" t="e">
        <f ca="1">IF($O47="P",INDEX('[7]Date Master'!I$3:J$332,MATCH($H47,'[7]Date Master'!I$3:I$332,0),2),0)</f>
        <v>#REF!</v>
      </c>
      <c r="R47" s="94" t="e">
        <f ca="1">IF($O47="D",INDEX('[7]Date Master'!O$3:P$332,MATCH($H47,'[7]Date Master'!O$3:O$332,0),2),0)</f>
        <v>#REF!</v>
      </c>
      <c r="S47" s="94" t="e">
        <f ca="1">IF($O47="PHY",INDEX('[7]Date Master'!R$3:S$332,MATCH($H47,'[7]Date Master'!R$3:R$332,0),2),0)</f>
        <v>#REF!</v>
      </c>
      <c r="T47" s="94" t="e">
        <f ca="1">IF($O47="G",INDEX('[7]Date Master'!R$3:S$332,MATCH($H47,'[7]Date Master'!R$3:R$332,0),2),0)</f>
        <v>#REF!</v>
      </c>
      <c r="U47" s="94" t="e">
        <f t="shared" ca="1" si="17"/>
        <v>#REF!</v>
      </c>
      <c r="V47" s="94" t="e">
        <f t="shared" ca="1" si="18"/>
        <v>#REF!</v>
      </c>
      <c r="W47" s="94" t="str">
        <f ca="1">IF(ISNA(V47),"-",INDEX([7]Portfolios!A$3:H$827,MATCH(D47,[7]Portfolios!B$3:B$827,0),7)&amp;H47)</f>
        <v>IMCANADA36678</v>
      </c>
      <c r="X47" s="94" t="str">
        <f t="shared" ca="1" si="19"/>
        <v>IMCANADAM36678</v>
      </c>
      <c r="Y47" s="94" t="e">
        <f t="shared" ca="1" si="20"/>
        <v>#REF!</v>
      </c>
      <c r="AC47" s="87">
        <v>36033</v>
      </c>
      <c r="AD47" s="88" t="s">
        <v>44</v>
      </c>
      <c r="AE47" s="84" t="s">
        <v>94</v>
      </c>
      <c r="AF47" s="84" t="s">
        <v>108</v>
      </c>
      <c r="AG47" s="84" t="s">
        <v>30</v>
      </c>
      <c r="AH47" s="84" t="str">
        <f t="shared" ca="1" si="21"/>
        <v>INTRA-CAND-WEST-PHYEMERSON-ONT</v>
      </c>
    </row>
    <row r="48" spans="1:34" x14ac:dyDescent="0.25">
      <c r="A48" s="84">
        <v>36691</v>
      </c>
      <c r="B48" s="84" t="s">
        <v>82</v>
      </c>
      <c r="C48" s="84" t="s">
        <v>83</v>
      </c>
      <c r="D48" s="84" t="s">
        <v>94</v>
      </c>
      <c r="E48" s="84" t="s">
        <v>51</v>
      </c>
      <c r="F48" s="84" t="s">
        <v>21</v>
      </c>
      <c r="G48" s="84" t="s">
        <v>89</v>
      </c>
      <c r="H48" s="87">
        <v>36678</v>
      </c>
      <c r="I48" s="84">
        <v>247</v>
      </c>
      <c r="J48" s="82">
        <f t="shared" ca="1" si="11"/>
        <v>0</v>
      </c>
      <c r="K48" s="82" t="e">
        <f t="shared" ca="1" si="12"/>
        <v>#N/A</v>
      </c>
      <c r="L48" s="82" t="str">
        <f t="shared" ca="1" si="13"/>
        <v>NIAGARA/IM36678</v>
      </c>
      <c r="M48" s="82">
        <f t="shared" ca="1" si="14"/>
        <v>2.47E-2</v>
      </c>
      <c r="N48" s="82">
        <f t="shared" ca="1" si="15"/>
        <v>0</v>
      </c>
      <c r="O48" s="94" t="e">
        <f t="shared" ca="1" si="16"/>
        <v>#REF!</v>
      </c>
      <c r="P48" s="94" t="str">
        <f ca="1">INDEX([7]Portfolios!A$3:G$929,MATCH(D48,[7]Portfolios!B$3:B$929,0),7)</f>
        <v>IMCANADA</v>
      </c>
      <c r="Q48" s="94" t="e">
        <f ca="1">IF($O48="P",INDEX('[7]Date Master'!I$3:J$332,MATCH($H48,'[7]Date Master'!I$3:I$332,0),2),0)</f>
        <v>#REF!</v>
      </c>
      <c r="R48" s="94" t="e">
        <f ca="1">IF($O48="D",INDEX('[7]Date Master'!O$3:P$332,MATCH($H48,'[7]Date Master'!O$3:O$332,0),2),0)</f>
        <v>#REF!</v>
      </c>
      <c r="S48" s="94" t="e">
        <f ca="1">IF($O48="PHY",INDEX('[7]Date Master'!R$3:S$332,MATCH($H48,'[7]Date Master'!R$3:R$332,0),2),0)</f>
        <v>#REF!</v>
      </c>
      <c r="T48" s="94" t="e">
        <f ca="1">IF($O48="G",INDEX('[7]Date Master'!R$3:S$332,MATCH($H48,'[7]Date Master'!R$3:R$332,0),2),0)</f>
        <v>#REF!</v>
      </c>
      <c r="U48" s="94" t="e">
        <f t="shared" ca="1" si="17"/>
        <v>#REF!</v>
      </c>
      <c r="V48" s="94" t="e">
        <f t="shared" ca="1" si="18"/>
        <v>#REF!</v>
      </c>
      <c r="W48" s="94" t="str">
        <f ca="1">IF(ISNA(V48),"-",INDEX([7]Portfolios!A$3:H$827,MATCH(D48,[7]Portfolios!B$3:B$827,0),7)&amp;H48)</f>
        <v>IMCANADA36678</v>
      </c>
      <c r="X48" s="94" t="str">
        <f t="shared" ca="1" si="19"/>
        <v>IMCANADAM36678</v>
      </c>
      <c r="Y48" s="94" t="e">
        <f t="shared" ca="1" si="20"/>
        <v>#REF!</v>
      </c>
      <c r="AC48" s="87">
        <v>36033</v>
      </c>
      <c r="AD48" s="88" t="s">
        <v>44</v>
      </c>
      <c r="AE48" s="84" t="s">
        <v>94</v>
      </c>
      <c r="AF48" s="84" t="s">
        <v>108</v>
      </c>
      <c r="AG48" s="84" t="s">
        <v>30</v>
      </c>
      <c r="AH48" s="84" t="str">
        <f t="shared" ca="1" si="21"/>
        <v>INTRA-CAND-WEST-PHYEMERSON-ONT</v>
      </c>
    </row>
    <row r="49" spans="1:34" x14ac:dyDescent="0.25">
      <c r="A49" s="84">
        <v>36691</v>
      </c>
      <c r="B49" s="84" t="s">
        <v>82</v>
      </c>
      <c r="C49" s="84" t="s">
        <v>83</v>
      </c>
      <c r="D49" s="84" t="s">
        <v>94</v>
      </c>
      <c r="E49" s="84" t="s">
        <v>51</v>
      </c>
      <c r="F49" s="84" t="s">
        <v>21</v>
      </c>
      <c r="G49" s="84" t="s">
        <v>89</v>
      </c>
      <c r="H49" s="87">
        <v>36708</v>
      </c>
      <c r="I49" s="84">
        <v>254</v>
      </c>
      <c r="J49" s="82">
        <f t="shared" ca="1" si="11"/>
        <v>0</v>
      </c>
      <c r="K49" s="82" t="e">
        <f t="shared" ca="1" si="12"/>
        <v>#N/A</v>
      </c>
      <c r="L49" s="82" t="str">
        <f t="shared" ca="1" si="13"/>
        <v>NIAGARA/IM36708</v>
      </c>
      <c r="M49" s="82">
        <f t="shared" ca="1" si="14"/>
        <v>2.5399999999999999E-2</v>
      </c>
      <c r="N49" s="82">
        <f t="shared" ca="1" si="15"/>
        <v>0</v>
      </c>
      <c r="O49" s="94" t="e">
        <f t="shared" ca="1" si="16"/>
        <v>#REF!</v>
      </c>
      <c r="P49" s="94" t="str">
        <f ca="1">INDEX([7]Portfolios!A$3:G$929,MATCH(D49,[7]Portfolios!B$3:B$929,0),7)</f>
        <v>IMCANADA</v>
      </c>
      <c r="Q49" s="94" t="e">
        <f ca="1">IF($O49="P",INDEX('[7]Date Master'!I$3:J$332,MATCH($H49,'[7]Date Master'!I$3:I$332,0),2),0)</f>
        <v>#REF!</v>
      </c>
      <c r="R49" s="94" t="e">
        <f ca="1">IF($O49="D",INDEX('[7]Date Master'!O$3:P$332,MATCH($H49,'[7]Date Master'!O$3:O$332,0),2),0)</f>
        <v>#REF!</v>
      </c>
      <c r="S49" s="94" t="e">
        <f ca="1">IF($O49="PHY",INDEX('[7]Date Master'!R$3:S$332,MATCH($H49,'[7]Date Master'!R$3:R$332,0),2),0)</f>
        <v>#REF!</v>
      </c>
      <c r="T49" s="94" t="e">
        <f ca="1">IF($O49="G",INDEX('[7]Date Master'!R$3:S$332,MATCH($H49,'[7]Date Master'!R$3:R$332,0),2),0)</f>
        <v>#REF!</v>
      </c>
      <c r="U49" s="94" t="e">
        <f t="shared" ca="1" si="17"/>
        <v>#REF!</v>
      </c>
      <c r="V49" s="94" t="e">
        <f t="shared" ca="1" si="18"/>
        <v>#REF!</v>
      </c>
      <c r="W49" s="94" t="str">
        <f ca="1">IF(ISNA(V49),"-",INDEX([7]Portfolios!A$3:H$827,MATCH(D49,[7]Portfolios!B$3:B$827,0),7)&amp;H49)</f>
        <v>IMCANADA36708</v>
      </c>
      <c r="X49" s="94" t="str">
        <f t="shared" ca="1" si="19"/>
        <v>IMCANADAM36708</v>
      </c>
      <c r="Y49" s="94" t="e">
        <f t="shared" ca="1" si="20"/>
        <v>#REF!</v>
      </c>
      <c r="AC49" s="87">
        <v>36033</v>
      </c>
      <c r="AD49" s="88" t="s">
        <v>44</v>
      </c>
      <c r="AE49" s="84" t="s">
        <v>94</v>
      </c>
      <c r="AF49" s="84" t="s">
        <v>112</v>
      </c>
      <c r="AG49" s="84" t="s">
        <v>30</v>
      </c>
      <c r="AH49" s="84" t="str">
        <f t="shared" ca="1" si="21"/>
        <v>INTRA-CAND-WEST-PHYGD-AECOUSD-DAIL</v>
      </c>
    </row>
    <row r="50" spans="1:34" x14ac:dyDescent="0.25">
      <c r="A50" s="84">
        <v>36691</v>
      </c>
      <c r="B50" s="84" t="s">
        <v>82</v>
      </c>
      <c r="C50" s="84" t="s">
        <v>83</v>
      </c>
      <c r="D50" s="84" t="s">
        <v>94</v>
      </c>
      <c r="E50" s="84" t="s">
        <v>51</v>
      </c>
      <c r="F50" s="84" t="s">
        <v>21</v>
      </c>
      <c r="G50" s="84" t="s">
        <v>91</v>
      </c>
      <c r="H50" s="87">
        <v>36678</v>
      </c>
      <c r="I50" s="84">
        <v>-1948981</v>
      </c>
      <c r="J50" s="82">
        <f t="shared" ca="1" si="11"/>
        <v>0</v>
      </c>
      <c r="K50" s="82" t="e">
        <f t="shared" ca="1" si="12"/>
        <v>#N/A</v>
      </c>
      <c r="L50" s="82" t="str">
        <f t="shared" ca="1" si="13"/>
        <v>PARK-CDN/IM36678</v>
      </c>
      <c r="M50" s="82">
        <f t="shared" ca="1" si="14"/>
        <v>-194.8981</v>
      </c>
      <c r="N50" s="82">
        <f t="shared" ca="1" si="15"/>
        <v>0</v>
      </c>
      <c r="O50" s="94" t="e">
        <f t="shared" ca="1" si="16"/>
        <v>#REF!</v>
      </c>
      <c r="P50" s="94" t="str">
        <f ca="1">INDEX([7]Portfolios!A$3:G$929,MATCH(D50,[7]Portfolios!B$3:B$929,0),7)</f>
        <v>IMCANADA</v>
      </c>
      <c r="Q50" s="94" t="e">
        <f ca="1">IF($O50="P",INDEX('[7]Date Master'!I$3:J$332,MATCH($H50,'[7]Date Master'!I$3:I$332,0),2),0)</f>
        <v>#REF!</v>
      </c>
      <c r="R50" s="94" t="e">
        <f ca="1">IF($O50="D",INDEX('[7]Date Master'!O$3:P$332,MATCH($H50,'[7]Date Master'!O$3:O$332,0),2),0)</f>
        <v>#REF!</v>
      </c>
      <c r="S50" s="94" t="e">
        <f ca="1">IF($O50="PHY",INDEX('[7]Date Master'!R$3:S$332,MATCH($H50,'[7]Date Master'!R$3:R$332,0),2),0)</f>
        <v>#REF!</v>
      </c>
      <c r="T50" s="94" t="e">
        <f ca="1">IF($O50="G",INDEX('[7]Date Master'!R$3:S$332,MATCH($H50,'[7]Date Master'!R$3:R$332,0),2),0)</f>
        <v>#REF!</v>
      </c>
      <c r="U50" s="94" t="e">
        <f t="shared" ca="1" si="17"/>
        <v>#REF!</v>
      </c>
      <c r="V50" s="94" t="e">
        <f t="shared" ca="1" si="18"/>
        <v>#REF!</v>
      </c>
      <c r="W50" s="94" t="str">
        <f ca="1">IF(ISNA(V50),"-",INDEX([7]Portfolios!A$3:H$827,MATCH(D50,[7]Portfolios!B$3:B$827,0),7)&amp;H50)</f>
        <v>IMCANADA36678</v>
      </c>
      <c r="X50" s="94" t="str">
        <f t="shared" ca="1" si="19"/>
        <v>IMCANADAM36678</v>
      </c>
      <c r="Y50" s="94" t="e">
        <f t="shared" ca="1" si="20"/>
        <v>#REF!</v>
      </c>
      <c r="AC50" s="87">
        <v>36033</v>
      </c>
      <c r="AD50" s="88" t="s">
        <v>44</v>
      </c>
      <c r="AE50" s="84" t="s">
        <v>94</v>
      </c>
      <c r="AF50" s="84" t="s">
        <v>87</v>
      </c>
      <c r="AG50" s="84" t="s">
        <v>30</v>
      </c>
      <c r="AH50" s="84" t="str">
        <f t="shared" ca="1" si="21"/>
        <v>INTRA-CAND-WEST-PHYGDM-WADDINGTON</v>
      </c>
    </row>
    <row r="51" spans="1:34" x14ac:dyDescent="0.25">
      <c r="A51" s="84">
        <v>36691</v>
      </c>
      <c r="B51" s="84" t="s">
        <v>82</v>
      </c>
      <c r="C51" s="84" t="s">
        <v>83</v>
      </c>
      <c r="D51" s="84" t="s">
        <v>94</v>
      </c>
      <c r="E51" s="84" t="s">
        <v>51</v>
      </c>
      <c r="F51" s="84" t="s">
        <v>21</v>
      </c>
      <c r="G51" s="84" t="s">
        <v>91</v>
      </c>
      <c r="H51" s="87">
        <v>36708</v>
      </c>
      <c r="I51" s="84">
        <v>-2003842</v>
      </c>
      <c r="J51" s="82">
        <f t="shared" ca="1" si="11"/>
        <v>0</v>
      </c>
      <c r="K51" s="82" t="e">
        <f t="shared" ca="1" si="12"/>
        <v>#N/A</v>
      </c>
      <c r="L51" s="82" t="str">
        <f t="shared" ca="1" si="13"/>
        <v>PARK-CDN/IM36708</v>
      </c>
      <c r="M51" s="82">
        <f t="shared" ca="1" si="14"/>
        <v>-200.38419999999999</v>
      </c>
      <c r="N51" s="82">
        <f t="shared" ca="1" si="15"/>
        <v>0</v>
      </c>
      <c r="O51" s="94" t="e">
        <f t="shared" ca="1" si="16"/>
        <v>#REF!</v>
      </c>
      <c r="P51" s="94" t="str">
        <f ca="1">INDEX([7]Portfolios!A$3:G$929,MATCH(D51,[7]Portfolios!B$3:B$929,0),7)</f>
        <v>IMCANADA</v>
      </c>
      <c r="Q51" s="94" t="e">
        <f ca="1">IF($O51="P",INDEX('[7]Date Master'!I$3:J$332,MATCH($H51,'[7]Date Master'!I$3:I$332,0),2),0)</f>
        <v>#REF!</v>
      </c>
      <c r="R51" s="94" t="e">
        <f ca="1">IF($O51="D",INDEX('[7]Date Master'!O$3:P$332,MATCH($H51,'[7]Date Master'!O$3:O$332,0),2),0)</f>
        <v>#REF!</v>
      </c>
      <c r="S51" s="94" t="e">
        <f ca="1">IF($O51="PHY",INDEX('[7]Date Master'!R$3:S$332,MATCH($H51,'[7]Date Master'!R$3:R$332,0),2),0)</f>
        <v>#REF!</v>
      </c>
      <c r="T51" s="94" t="e">
        <f ca="1">IF($O51="G",INDEX('[7]Date Master'!R$3:S$332,MATCH($H51,'[7]Date Master'!R$3:R$332,0),2),0)</f>
        <v>#REF!</v>
      </c>
      <c r="U51" s="94" t="e">
        <f t="shared" ca="1" si="17"/>
        <v>#REF!</v>
      </c>
      <c r="V51" s="94" t="e">
        <f t="shared" ca="1" si="18"/>
        <v>#REF!</v>
      </c>
      <c r="W51" s="94" t="str">
        <f ca="1">IF(ISNA(V51),"-",INDEX([7]Portfolios!A$3:H$827,MATCH(D51,[7]Portfolios!B$3:B$827,0),7)&amp;H51)</f>
        <v>IMCANADA36708</v>
      </c>
      <c r="X51" s="94" t="str">
        <f t="shared" ca="1" si="19"/>
        <v>IMCANADAM36708</v>
      </c>
      <c r="Y51" s="94" t="e">
        <f t="shared" ca="1" si="20"/>
        <v>#REF!</v>
      </c>
      <c r="AC51" s="87">
        <v>36033</v>
      </c>
      <c r="AD51" s="88" t="s">
        <v>44</v>
      </c>
      <c r="AE51" s="84" t="s">
        <v>94</v>
      </c>
      <c r="AF51" s="84" t="s">
        <v>89</v>
      </c>
      <c r="AG51" s="84" t="s">
        <v>30</v>
      </c>
      <c r="AH51" s="84" t="str">
        <f t="shared" ca="1" si="21"/>
        <v>INTRA-CAND-WEST-PHYNIAGARA/IM</v>
      </c>
    </row>
    <row r="52" spans="1:34" x14ac:dyDescent="0.25">
      <c r="A52" s="84">
        <v>36691</v>
      </c>
      <c r="B52" s="84" t="s">
        <v>82</v>
      </c>
      <c r="C52" s="84" t="s">
        <v>83</v>
      </c>
      <c r="D52" s="84" t="s">
        <v>94</v>
      </c>
      <c r="E52" s="84" t="s">
        <v>51</v>
      </c>
      <c r="F52" s="84" t="s">
        <v>21</v>
      </c>
      <c r="G52" s="84" t="s">
        <v>92</v>
      </c>
      <c r="H52" s="87">
        <v>36678</v>
      </c>
      <c r="I52" s="84">
        <v>1945539</v>
      </c>
      <c r="J52" s="82">
        <f t="shared" ca="1" si="11"/>
        <v>0</v>
      </c>
      <c r="K52" s="82" t="e">
        <f t="shared" ca="1" si="12"/>
        <v>#N/A</v>
      </c>
      <c r="L52" s="82" t="str">
        <f t="shared" ca="1" si="13"/>
        <v>PARKWAY/IM36678</v>
      </c>
      <c r="M52" s="82">
        <f t="shared" ca="1" si="14"/>
        <v>194.5539</v>
      </c>
      <c r="N52" s="82">
        <f t="shared" ca="1" si="15"/>
        <v>0</v>
      </c>
      <c r="O52" s="94" t="e">
        <f t="shared" ca="1" si="16"/>
        <v>#REF!</v>
      </c>
      <c r="P52" s="94" t="str">
        <f ca="1">INDEX([7]Portfolios!A$3:G$929,MATCH(D52,[7]Portfolios!B$3:B$929,0),7)</f>
        <v>IMCANADA</v>
      </c>
      <c r="Q52" s="94" t="e">
        <f ca="1">IF($O52="P",INDEX('[7]Date Master'!I$3:J$332,MATCH($H52,'[7]Date Master'!I$3:I$332,0),2),0)</f>
        <v>#REF!</v>
      </c>
      <c r="R52" s="94" t="e">
        <f ca="1">IF($O52="D",INDEX('[7]Date Master'!O$3:P$332,MATCH($H52,'[7]Date Master'!O$3:O$332,0),2),0)</f>
        <v>#REF!</v>
      </c>
      <c r="S52" s="94" t="e">
        <f ca="1">IF($O52="PHY",INDEX('[7]Date Master'!R$3:S$332,MATCH($H52,'[7]Date Master'!R$3:R$332,0),2),0)</f>
        <v>#REF!</v>
      </c>
      <c r="T52" s="94" t="e">
        <f ca="1">IF($O52="G",INDEX('[7]Date Master'!R$3:S$332,MATCH($H52,'[7]Date Master'!R$3:R$332,0),2),0)</f>
        <v>#REF!</v>
      </c>
      <c r="U52" s="94" t="e">
        <f t="shared" ca="1" si="17"/>
        <v>#REF!</v>
      </c>
      <c r="V52" s="94" t="e">
        <f t="shared" ca="1" si="18"/>
        <v>#REF!</v>
      </c>
      <c r="W52" s="94" t="str">
        <f ca="1">IF(ISNA(V52),"-",INDEX([7]Portfolios!A$3:H$827,MATCH(D52,[7]Portfolios!B$3:B$827,0),7)&amp;H52)</f>
        <v>IMCANADA36678</v>
      </c>
      <c r="X52" s="94" t="str">
        <f t="shared" ca="1" si="19"/>
        <v>IMCANADAM36678</v>
      </c>
      <c r="Y52" s="94" t="e">
        <f t="shared" ca="1" si="20"/>
        <v>#REF!</v>
      </c>
      <c r="AC52" s="87">
        <v>36033</v>
      </c>
      <c r="AD52" s="88" t="s">
        <v>44</v>
      </c>
      <c r="AE52" s="84" t="s">
        <v>94</v>
      </c>
      <c r="AF52" s="84" t="s">
        <v>89</v>
      </c>
      <c r="AG52" s="84" t="s">
        <v>30</v>
      </c>
      <c r="AH52" s="84" t="str">
        <f t="shared" ca="1" si="21"/>
        <v>INTRA-CAND-WEST-PHYNIAGARA/IM</v>
      </c>
    </row>
    <row r="53" spans="1:34" x14ac:dyDescent="0.25">
      <c r="A53" s="84">
        <v>36691</v>
      </c>
      <c r="B53" s="84" t="s">
        <v>82</v>
      </c>
      <c r="C53" s="84" t="s">
        <v>83</v>
      </c>
      <c r="D53" s="84" t="s">
        <v>94</v>
      </c>
      <c r="E53" s="84" t="s">
        <v>51</v>
      </c>
      <c r="F53" s="84" t="s">
        <v>21</v>
      </c>
      <c r="G53" s="84" t="s">
        <v>92</v>
      </c>
      <c r="H53" s="87">
        <v>36708</v>
      </c>
      <c r="I53" s="84">
        <v>2003424</v>
      </c>
      <c r="J53" s="82">
        <f t="shared" ca="1" si="11"/>
        <v>0</v>
      </c>
      <c r="K53" s="82" t="e">
        <f t="shared" ca="1" si="12"/>
        <v>#N/A</v>
      </c>
      <c r="L53" s="82" t="str">
        <f t="shared" ca="1" si="13"/>
        <v>PARKWAY/IM36708</v>
      </c>
      <c r="M53" s="82">
        <f t="shared" ca="1" si="14"/>
        <v>200.3424</v>
      </c>
      <c r="N53" s="82">
        <f t="shared" ca="1" si="15"/>
        <v>0</v>
      </c>
      <c r="O53" s="94" t="e">
        <f t="shared" ca="1" si="16"/>
        <v>#REF!</v>
      </c>
      <c r="P53" s="94" t="str">
        <f ca="1">INDEX([7]Portfolios!A$3:G$929,MATCH(D53,[7]Portfolios!B$3:B$929,0),7)</f>
        <v>IMCANADA</v>
      </c>
      <c r="Q53" s="94" t="e">
        <f ca="1">IF($O53="P",INDEX('[7]Date Master'!I$3:J$332,MATCH($H53,'[7]Date Master'!I$3:I$332,0),2),0)</f>
        <v>#REF!</v>
      </c>
      <c r="R53" s="94" t="e">
        <f ca="1">IF($O53="D",INDEX('[7]Date Master'!O$3:P$332,MATCH($H53,'[7]Date Master'!O$3:O$332,0),2),0)</f>
        <v>#REF!</v>
      </c>
      <c r="S53" s="94" t="e">
        <f ca="1">IF($O53="PHY",INDEX('[7]Date Master'!R$3:S$332,MATCH($H53,'[7]Date Master'!R$3:R$332,0),2),0)</f>
        <v>#REF!</v>
      </c>
      <c r="T53" s="94" t="e">
        <f ca="1">IF($O53="G",INDEX('[7]Date Master'!R$3:S$332,MATCH($H53,'[7]Date Master'!R$3:R$332,0),2),0)</f>
        <v>#REF!</v>
      </c>
      <c r="U53" s="94" t="e">
        <f t="shared" ca="1" si="17"/>
        <v>#REF!</v>
      </c>
      <c r="V53" s="94" t="e">
        <f t="shared" ca="1" si="18"/>
        <v>#REF!</v>
      </c>
      <c r="W53" s="94" t="str">
        <f ca="1">IF(ISNA(V53),"-",INDEX([7]Portfolios!A$3:H$827,MATCH(D53,[7]Portfolios!B$3:B$827,0),7)&amp;H53)</f>
        <v>IMCANADA36708</v>
      </c>
      <c r="X53" s="94" t="str">
        <f t="shared" ca="1" si="19"/>
        <v>IMCANADAM36708</v>
      </c>
      <c r="Y53" s="94" t="e">
        <f t="shared" ca="1" si="20"/>
        <v>#REF!</v>
      </c>
      <c r="AC53" s="87">
        <v>36033</v>
      </c>
      <c r="AD53" s="88" t="s">
        <v>44</v>
      </c>
      <c r="AE53" s="84" t="s">
        <v>94</v>
      </c>
      <c r="AF53" s="84" t="s">
        <v>91</v>
      </c>
      <c r="AG53" s="84" t="s">
        <v>30</v>
      </c>
      <c r="AH53" s="84" t="str">
        <f t="shared" ca="1" si="21"/>
        <v>INTRA-CAND-WEST-PHYPARK-CDN/IM</v>
      </c>
    </row>
    <row r="54" spans="1:34" x14ac:dyDescent="0.25">
      <c r="A54" s="84">
        <v>36691</v>
      </c>
      <c r="B54" s="84" t="s">
        <v>82</v>
      </c>
      <c r="C54" s="84" t="s">
        <v>83</v>
      </c>
      <c r="D54" s="84" t="s">
        <v>94</v>
      </c>
      <c r="E54" s="84" t="s">
        <v>51</v>
      </c>
      <c r="F54" s="84" t="s">
        <v>21</v>
      </c>
      <c r="G54" s="84" t="s">
        <v>113</v>
      </c>
      <c r="H54" s="87">
        <v>36678</v>
      </c>
      <c r="I54" s="84">
        <v>0</v>
      </c>
      <c r="J54" s="82">
        <f t="shared" ca="1" si="11"/>
        <v>0</v>
      </c>
      <c r="K54" s="82" t="e">
        <f t="shared" ca="1" si="12"/>
        <v>#N/A</v>
      </c>
      <c r="L54" s="82" t="str">
        <f t="shared" ca="1" si="13"/>
        <v>ST.CLAIR/IM36678</v>
      </c>
      <c r="M54" s="82">
        <f t="shared" ca="1" si="14"/>
        <v>0</v>
      </c>
      <c r="N54" s="82">
        <f t="shared" ca="1" si="15"/>
        <v>0</v>
      </c>
      <c r="O54" s="94" t="e">
        <f t="shared" ca="1" si="16"/>
        <v>#REF!</v>
      </c>
      <c r="P54" s="94" t="str">
        <f ca="1">INDEX([7]Portfolios!A$3:G$929,MATCH(D54,[7]Portfolios!B$3:B$929,0),7)</f>
        <v>IMCANADA</v>
      </c>
      <c r="Q54" s="94" t="e">
        <f ca="1">IF($O54="P",INDEX('[7]Date Master'!I$3:J$332,MATCH($H54,'[7]Date Master'!I$3:I$332,0),2),0)</f>
        <v>#REF!</v>
      </c>
      <c r="R54" s="94" t="e">
        <f ca="1">IF($O54="D",INDEX('[7]Date Master'!O$3:P$332,MATCH($H54,'[7]Date Master'!O$3:O$332,0),2),0)</f>
        <v>#REF!</v>
      </c>
      <c r="S54" s="94" t="e">
        <f ca="1">IF($O54="PHY",INDEX('[7]Date Master'!R$3:S$332,MATCH($H54,'[7]Date Master'!R$3:R$332,0),2),0)</f>
        <v>#REF!</v>
      </c>
      <c r="T54" s="94" t="e">
        <f ca="1">IF($O54="G",INDEX('[7]Date Master'!R$3:S$332,MATCH($H54,'[7]Date Master'!R$3:R$332,0),2),0)</f>
        <v>#REF!</v>
      </c>
      <c r="U54" s="94" t="e">
        <f t="shared" ca="1" si="17"/>
        <v>#REF!</v>
      </c>
      <c r="V54" s="94" t="e">
        <f t="shared" ca="1" si="18"/>
        <v>#REF!</v>
      </c>
      <c r="W54" s="94" t="str">
        <f ca="1">IF(ISNA(V54),"-",INDEX([7]Portfolios!A$3:H$827,MATCH(D54,[7]Portfolios!B$3:B$827,0),7)&amp;H54)</f>
        <v>IMCANADA36678</v>
      </c>
      <c r="X54" s="94" t="str">
        <f t="shared" ca="1" si="19"/>
        <v>IMCANADAM36678</v>
      </c>
      <c r="Y54" s="94" t="e">
        <f t="shared" ca="1" si="20"/>
        <v>#REF!</v>
      </c>
      <c r="AC54" s="87">
        <v>36033</v>
      </c>
      <c r="AD54" s="88" t="s">
        <v>44</v>
      </c>
      <c r="AE54" s="84" t="s">
        <v>94</v>
      </c>
      <c r="AF54" s="84" t="s">
        <v>91</v>
      </c>
      <c r="AG54" s="84" t="s">
        <v>30</v>
      </c>
      <c r="AH54" s="84" t="str">
        <f t="shared" ca="1" si="21"/>
        <v>INTRA-CAND-WEST-PHYPARK-CDN/IM</v>
      </c>
    </row>
    <row r="55" spans="1:34" x14ac:dyDescent="0.25">
      <c r="A55" s="84">
        <v>36691</v>
      </c>
      <c r="B55" s="84" t="s">
        <v>82</v>
      </c>
      <c r="C55" s="84" t="s">
        <v>83</v>
      </c>
      <c r="D55" s="84" t="s">
        <v>94</v>
      </c>
      <c r="E55" s="84" t="s">
        <v>51</v>
      </c>
      <c r="F55" s="84" t="s">
        <v>21</v>
      </c>
      <c r="G55" s="84" t="s">
        <v>113</v>
      </c>
      <c r="H55" s="87">
        <v>36708</v>
      </c>
      <c r="I55" s="84">
        <v>0</v>
      </c>
      <c r="J55" s="82">
        <f t="shared" ca="1" si="11"/>
        <v>0</v>
      </c>
      <c r="K55" s="82" t="e">
        <f t="shared" ca="1" si="12"/>
        <v>#N/A</v>
      </c>
      <c r="L55" s="82" t="str">
        <f t="shared" ca="1" si="13"/>
        <v>ST.CLAIR/IM36708</v>
      </c>
      <c r="M55" s="82">
        <f t="shared" ca="1" si="14"/>
        <v>0</v>
      </c>
      <c r="N55" s="82">
        <f t="shared" ca="1" si="15"/>
        <v>0</v>
      </c>
      <c r="O55" s="94" t="e">
        <f t="shared" ca="1" si="16"/>
        <v>#REF!</v>
      </c>
      <c r="P55" s="94" t="str">
        <f ca="1">INDEX([7]Portfolios!A$3:G$929,MATCH(D55,[7]Portfolios!B$3:B$929,0),7)</f>
        <v>IMCANADA</v>
      </c>
      <c r="Q55" s="94" t="e">
        <f ca="1">IF($O55="P",INDEX('[7]Date Master'!I$3:J$332,MATCH($H55,'[7]Date Master'!I$3:I$332,0),2),0)</f>
        <v>#REF!</v>
      </c>
      <c r="R55" s="94" t="e">
        <f ca="1">IF($O55="D",INDEX('[7]Date Master'!O$3:P$332,MATCH($H55,'[7]Date Master'!O$3:O$332,0),2),0)</f>
        <v>#REF!</v>
      </c>
      <c r="S55" s="94" t="e">
        <f ca="1">IF($O55="PHY",INDEX('[7]Date Master'!R$3:S$332,MATCH($H55,'[7]Date Master'!R$3:R$332,0),2),0)</f>
        <v>#REF!</v>
      </c>
      <c r="T55" s="94" t="e">
        <f ca="1">IF($O55="G",INDEX('[7]Date Master'!R$3:S$332,MATCH($H55,'[7]Date Master'!R$3:R$332,0),2),0)</f>
        <v>#REF!</v>
      </c>
      <c r="U55" s="94" t="e">
        <f t="shared" ca="1" si="17"/>
        <v>#REF!</v>
      </c>
      <c r="V55" s="94" t="e">
        <f t="shared" ca="1" si="18"/>
        <v>#REF!</v>
      </c>
      <c r="W55" s="94" t="str">
        <f ca="1">IF(ISNA(V55),"-",INDEX([7]Portfolios!A$3:H$827,MATCH(D55,[7]Portfolios!B$3:B$827,0),7)&amp;H55)</f>
        <v>IMCANADA36708</v>
      </c>
      <c r="X55" s="94" t="str">
        <f t="shared" ca="1" si="19"/>
        <v>IMCANADAM36708</v>
      </c>
      <c r="Y55" s="94" t="e">
        <f t="shared" ca="1" si="20"/>
        <v>#REF!</v>
      </c>
      <c r="AC55" s="87">
        <v>36033</v>
      </c>
      <c r="AD55" s="88" t="s">
        <v>44</v>
      </c>
      <c r="AE55" s="84" t="s">
        <v>94</v>
      </c>
      <c r="AF55" s="84" t="s">
        <v>92</v>
      </c>
      <c r="AG55" s="84" t="s">
        <v>30</v>
      </c>
      <c r="AH55" s="84" t="str">
        <f t="shared" ca="1" si="21"/>
        <v>INTRA-CAND-WEST-PHYPARKWAY/IM</v>
      </c>
    </row>
    <row r="56" spans="1:34" x14ac:dyDescent="0.25">
      <c r="A56" s="84">
        <v>36691</v>
      </c>
      <c r="B56" s="84" t="s">
        <v>82</v>
      </c>
      <c r="C56" s="84" t="s">
        <v>83</v>
      </c>
      <c r="D56" s="84" t="s">
        <v>94</v>
      </c>
      <c r="E56" s="84" t="s">
        <v>51</v>
      </c>
      <c r="F56" s="84" t="s">
        <v>21</v>
      </c>
      <c r="G56" s="84" t="s">
        <v>93</v>
      </c>
      <c r="H56" s="87">
        <v>36678</v>
      </c>
      <c r="I56" s="84">
        <v>939</v>
      </c>
      <c r="J56" s="82">
        <f t="shared" ca="1" si="11"/>
        <v>0</v>
      </c>
      <c r="K56" s="82" t="e">
        <f t="shared" ca="1" si="12"/>
        <v>#N/A</v>
      </c>
      <c r="L56" s="82" t="str">
        <f t="shared" ca="1" si="13"/>
        <v>WADDINGTON/IM36678</v>
      </c>
      <c r="M56" s="82">
        <f t="shared" ca="1" si="14"/>
        <v>9.3899999999999997E-2</v>
      </c>
      <c r="N56" s="82">
        <f t="shared" ca="1" si="15"/>
        <v>0</v>
      </c>
      <c r="O56" s="94" t="e">
        <f t="shared" ca="1" si="16"/>
        <v>#REF!</v>
      </c>
      <c r="P56" s="94" t="str">
        <f ca="1">INDEX([7]Portfolios!A$3:G$929,MATCH(D56,[7]Portfolios!B$3:B$929,0),7)</f>
        <v>IMCANADA</v>
      </c>
      <c r="Q56" s="94" t="e">
        <f ca="1">IF($O56="P",INDEX('[7]Date Master'!I$3:J$332,MATCH($H56,'[7]Date Master'!I$3:I$332,0),2),0)</f>
        <v>#REF!</v>
      </c>
      <c r="R56" s="94" t="e">
        <f ca="1">IF($O56="D",INDEX('[7]Date Master'!O$3:P$332,MATCH($H56,'[7]Date Master'!O$3:O$332,0),2),0)</f>
        <v>#REF!</v>
      </c>
      <c r="S56" s="94" t="e">
        <f ca="1">IF($O56="PHY",INDEX('[7]Date Master'!R$3:S$332,MATCH($H56,'[7]Date Master'!R$3:R$332,0),2),0)</f>
        <v>#REF!</v>
      </c>
      <c r="T56" s="94" t="e">
        <f ca="1">IF($O56="G",INDEX('[7]Date Master'!R$3:S$332,MATCH($H56,'[7]Date Master'!R$3:R$332,0),2),0)</f>
        <v>#REF!</v>
      </c>
      <c r="U56" s="94" t="e">
        <f t="shared" ca="1" si="17"/>
        <v>#REF!</v>
      </c>
      <c r="V56" s="94" t="e">
        <f t="shared" ca="1" si="18"/>
        <v>#REF!</v>
      </c>
      <c r="W56" s="94" t="str">
        <f ca="1">IF(ISNA(V56),"-",INDEX([7]Portfolios!A$3:H$827,MATCH(D56,[7]Portfolios!B$3:B$827,0),7)&amp;H56)</f>
        <v>IMCANADA36678</v>
      </c>
      <c r="X56" s="94" t="str">
        <f t="shared" ca="1" si="19"/>
        <v>IMCANADAM36678</v>
      </c>
      <c r="Y56" s="94" t="e">
        <f t="shared" ca="1" si="20"/>
        <v>#REF!</v>
      </c>
      <c r="AC56" s="87">
        <v>36033</v>
      </c>
      <c r="AD56" s="88" t="s">
        <v>44</v>
      </c>
      <c r="AE56" s="84" t="s">
        <v>94</v>
      </c>
      <c r="AF56" s="84" t="s">
        <v>92</v>
      </c>
      <c r="AG56" s="84" t="s">
        <v>30</v>
      </c>
      <c r="AH56" s="84" t="str">
        <f t="shared" ca="1" si="21"/>
        <v>INTRA-CAND-WEST-PHYPARKWAY/IM</v>
      </c>
    </row>
    <row r="57" spans="1:34" x14ac:dyDescent="0.25">
      <c r="A57" s="84">
        <v>36691</v>
      </c>
      <c r="B57" s="84" t="s">
        <v>82</v>
      </c>
      <c r="C57" s="84" t="s">
        <v>83</v>
      </c>
      <c r="D57" s="84" t="s">
        <v>94</v>
      </c>
      <c r="E57" s="84" t="s">
        <v>51</v>
      </c>
      <c r="F57" s="84" t="s">
        <v>21</v>
      </c>
      <c r="G57" s="84" t="s">
        <v>93</v>
      </c>
      <c r="H57" s="87">
        <v>36708</v>
      </c>
      <c r="I57" s="84">
        <v>1056</v>
      </c>
      <c r="J57" s="82">
        <f t="shared" ca="1" si="11"/>
        <v>0</v>
      </c>
      <c r="K57" s="82" t="e">
        <f t="shared" ca="1" si="12"/>
        <v>#N/A</v>
      </c>
      <c r="L57" s="82" t="str">
        <f t="shared" ca="1" si="13"/>
        <v>WADDINGTON/IM36708</v>
      </c>
      <c r="M57" s="82">
        <f t="shared" ca="1" si="14"/>
        <v>0.1056</v>
      </c>
      <c r="N57" s="82">
        <f t="shared" ca="1" si="15"/>
        <v>0</v>
      </c>
      <c r="O57" s="94" t="e">
        <f t="shared" ca="1" si="16"/>
        <v>#REF!</v>
      </c>
      <c r="P57" s="94" t="str">
        <f ca="1">INDEX([7]Portfolios!A$3:G$929,MATCH(D57,[7]Portfolios!B$3:B$929,0),7)</f>
        <v>IMCANADA</v>
      </c>
      <c r="Q57" s="94" t="e">
        <f ca="1">IF($O57="P",INDEX('[7]Date Master'!I$3:J$332,MATCH($H57,'[7]Date Master'!I$3:I$332,0),2),0)</f>
        <v>#REF!</v>
      </c>
      <c r="R57" s="94" t="e">
        <f ca="1">IF($O57="D",INDEX('[7]Date Master'!O$3:P$332,MATCH($H57,'[7]Date Master'!O$3:O$332,0),2),0)</f>
        <v>#REF!</v>
      </c>
      <c r="S57" s="94" t="e">
        <f ca="1">IF($O57="PHY",INDEX('[7]Date Master'!R$3:S$332,MATCH($H57,'[7]Date Master'!R$3:R$332,0),2),0)</f>
        <v>#REF!</v>
      </c>
      <c r="T57" s="94" t="e">
        <f ca="1">IF($O57="G",INDEX('[7]Date Master'!R$3:S$332,MATCH($H57,'[7]Date Master'!R$3:R$332,0),2),0)</f>
        <v>#REF!</v>
      </c>
      <c r="U57" s="94" t="e">
        <f t="shared" ca="1" si="17"/>
        <v>#REF!</v>
      </c>
      <c r="V57" s="94" t="e">
        <f t="shared" ca="1" si="18"/>
        <v>#REF!</v>
      </c>
      <c r="W57" s="94" t="str">
        <f ca="1">IF(ISNA(V57),"-",INDEX([7]Portfolios!A$3:H$827,MATCH(D57,[7]Portfolios!B$3:B$827,0),7)&amp;H57)</f>
        <v>IMCANADA36708</v>
      </c>
      <c r="X57" s="94" t="str">
        <f t="shared" ca="1" si="19"/>
        <v>IMCANADAM36708</v>
      </c>
      <c r="Y57" s="94" t="e">
        <f t="shared" ca="1" si="20"/>
        <v>#REF!</v>
      </c>
      <c r="AC57" s="87">
        <v>36033</v>
      </c>
      <c r="AD57" s="88" t="s">
        <v>44</v>
      </c>
      <c r="AE57" s="84" t="s">
        <v>94</v>
      </c>
      <c r="AF57" s="84" t="s">
        <v>113</v>
      </c>
      <c r="AG57" s="84" t="s">
        <v>30</v>
      </c>
      <c r="AH57" s="84" t="str">
        <f t="shared" ca="1" si="21"/>
        <v>INTRA-CAND-WEST-PHYST.CLAIR/IM</v>
      </c>
    </row>
    <row r="58" spans="1:34" x14ac:dyDescent="0.25">
      <c r="A58" s="84">
        <v>36691</v>
      </c>
      <c r="B58" s="84" t="s">
        <v>82</v>
      </c>
      <c r="C58" s="84" t="s">
        <v>83</v>
      </c>
      <c r="D58" s="84" t="s">
        <v>101</v>
      </c>
      <c r="E58" s="84" t="s">
        <v>21</v>
      </c>
      <c r="G58" s="84" t="s">
        <v>103</v>
      </c>
      <c r="H58" s="87">
        <v>36678</v>
      </c>
      <c r="I58" s="84">
        <v>-4632565</v>
      </c>
      <c r="J58" s="82">
        <f t="shared" ca="1" si="11"/>
        <v>0</v>
      </c>
      <c r="K58" s="82" t="e">
        <f t="shared" ca="1" si="12"/>
        <v>#N/A</v>
      </c>
      <c r="L58" s="82" t="str">
        <f t="shared" ca="1" si="13"/>
        <v>CGPR-AECO/BASIS36678</v>
      </c>
      <c r="M58" s="82">
        <f t="shared" ca="1" si="14"/>
        <v>-463.25650000000002</v>
      </c>
      <c r="N58" s="82">
        <f t="shared" ca="1" si="15"/>
        <v>0</v>
      </c>
      <c r="O58" s="94" t="str">
        <f t="shared" ca="1" si="16"/>
        <v>P</v>
      </c>
      <c r="P58" s="94" t="str">
        <f ca="1">INDEX([7]Portfolios!A$3:G$929,MATCH(D58,[7]Portfolios!B$3:B$929,0),7)</f>
        <v>IMCANADA</v>
      </c>
      <c r="Q58" s="94" t="e">
        <f ca="1">IF($O58="P",INDEX('[7]Date Master'!I$3:J$332,MATCH($H58,'[7]Date Master'!I$3:I$332,0),2),0)</f>
        <v>#N/A</v>
      </c>
      <c r="R58" s="94">
        <f ca="1">IF($O58="D",INDEX('[7]Date Master'!O$3:P$332,MATCH($H58,'[7]Date Master'!O$3:O$332,0),2),0)</f>
        <v>0</v>
      </c>
      <c r="S58" s="94">
        <f ca="1">IF($O58="PHY",INDEX('[7]Date Master'!R$3:S$332,MATCH($H58,'[7]Date Master'!R$3:R$332,0),2),0)</f>
        <v>0</v>
      </c>
      <c r="T58" s="94">
        <f ca="1">IF($O58="G",INDEX('[7]Date Master'!R$3:S$332,MATCH($H58,'[7]Date Master'!R$3:R$332,0),2),0)</f>
        <v>0</v>
      </c>
      <c r="U58" s="94" t="e">
        <f t="shared" ca="1" si="17"/>
        <v>#N/A</v>
      </c>
      <c r="V58" s="94" t="e">
        <f t="shared" ca="1" si="18"/>
        <v>#N/A</v>
      </c>
      <c r="W58" s="94" t="str">
        <f ca="1">IF(ISNA(V58),"-",INDEX([7]Portfolios!A$3:H$827,MATCH(D58,[7]Portfolios!B$3:B$827,0),7)&amp;H58)</f>
        <v>-</v>
      </c>
      <c r="X58" s="94" t="str">
        <f t="shared" ca="1" si="19"/>
        <v>-</v>
      </c>
      <c r="Y58" s="94" t="str">
        <f t="shared" ca="1" si="20"/>
        <v>IMCANADAP</v>
      </c>
      <c r="AC58" s="87">
        <v>36034</v>
      </c>
      <c r="AD58" s="88" t="s">
        <v>44</v>
      </c>
      <c r="AE58" s="84" t="s">
        <v>94</v>
      </c>
      <c r="AF58" s="84" t="s">
        <v>113</v>
      </c>
      <c r="AG58" s="84" t="s">
        <v>30</v>
      </c>
      <c r="AH58" s="84" t="str">
        <f t="shared" ca="1" si="21"/>
        <v>INTRA-CAND-WEST-PHYST.CLAIR/IM</v>
      </c>
    </row>
    <row r="59" spans="1:34" x14ac:dyDescent="0.25">
      <c r="A59" s="84">
        <v>36691</v>
      </c>
      <c r="B59" s="84" t="s">
        <v>82</v>
      </c>
      <c r="C59" s="84" t="s">
        <v>83</v>
      </c>
      <c r="D59" s="84" t="s">
        <v>101</v>
      </c>
      <c r="E59" s="84" t="s">
        <v>21</v>
      </c>
      <c r="G59" s="84" t="s">
        <v>103</v>
      </c>
      <c r="H59" s="87">
        <v>36708</v>
      </c>
      <c r="I59" s="84">
        <v>-535433</v>
      </c>
      <c r="J59" s="82">
        <f t="shared" ca="1" si="11"/>
        <v>0</v>
      </c>
      <c r="K59" s="82" t="e">
        <f t="shared" ca="1" si="12"/>
        <v>#N/A</v>
      </c>
      <c r="L59" s="82" t="str">
        <f t="shared" ca="1" si="13"/>
        <v>CGPR-AECO/BASIS36708</v>
      </c>
      <c r="M59" s="82">
        <f t="shared" ca="1" si="14"/>
        <v>-53.543300000000002</v>
      </c>
      <c r="N59" s="82">
        <f t="shared" ca="1" si="15"/>
        <v>0</v>
      </c>
      <c r="O59" s="94" t="str">
        <f t="shared" ca="1" si="16"/>
        <v>P</v>
      </c>
      <c r="P59" s="94" t="str">
        <f ca="1">INDEX([7]Portfolios!A$3:G$929,MATCH(D59,[7]Portfolios!B$3:B$929,0),7)</f>
        <v>IMCANADA</v>
      </c>
      <c r="Q59" s="94">
        <f ca="1">IF($O59="P",INDEX('[7]Date Master'!I$3:J$332,MATCH($H59,'[7]Date Master'!I$3:I$332,0),2),0)</f>
        <v>3</v>
      </c>
      <c r="R59" s="94">
        <f ca="1">IF($O59="D",INDEX('[7]Date Master'!O$3:P$332,MATCH($H59,'[7]Date Master'!O$3:O$332,0),2),0)</f>
        <v>0</v>
      </c>
      <c r="S59" s="94">
        <f ca="1">IF($O59="PHY",INDEX('[7]Date Master'!R$3:S$332,MATCH($H59,'[7]Date Master'!R$3:R$332,0),2),0)</f>
        <v>0</v>
      </c>
      <c r="T59" s="94">
        <f ca="1">IF($O59="G",INDEX('[7]Date Master'!R$3:S$332,MATCH($H59,'[7]Date Master'!R$3:R$332,0),2),0)</f>
        <v>0</v>
      </c>
      <c r="U59" s="94">
        <f t="shared" ca="1" si="17"/>
        <v>3</v>
      </c>
      <c r="V59" s="94" t="str">
        <f t="shared" ca="1" si="18"/>
        <v>IMCANADAP3</v>
      </c>
      <c r="W59" s="94" t="str">
        <f ca="1">IF(ISNA(V59),"-",INDEX([7]Portfolios!A$3:H$827,MATCH(D59,[7]Portfolios!B$3:B$827,0),7)&amp;H59)</f>
        <v>IMCANADA36708</v>
      </c>
      <c r="X59" s="94" t="str">
        <f t="shared" ca="1" si="19"/>
        <v>IMCANADAP36708</v>
      </c>
      <c r="Y59" s="94" t="str">
        <f t="shared" ca="1" si="20"/>
        <v>IMCANADAP</v>
      </c>
      <c r="AC59" s="87">
        <v>36035</v>
      </c>
      <c r="AD59" s="88" t="s">
        <v>44</v>
      </c>
      <c r="AE59" s="84" t="s">
        <v>94</v>
      </c>
      <c r="AF59" s="84" t="s">
        <v>93</v>
      </c>
      <c r="AG59" s="84" t="s">
        <v>30</v>
      </c>
      <c r="AH59" s="84" t="str">
        <f t="shared" ca="1" si="21"/>
        <v>INTRA-CAND-WEST-PHYWADDINGTON/IM</v>
      </c>
    </row>
    <row r="60" spans="1:34" x14ac:dyDescent="0.25">
      <c r="A60" s="84">
        <v>36691</v>
      </c>
      <c r="B60" s="84" t="s">
        <v>82</v>
      </c>
      <c r="C60" s="84" t="s">
        <v>83</v>
      </c>
      <c r="D60" s="84" t="s">
        <v>101</v>
      </c>
      <c r="E60" s="84" t="s">
        <v>21</v>
      </c>
      <c r="G60" s="84" t="s">
        <v>103</v>
      </c>
      <c r="H60" s="87">
        <v>36739</v>
      </c>
      <c r="I60" s="84">
        <v>295222</v>
      </c>
      <c r="J60" s="82">
        <f t="shared" ca="1" si="11"/>
        <v>0</v>
      </c>
      <c r="K60" s="82" t="e">
        <f t="shared" ca="1" si="12"/>
        <v>#N/A</v>
      </c>
      <c r="L60" s="82" t="str">
        <f t="shared" ca="1" si="13"/>
        <v>CGPR-AECO/BASIS36739</v>
      </c>
      <c r="M60" s="82">
        <f t="shared" ca="1" si="14"/>
        <v>29.522200000000002</v>
      </c>
      <c r="N60" s="82">
        <f t="shared" ca="1" si="15"/>
        <v>0</v>
      </c>
      <c r="O60" s="94" t="str">
        <f t="shared" ca="1" si="16"/>
        <v>P</v>
      </c>
      <c r="P60" s="94" t="str">
        <f ca="1">INDEX([7]Portfolios!A$3:G$929,MATCH(D60,[7]Portfolios!B$3:B$929,0),7)</f>
        <v>IMCANADA</v>
      </c>
      <c r="Q60" s="94">
        <f ca="1">IF($O60="P",INDEX('[7]Date Master'!I$3:J$332,MATCH($H60,'[7]Date Master'!I$3:I$332,0),2),0)</f>
        <v>4</v>
      </c>
      <c r="R60" s="94">
        <f ca="1">IF($O60="D",INDEX('[7]Date Master'!O$3:P$332,MATCH($H60,'[7]Date Master'!O$3:O$332,0),2),0)</f>
        <v>0</v>
      </c>
      <c r="S60" s="94">
        <f ca="1">IF($O60="PHY",INDEX('[7]Date Master'!R$3:S$332,MATCH($H60,'[7]Date Master'!R$3:R$332,0),2),0)</f>
        <v>0</v>
      </c>
      <c r="T60" s="94">
        <f ca="1">IF($O60="G",INDEX('[7]Date Master'!R$3:S$332,MATCH($H60,'[7]Date Master'!R$3:R$332,0),2),0)</f>
        <v>0</v>
      </c>
      <c r="U60" s="94">
        <f t="shared" ca="1" si="17"/>
        <v>4</v>
      </c>
      <c r="V60" s="94" t="str">
        <f t="shared" ca="1" si="18"/>
        <v>IMCANADAP4</v>
      </c>
      <c r="W60" s="94" t="str">
        <f ca="1">IF(ISNA(V60),"-",INDEX([7]Portfolios!A$3:H$827,MATCH(D60,[7]Portfolios!B$3:B$827,0),7)&amp;H60)</f>
        <v>IMCANADA36739</v>
      </c>
      <c r="X60" s="94" t="str">
        <f t="shared" ca="1" si="19"/>
        <v>IMCANADAP36739</v>
      </c>
      <c r="Y60" s="94" t="str">
        <f t="shared" ca="1" si="20"/>
        <v>IMCANADAP</v>
      </c>
      <c r="AC60" s="87">
        <v>36036</v>
      </c>
      <c r="AD60" s="88" t="s">
        <v>44</v>
      </c>
      <c r="AE60" s="84" t="s">
        <v>94</v>
      </c>
      <c r="AF60" s="84" t="s">
        <v>93</v>
      </c>
      <c r="AG60" s="84" t="s">
        <v>30</v>
      </c>
      <c r="AH60" s="84" t="str">
        <f t="shared" ca="1" si="21"/>
        <v>INTRA-CAND-WEST-PHYWADDINGTON/IM</v>
      </c>
    </row>
    <row r="61" spans="1:34" x14ac:dyDescent="0.25">
      <c r="A61" s="84">
        <v>36691</v>
      </c>
      <c r="B61" s="84" t="s">
        <v>82</v>
      </c>
      <c r="C61" s="84" t="s">
        <v>83</v>
      </c>
      <c r="D61" s="84" t="s">
        <v>101</v>
      </c>
      <c r="E61" s="84" t="s">
        <v>21</v>
      </c>
      <c r="G61" s="84" t="s">
        <v>103</v>
      </c>
      <c r="H61" s="87">
        <v>36770</v>
      </c>
      <c r="I61" s="84">
        <v>284258</v>
      </c>
      <c r="J61" s="82">
        <f t="shared" ca="1" si="11"/>
        <v>0</v>
      </c>
      <c r="K61" s="82" t="e">
        <f t="shared" ca="1" si="12"/>
        <v>#N/A</v>
      </c>
      <c r="L61" s="82" t="str">
        <f t="shared" ca="1" si="13"/>
        <v>CGPR-AECO/BASIS36770</v>
      </c>
      <c r="M61" s="82">
        <f t="shared" ca="1" si="14"/>
        <v>28.425799999999999</v>
      </c>
      <c r="N61" s="82">
        <f t="shared" ca="1" si="15"/>
        <v>0</v>
      </c>
      <c r="O61" s="94" t="str">
        <f t="shared" ca="1" si="16"/>
        <v>P</v>
      </c>
      <c r="P61" s="94" t="str">
        <f ca="1">INDEX([7]Portfolios!A$3:G$929,MATCH(D61,[7]Portfolios!B$3:B$929,0),7)</f>
        <v>IMCANADA</v>
      </c>
      <c r="Q61" s="94">
        <f ca="1">IF($O61="P",INDEX('[7]Date Master'!I$3:J$332,MATCH($H61,'[7]Date Master'!I$3:I$332,0),2),0)</f>
        <v>5</v>
      </c>
      <c r="R61" s="94">
        <f ca="1">IF($O61="D",INDEX('[7]Date Master'!O$3:P$332,MATCH($H61,'[7]Date Master'!O$3:O$332,0),2),0)</f>
        <v>0</v>
      </c>
      <c r="S61" s="94">
        <f ca="1">IF($O61="PHY",INDEX('[7]Date Master'!R$3:S$332,MATCH($H61,'[7]Date Master'!R$3:R$332,0),2),0)</f>
        <v>0</v>
      </c>
      <c r="T61" s="94">
        <f ca="1">IF($O61="G",INDEX('[7]Date Master'!R$3:S$332,MATCH($H61,'[7]Date Master'!R$3:R$332,0),2),0)</f>
        <v>0</v>
      </c>
      <c r="U61" s="94">
        <f t="shared" ca="1" si="17"/>
        <v>5</v>
      </c>
      <c r="V61" s="94" t="str">
        <f t="shared" ca="1" si="18"/>
        <v>IMCANADAP5</v>
      </c>
      <c r="W61" s="94" t="str">
        <f ca="1">IF(ISNA(V61),"-",INDEX([7]Portfolios!A$3:H$827,MATCH(D61,[7]Portfolios!B$3:B$827,0),7)&amp;H61)</f>
        <v>IMCANADA36770</v>
      </c>
      <c r="X61" s="94" t="str">
        <f t="shared" ca="1" si="19"/>
        <v>IMCANADAP36770</v>
      </c>
      <c r="Y61" s="94" t="str">
        <f t="shared" ca="1" si="20"/>
        <v>IMCANADAP</v>
      </c>
      <c r="AC61" s="87">
        <v>36037</v>
      </c>
      <c r="AD61" s="88" t="s">
        <v>44</v>
      </c>
      <c r="AE61" s="84" t="s">
        <v>101</v>
      </c>
      <c r="AF61" s="84" t="s">
        <v>88</v>
      </c>
      <c r="AG61" s="84" t="s">
        <v>21</v>
      </c>
      <c r="AH61" s="84" t="str">
        <f t="shared" ca="1" si="21"/>
        <v>INTRA-CAND-WEST-PRCNGMR-AECO/C</v>
      </c>
    </row>
    <row r="62" spans="1:34" x14ac:dyDescent="0.25">
      <c r="A62" s="84">
        <v>36691</v>
      </c>
      <c r="B62" s="84" t="s">
        <v>82</v>
      </c>
      <c r="C62" s="84" t="s">
        <v>83</v>
      </c>
      <c r="D62" s="84" t="s">
        <v>101</v>
      </c>
      <c r="E62" s="84" t="s">
        <v>21</v>
      </c>
      <c r="G62" s="84" t="s">
        <v>103</v>
      </c>
      <c r="H62" s="87">
        <v>36800</v>
      </c>
      <c r="I62" s="84">
        <v>131701</v>
      </c>
      <c r="J62" s="82">
        <f t="shared" ca="1" si="11"/>
        <v>0</v>
      </c>
      <c r="K62" s="82" t="e">
        <f t="shared" ca="1" si="12"/>
        <v>#N/A</v>
      </c>
      <c r="L62" s="82" t="str">
        <f t="shared" ca="1" si="13"/>
        <v>CGPR-AECO/BASIS36800</v>
      </c>
      <c r="M62" s="82">
        <f t="shared" ca="1" si="14"/>
        <v>13.1701</v>
      </c>
      <c r="N62" s="82">
        <f t="shared" ca="1" si="15"/>
        <v>0</v>
      </c>
      <c r="O62" s="94" t="str">
        <f t="shared" ca="1" si="16"/>
        <v>P</v>
      </c>
      <c r="P62" s="94" t="str">
        <f ca="1">INDEX([7]Portfolios!A$3:G$929,MATCH(D62,[7]Portfolios!B$3:B$929,0),7)</f>
        <v>IMCANADA</v>
      </c>
      <c r="Q62" s="94">
        <f ca="1">IF($O62="P",INDEX('[7]Date Master'!I$3:J$332,MATCH($H62,'[7]Date Master'!I$3:I$332,0),2),0)</f>
        <v>6</v>
      </c>
      <c r="R62" s="94">
        <f ca="1">IF($O62="D",INDEX('[7]Date Master'!O$3:P$332,MATCH($H62,'[7]Date Master'!O$3:O$332,0),2),0)</f>
        <v>0</v>
      </c>
      <c r="S62" s="94">
        <f ca="1">IF($O62="PHY",INDEX('[7]Date Master'!R$3:S$332,MATCH($H62,'[7]Date Master'!R$3:R$332,0),2),0)</f>
        <v>0</v>
      </c>
      <c r="T62" s="94">
        <f ca="1">IF($O62="G",INDEX('[7]Date Master'!R$3:S$332,MATCH($H62,'[7]Date Master'!R$3:R$332,0),2),0)</f>
        <v>0</v>
      </c>
      <c r="U62" s="94">
        <f t="shared" ca="1" si="17"/>
        <v>6</v>
      </c>
      <c r="V62" s="94" t="str">
        <f t="shared" ca="1" si="18"/>
        <v>IMCANADAP6</v>
      </c>
      <c r="W62" s="94" t="str">
        <f ca="1">IF(ISNA(V62),"-",INDEX([7]Portfolios!A$3:H$827,MATCH(D62,[7]Portfolios!B$3:B$827,0),7)&amp;H62)</f>
        <v>IMCANADA36800</v>
      </c>
      <c r="X62" s="94" t="str">
        <f t="shared" ca="1" si="19"/>
        <v>IMCANADAP36800</v>
      </c>
      <c r="Y62" s="94" t="str">
        <f t="shared" ca="1" si="20"/>
        <v>IMCANADAP</v>
      </c>
    </row>
    <row r="63" spans="1:34" x14ac:dyDescent="0.25">
      <c r="A63" s="84">
        <v>36691</v>
      </c>
      <c r="B63" s="84" t="s">
        <v>82</v>
      </c>
      <c r="C63" s="84" t="s">
        <v>83</v>
      </c>
      <c r="D63" s="84" t="s">
        <v>101</v>
      </c>
      <c r="E63" s="84" t="s">
        <v>21</v>
      </c>
      <c r="G63" s="84" t="s">
        <v>104</v>
      </c>
      <c r="H63" s="87">
        <v>36678</v>
      </c>
      <c r="I63" s="84">
        <v>-949154</v>
      </c>
      <c r="J63" s="82">
        <f t="shared" ca="1" si="11"/>
        <v>0</v>
      </c>
      <c r="K63" s="82" t="e">
        <f t="shared" ca="1" si="12"/>
        <v>#N/A</v>
      </c>
      <c r="L63" s="82" t="str">
        <f t="shared" ca="1" si="13"/>
        <v>IF-NWPL_ROCKY_M36678</v>
      </c>
      <c r="M63" s="82">
        <f t="shared" ca="1" si="14"/>
        <v>-94.915400000000005</v>
      </c>
      <c r="N63" s="82">
        <f t="shared" ca="1" si="15"/>
        <v>0</v>
      </c>
      <c r="O63" s="94" t="str">
        <f t="shared" ca="1" si="16"/>
        <v>P</v>
      </c>
      <c r="P63" s="94" t="str">
        <f ca="1">INDEX([7]Portfolios!A$3:G$929,MATCH(D63,[7]Portfolios!B$3:B$929,0),7)</f>
        <v>IMCANADA</v>
      </c>
      <c r="Q63" s="94" t="e">
        <f ca="1">IF($O63="P",INDEX('[7]Date Master'!I$3:J$332,MATCH($H63,'[7]Date Master'!I$3:I$332,0),2),0)</f>
        <v>#N/A</v>
      </c>
      <c r="R63" s="94">
        <f ca="1">IF($O63="D",INDEX('[7]Date Master'!O$3:P$332,MATCH($H63,'[7]Date Master'!O$3:O$332,0),2),0)</f>
        <v>0</v>
      </c>
      <c r="S63" s="94">
        <f ca="1">IF($O63="PHY",INDEX('[7]Date Master'!R$3:S$332,MATCH($H63,'[7]Date Master'!R$3:R$332,0),2),0)</f>
        <v>0</v>
      </c>
      <c r="T63" s="94">
        <f ca="1">IF($O63="G",INDEX('[7]Date Master'!R$3:S$332,MATCH($H63,'[7]Date Master'!R$3:R$332,0),2),0)</f>
        <v>0</v>
      </c>
      <c r="U63" s="94" t="e">
        <f t="shared" ca="1" si="17"/>
        <v>#N/A</v>
      </c>
      <c r="V63" s="94" t="e">
        <f t="shared" ca="1" si="18"/>
        <v>#N/A</v>
      </c>
      <c r="W63" s="94" t="str">
        <f ca="1">IF(ISNA(V63),"-",INDEX([7]Portfolios!A$3:H$827,MATCH(D63,[7]Portfolios!B$3:B$827,0),7)&amp;H63)</f>
        <v>-</v>
      </c>
      <c r="X63" s="94" t="str">
        <f t="shared" ca="1" si="19"/>
        <v>-</v>
      </c>
      <c r="Y63" s="94" t="str">
        <f t="shared" ca="1" si="20"/>
        <v>IMCANADAP</v>
      </c>
    </row>
    <row r="64" spans="1:34" x14ac:dyDescent="0.25">
      <c r="A64" s="84">
        <v>36691</v>
      </c>
      <c r="B64" s="84" t="s">
        <v>82</v>
      </c>
      <c r="C64" s="84" t="s">
        <v>83</v>
      </c>
      <c r="D64" s="84" t="s">
        <v>101</v>
      </c>
      <c r="E64" s="84" t="s">
        <v>21</v>
      </c>
      <c r="G64" s="84" t="s">
        <v>104</v>
      </c>
      <c r="H64" s="87">
        <v>36708</v>
      </c>
      <c r="I64" s="84">
        <v>-326046</v>
      </c>
      <c r="J64" s="82">
        <f t="shared" ca="1" si="11"/>
        <v>0</v>
      </c>
      <c r="K64" s="82" t="e">
        <f t="shared" ca="1" si="12"/>
        <v>#N/A</v>
      </c>
      <c r="L64" s="82" t="str">
        <f t="shared" ca="1" si="13"/>
        <v>IF-NWPL_ROCKY_M36708</v>
      </c>
      <c r="M64" s="82">
        <f t="shared" ca="1" si="14"/>
        <v>-32.604599999999998</v>
      </c>
      <c r="N64" s="82">
        <f t="shared" ca="1" si="15"/>
        <v>0</v>
      </c>
      <c r="O64" s="94" t="str">
        <f t="shared" ca="1" si="16"/>
        <v>P</v>
      </c>
      <c r="P64" s="94" t="str">
        <f ca="1">INDEX([7]Portfolios!A$3:G$929,MATCH(D64,[7]Portfolios!B$3:B$929,0),7)</f>
        <v>IMCANADA</v>
      </c>
      <c r="Q64" s="94">
        <f ca="1">IF($O64="P",INDEX('[7]Date Master'!I$3:J$332,MATCH($H64,'[7]Date Master'!I$3:I$332,0),2),0)</f>
        <v>3</v>
      </c>
      <c r="R64" s="94">
        <f ca="1">IF($O64="D",INDEX('[7]Date Master'!O$3:P$332,MATCH($H64,'[7]Date Master'!O$3:O$332,0),2),0)</f>
        <v>0</v>
      </c>
      <c r="S64" s="94">
        <f ca="1">IF($O64="PHY",INDEX('[7]Date Master'!R$3:S$332,MATCH($H64,'[7]Date Master'!R$3:R$332,0),2),0)</f>
        <v>0</v>
      </c>
      <c r="T64" s="94">
        <f ca="1">IF($O64="G",INDEX('[7]Date Master'!R$3:S$332,MATCH($H64,'[7]Date Master'!R$3:R$332,0),2),0)</f>
        <v>0</v>
      </c>
      <c r="U64" s="94">
        <f t="shared" ca="1" si="17"/>
        <v>3</v>
      </c>
      <c r="V64" s="94" t="str">
        <f t="shared" ca="1" si="18"/>
        <v>IMCANADAP3</v>
      </c>
      <c r="W64" s="94" t="str">
        <f ca="1">IF(ISNA(V64),"-",INDEX([7]Portfolios!A$3:H$827,MATCH(D64,[7]Portfolios!B$3:B$827,0),7)&amp;H64)</f>
        <v>IMCANADA36708</v>
      </c>
      <c r="X64" s="94" t="str">
        <f t="shared" ca="1" si="19"/>
        <v>IMCANADAP36708</v>
      </c>
      <c r="Y64" s="94" t="str">
        <f t="shared" ca="1" si="20"/>
        <v>IMCANADAP</v>
      </c>
    </row>
    <row r="65" spans="1:25" x14ac:dyDescent="0.25">
      <c r="A65" s="84">
        <v>36691</v>
      </c>
      <c r="B65" s="84" t="s">
        <v>82</v>
      </c>
      <c r="C65" s="84" t="s">
        <v>83</v>
      </c>
      <c r="D65" s="84" t="s">
        <v>101</v>
      </c>
      <c r="E65" s="84" t="s">
        <v>21</v>
      </c>
      <c r="G65" s="84" t="s">
        <v>86</v>
      </c>
      <c r="H65" s="87">
        <v>36678</v>
      </c>
      <c r="I65" s="84">
        <v>0</v>
      </c>
      <c r="J65" s="82">
        <f t="shared" ca="1" si="11"/>
        <v>0</v>
      </c>
      <c r="K65" s="82">
        <f t="shared" ca="1" si="12"/>
        <v>1</v>
      </c>
      <c r="L65" s="82" t="str">
        <f t="shared" ca="1" si="13"/>
        <v>NG36678</v>
      </c>
      <c r="M65" s="82">
        <f t="shared" ca="1" si="14"/>
        <v>0</v>
      </c>
      <c r="N65" s="82">
        <f t="shared" ca="1" si="15"/>
        <v>0</v>
      </c>
      <c r="O65" s="94" t="str">
        <f t="shared" ca="1" si="16"/>
        <v>P</v>
      </c>
      <c r="P65" s="94" t="str">
        <f ca="1">INDEX([7]Portfolios!A$3:G$929,MATCH(D65,[7]Portfolios!B$3:B$929,0),7)</f>
        <v>IMCANADA</v>
      </c>
      <c r="Q65" s="94" t="e">
        <f ca="1">IF($O65="P",INDEX('[7]Date Master'!I$3:J$332,MATCH($H65,'[7]Date Master'!I$3:I$332,0),2),0)</f>
        <v>#N/A</v>
      </c>
      <c r="R65" s="94">
        <f ca="1">IF($O65="D",INDEX('[7]Date Master'!O$3:P$332,MATCH($H65,'[7]Date Master'!O$3:O$332,0),2),0)</f>
        <v>0</v>
      </c>
      <c r="S65" s="94">
        <f ca="1">IF($O65="PHY",INDEX('[7]Date Master'!R$3:S$332,MATCH($H65,'[7]Date Master'!R$3:R$332,0),2),0)</f>
        <v>0</v>
      </c>
      <c r="T65" s="94">
        <f ca="1">IF($O65="G",INDEX('[7]Date Master'!R$3:S$332,MATCH($H65,'[7]Date Master'!R$3:R$332,0),2),0)</f>
        <v>0</v>
      </c>
      <c r="U65" s="94" t="e">
        <f t="shared" ca="1" si="17"/>
        <v>#N/A</v>
      </c>
      <c r="V65" s="94" t="e">
        <f t="shared" ca="1" si="18"/>
        <v>#N/A</v>
      </c>
      <c r="W65" s="94" t="str">
        <f ca="1">IF(ISNA(V65),"-",INDEX([7]Portfolios!A$3:H$827,MATCH(D65,[7]Portfolios!B$3:B$827,0),7)&amp;H65)</f>
        <v>-</v>
      </c>
      <c r="X65" s="94" t="str">
        <f t="shared" ca="1" si="19"/>
        <v>-</v>
      </c>
      <c r="Y65" s="94" t="str">
        <f t="shared" ca="1" si="20"/>
        <v>IMCANADAP</v>
      </c>
    </row>
    <row r="66" spans="1:25" x14ac:dyDescent="0.25">
      <c r="A66" s="84">
        <v>36691</v>
      </c>
      <c r="B66" s="84" t="s">
        <v>82</v>
      </c>
      <c r="C66" s="84" t="s">
        <v>83</v>
      </c>
      <c r="D66" s="84" t="s">
        <v>101</v>
      </c>
      <c r="E66" s="84" t="s">
        <v>21</v>
      </c>
      <c r="G66" s="84" t="s">
        <v>86</v>
      </c>
      <c r="H66" s="87">
        <v>36708</v>
      </c>
      <c r="I66" s="84">
        <v>-3481329</v>
      </c>
      <c r="J66" s="82">
        <f t="shared" ca="1" si="11"/>
        <v>-3481329</v>
      </c>
      <c r="K66" s="82">
        <f t="shared" ca="1" si="12"/>
        <v>1</v>
      </c>
      <c r="L66" s="82" t="str">
        <f t="shared" ca="1" si="13"/>
        <v>NG36708</v>
      </c>
      <c r="M66" s="82">
        <f t="shared" ca="1" si="14"/>
        <v>-348.13290000000001</v>
      </c>
      <c r="N66" s="82">
        <f t="shared" ca="1" si="15"/>
        <v>-348.13290000000001</v>
      </c>
      <c r="O66" s="94" t="str">
        <f t="shared" ca="1" si="16"/>
        <v>P</v>
      </c>
      <c r="P66" s="94" t="str">
        <f ca="1">INDEX([7]Portfolios!A$3:G$929,MATCH(D66,[7]Portfolios!B$3:B$929,0),7)</f>
        <v>IMCANADA</v>
      </c>
      <c r="Q66" s="94">
        <f ca="1">IF($O66="P",INDEX('[7]Date Master'!I$3:J$332,MATCH($H66,'[7]Date Master'!I$3:I$332,0),2),0)</f>
        <v>3</v>
      </c>
      <c r="R66" s="94">
        <f ca="1">IF($O66="D",INDEX('[7]Date Master'!O$3:P$332,MATCH($H66,'[7]Date Master'!O$3:O$332,0),2),0)</f>
        <v>0</v>
      </c>
      <c r="S66" s="94">
        <f ca="1">IF($O66="PHY",INDEX('[7]Date Master'!R$3:S$332,MATCH($H66,'[7]Date Master'!R$3:R$332,0),2),0)</f>
        <v>0</v>
      </c>
      <c r="T66" s="94">
        <f ca="1">IF($O66="G",INDEX('[7]Date Master'!R$3:S$332,MATCH($H66,'[7]Date Master'!R$3:R$332,0),2),0)</f>
        <v>0</v>
      </c>
      <c r="U66" s="94">
        <f t="shared" ca="1" si="17"/>
        <v>3</v>
      </c>
      <c r="V66" s="94" t="str">
        <f t="shared" ca="1" si="18"/>
        <v>IMCANADAP3</v>
      </c>
      <c r="W66" s="94" t="str">
        <f ca="1">IF(ISNA(V66),"-",INDEX([7]Portfolios!A$3:H$827,MATCH(D66,[7]Portfolios!B$3:B$827,0),7)&amp;H66)</f>
        <v>IMCANADA36708</v>
      </c>
      <c r="X66" s="94" t="str">
        <f t="shared" ca="1" si="19"/>
        <v>IMCANADAP36708</v>
      </c>
      <c r="Y66" s="94" t="str">
        <f t="shared" ca="1" si="20"/>
        <v>IMCANADAP</v>
      </c>
    </row>
    <row r="67" spans="1:25" x14ac:dyDescent="0.25">
      <c r="A67" s="84">
        <v>36691</v>
      </c>
      <c r="B67" s="84" t="s">
        <v>82</v>
      </c>
      <c r="C67" s="84" t="s">
        <v>83</v>
      </c>
      <c r="D67" s="84" t="s">
        <v>101</v>
      </c>
      <c r="E67" s="84" t="s">
        <v>21</v>
      </c>
      <c r="G67" s="84" t="s">
        <v>86</v>
      </c>
      <c r="H67" s="87">
        <v>36739</v>
      </c>
      <c r="I67" s="84">
        <v>648839</v>
      </c>
      <c r="J67" s="82">
        <f t="shared" ca="1" si="11"/>
        <v>648839</v>
      </c>
      <c r="K67" s="82">
        <f t="shared" ca="1" si="12"/>
        <v>1</v>
      </c>
      <c r="L67" s="82" t="str">
        <f t="shared" ca="1" si="13"/>
        <v>NG36739</v>
      </c>
      <c r="M67" s="82">
        <f t="shared" ca="1" si="14"/>
        <v>64.883899999999997</v>
      </c>
      <c r="N67" s="82">
        <f t="shared" ca="1" si="15"/>
        <v>64.883899999999997</v>
      </c>
      <c r="O67" s="94" t="str">
        <f t="shared" ca="1" si="16"/>
        <v>P</v>
      </c>
      <c r="P67" s="94" t="str">
        <f ca="1">INDEX([7]Portfolios!A$3:G$929,MATCH(D67,[7]Portfolios!B$3:B$929,0),7)</f>
        <v>IMCANADA</v>
      </c>
      <c r="Q67" s="94">
        <f ca="1">IF($O67="P",INDEX('[7]Date Master'!I$3:J$332,MATCH($H67,'[7]Date Master'!I$3:I$332,0),2),0)</f>
        <v>4</v>
      </c>
      <c r="R67" s="94">
        <f ca="1">IF($O67="D",INDEX('[7]Date Master'!O$3:P$332,MATCH($H67,'[7]Date Master'!O$3:O$332,0),2),0)</f>
        <v>0</v>
      </c>
      <c r="S67" s="94">
        <f ca="1">IF($O67="PHY",INDEX('[7]Date Master'!R$3:S$332,MATCH($H67,'[7]Date Master'!R$3:R$332,0),2),0)</f>
        <v>0</v>
      </c>
      <c r="T67" s="94">
        <f ca="1">IF($O67="G",INDEX('[7]Date Master'!R$3:S$332,MATCH($H67,'[7]Date Master'!R$3:R$332,0),2),0)</f>
        <v>0</v>
      </c>
      <c r="U67" s="94">
        <f t="shared" ca="1" si="17"/>
        <v>4</v>
      </c>
      <c r="V67" s="94" t="str">
        <f t="shared" ca="1" si="18"/>
        <v>IMCANADAP4</v>
      </c>
      <c r="W67" s="94" t="str">
        <f ca="1">IF(ISNA(V67),"-",INDEX([7]Portfolios!A$3:H$827,MATCH(D67,[7]Portfolios!B$3:B$827,0),7)&amp;H67)</f>
        <v>IMCANADA36739</v>
      </c>
      <c r="X67" s="94" t="str">
        <f t="shared" ca="1" si="19"/>
        <v>IMCANADAP36739</v>
      </c>
      <c r="Y67" s="94" t="str">
        <f t="shared" ca="1" si="20"/>
        <v>IMCANADAP</v>
      </c>
    </row>
    <row r="68" spans="1:25" x14ac:dyDescent="0.25">
      <c r="A68" s="84">
        <v>36691</v>
      </c>
      <c r="B68" s="84" t="s">
        <v>82</v>
      </c>
      <c r="C68" s="84" t="s">
        <v>83</v>
      </c>
      <c r="D68" s="84" t="s">
        <v>101</v>
      </c>
      <c r="E68" s="84" t="s">
        <v>21</v>
      </c>
      <c r="G68" s="84" t="s">
        <v>86</v>
      </c>
      <c r="H68" s="87">
        <v>36770</v>
      </c>
      <c r="I68" s="84">
        <v>780930</v>
      </c>
      <c r="J68" s="82">
        <f t="shared" ca="1" si="11"/>
        <v>780930</v>
      </c>
      <c r="K68" s="82">
        <f t="shared" ca="1" si="12"/>
        <v>1</v>
      </c>
      <c r="L68" s="82" t="str">
        <f t="shared" ca="1" si="13"/>
        <v>NG36770</v>
      </c>
      <c r="M68" s="82">
        <f t="shared" ca="1" si="14"/>
        <v>78.093000000000004</v>
      </c>
      <c r="N68" s="82">
        <f t="shared" ca="1" si="15"/>
        <v>78.093000000000004</v>
      </c>
      <c r="O68" s="94" t="str">
        <f t="shared" ca="1" si="16"/>
        <v>P</v>
      </c>
      <c r="P68" s="94" t="str">
        <f ca="1">INDEX([7]Portfolios!A$3:G$929,MATCH(D68,[7]Portfolios!B$3:B$929,0),7)</f>
        <v>IMCANADA</v>
      </c>
      <c r="Q68" s="94">
        <f ca="1">IF($O68="P",INDEX('[7]Date Master'!I$3:J$332,MATCH($H68,'[7]Date Master'!I$3:I$332,0),2),0)</f>
        <v>5</v>
      </c>
      <c r="R68" s="94">
        <f ca="1">IF($O68="D",INDEX('[7]Date Master'!O$3:P$332,MATCH($H68,'[7]Date Master'!O$3:O$332,0),2),0)</f>
        <v>0</v>
      </c>
      <c r="S68" s="94">
        <f ca="1">IF($O68="PHY",INDEX('[7]Date Master'!R$3:S$332,MATCH($H68,'[7]Date Master'!R$3:R$332,0),2),0)</f>
        <v>0</v>
      </c>
      <c r="T68" s="94">
        <f ca="1">IF($O68="G",INDEX('[7]Date Master'!R$3:S$332,MATCH($H68,'[7]Date Master'!R$3:R$332,0),2),0)</f>
        <v>0</v>
      </c>
      <c r="U68" s="94">
        <f t="shared" ca="1" si="17"/>
        <v>5</v>
      </c>
      <c r="V68" s="94" t="str">
        <f t="shared" ca="1" si="18"/>
        <v>IMCANADAP5</v>
      </c>
      <c r="W68" s="94" t="str">
        <f ca="1">IF(ISNA(V68),"-",INDEX([7]Portfolios!A$3:H$827,MATCH(D68,[7]Portfolios!B$3:B$827,0),7)&amp;H68)</f>
        <v>IMCANADA36770</v>
      </c>
      <c r="X68" s="94" t="str">
        <f t="shared" ca="1" si="19"/>
        <v>IMCANADAP36770</v>
      </c>
      <c r="Y68" s="94" t="str">
        <f t="shared" ca="1" si="20"/>
        <v>IMCANADAP</v>
      </c>
    </row>
    <row r="69" spans="1:25" x14ac:dyDescent="0.25">
      <c r="A69" s="84">
        <v>36691</v>
      </c>
      <c r="B69" s="84" t="s">
        <v>82</v>
      </c>
      <c r="C69" s="84" t="s">
        <v>83</v>
      </c>
      <c r="D69" s="84" t="s">
        <v>101</v>
      </c>
      <c r="E69" s="84" t="s">
        <v>21</v>
      </c>
      <c r="G69" s="84" t="s">
        <v>86</v>
      </c>
      <c r="H69" s="87">
        <v>36800</v>
      </c>
      <c r="I69" s="84">
        <v>1103555</v>
      </c>
      <c r="J69" s="82">
        <f t="shared" ca="1" si="11"/>
        <v>1103555</v>
      </c>
      <c r="K69" s="82">
        <f t="shared" ca="1" si="12"/>
        <v>1</v>
      </c>
      <c r="L69" s="82" t="str">
        <f t="shared" ca="1" si="13"/>
        <v>NG36800</v>
      </c>
      <c r="M69" s="82">
        <f t="shared" ca="1" si="14"/>
        <v>110.35550000000001</v>
      </c>
      <c r="N69" s="82">
        <f t="shared" ca="1" si="15"/>
        <v>110.35550000000001</v>
      </c>
      <c r="O69" s="94" t="str">
        <f t="shared" ca="1" si="16"/>
        <v>P</v>
      </c>
      <c r="P69" s="94" t="str">
        <f ca="1">INDEX([7]Portfolios!A$3:G$929,MATCH(D69,[7]Portfolios!B$3:B$929,0),7)</f>
        <v>IMCANADA</v>
      </c>
      <c r="Q69" s="94">
        <f ca="1">IF($O69="P",INDEX('[7]Date Master'!I$3:J$332,MATCH($H69,'[7]Date Master'!I$3:I$332,0),2),0)</f>
        <v>6</v>
      </c>
      <c r="R69" s="94">
        <f ca="1">IF($O69="D",INDEX('[7]Date Master'!O$3:P$332,MATCH($H69,'[7]Date Master'!O$3:O$332,0),2),0)</f>
        <v>0</v>
      </c>
      <c r="S69" s="94">
        <f ca="1">IF($O69="PHY",INDEX('[7]Date Master'!R$3:S$332,MATCH($H69,'[7]Date Master'!R$3:R$332,0),2),0)</f>
        <v>0</v>
      </c>
      <c r="T69" s="94">
        <f ca="1">IF($O69="G",INDEX('[7]Date Master'!R$3:S$332,MATCH($H69,'[7]Date Master'!R$3:R$332,0),2),0)</f>
        <v>0</v>
      </c>
      <c r="U69" s="94">
        <f t="shared" ca="1" si="17"/>
        <v>6</v>
      </c>
      <c r="V69" s="94" t="str">
        <f t="shared" ca="1" si="18"/>
        <v>IMCANADAP6</v>
      </c>
      <c r="W69" s="94" t="str">
        <f ca="1">IF(ISNA(V69),"-",INDEX([7]Portfolios!A$3:H$827,MATCH(D69,[7]Portfolios!B$3:B$827,0),7)&amp;H69)</f>
        <v>IMCANADA36800</v>
      </c>
      <c r="X69" s="94" t="str">
        <f t="shared" ca="1" si="19"/>
        <v>IMCANADAP36800</v>
      </c>
      <c r="Y69" s="94" t="str">
        <f t="shared" ca="1" si="20"/>
        <v>IMCANADAP</v>
      </c>
    </row>
    <row r="70" spans="1:25" x14ac:dyDescent="0.25">
      <c r="A70" s="84">
        <v>36691</v>
      </c>
      <c r="B70" s="84" t="s">
        <v>82</v>
      </c>
      <c r="C70" s="84" t="s">
        <v>83</v>
      </c>
      <c r="D70" s="84" t="s">
        <v>101</v>
      </c>
      <c r="E70" s="84" t="s">
        <v>21</v>
      </c>
      <c r="G70" s="84" t="s">
        <v>114</v>
      </c>
      <c r="H70" s="87">
        <v>36678</v>
      </c>
      <c r="I70" s="84">
        <v>0</v>
      </c>
      <c r="J70" s="82">
        <f t="shared" ca="1" si="11"/>
        <v>0</v>
      </c>
      <c r="K70" s="82" t="e">
        <f t="shared" ca="1" si="12"/>
        <v>#N/A</v>
      </c>
      <c r="L70" s="82" t="str">
        <f t="shared" ca="1" si="13"/>
        <v>NGGJ36678</v>
      </c>
      <c r="M70" s="82">
        <f t="shared" ca="1" si="14"/>
        <v>0</v>
      </c>
      <c r="N70" s="82">
        <f t="shared" ca="1" si="15"/>
        <v>0</v>
      </c>
      <c r="O70" s="94" t="e">
        <f t="shared" ca="1" si="16"/>
        <v>#REF!</v>
      </c>
      <c r="P70" s="94" t="str">
        <f ca="1">INDEX([7]Portfolios!A$3:G$929,MATCH(D70,[7]Portfolios!B$3:B$929,0),7)</f>
        <v>IMCANADA</v>
      </c>
      <c r="Q70" s="94" t="e">
        <f ca="1">IF($O70="P",INDEX('[7]Date Master'!I$3:J$332,MATCH($H70,'[7]Date Master'!I$3:I$332,0),2),0)</f>
        <v>#REF!</v>
      </c>
      <c r="R70" s="94" t="e">
        <f ca="1">IF($O70="D",INDEX('[7]Date Master'!O$3:P$332,MATCH($H70,'[7]Date Master'!O$3:O$332,0),2),0)</f>
        <v>#REF!</v>
      </c>
      <c r="S70" s="94" t="e">
        <f ca="1">IF($O70="PHY",INDEX('[7]Date Master'!R$3:S$332,MATCH($H70,'[7]Date Master'!R$3:R$332,0),2),0)</f>
        <v>#REF!</v>
      </c>
      <c r="T70" s="94" t="e">
        <f ca="1">IF($O70="G",INDEX('[7]Date Master'!R$3:S$332,MATCH($H70,'[7]Date Master'!R$3:R$332,0),2),0)</f>
        <v>#REF!</v>
      </c>
      <c r="U70" s="94" t="e">
        <f t="shared" ca="1" si="17"/>
        <v>#REF!</v>
      </c>
      <c r="V70" s="94" t="e">
        <f t="shared" ca="1" si="18"/>
        <v>#REF!</v>
      </c>
      <c r="W70" s="94" t="str">
        <f ca="1">IF(ISNA(V70),"-",INDEX([7]Portfolios!A$3:H$827,MATCH(D70,[7]Portfolios!B$3:B$827,0),7)&amp;H70)</f>
        <v>IMCANADA36678</v>
      </c>
      <c r="X70" s="94" t="str">
        <f t="shared" ca="1" si="19"/>
        <v>IMCANADAP36678</v>
      </c>
      <c r="Y70" s="94" t="e">
        <f t="shared" ca="1" si="20"/>
        <v>#REF!</v>
      </c>
    </row>
    <row r="71" spans="1:25" x14ac:dyDescent="0.25">
      <c r="A71" s="84">
        <v>36691</v>
      </c>
      <c r="B71" s="84" t="s">
        <v>82</v>
      </c>
      <c r="C71" s="84" t="s">
        <v>83</v>
      </c>
      <c r="D71" s="84" t="s">
        <v>101</v>
      </c>
      <c r="E71" s="84" t="s">
        <v>21</v>
      </c>
      <c r="G71" s="84" t="s">
        <v>115</v>
      </c>
      <c r="H71" s="87">
        <v>36678</v>
      </c>
      <c r="I71" s="84">
        <v>158192</v>
      </c>
      <c r="J71" s="82">
        <f t="shared" ca="1" si="11"/>
        <v>0</v>
      </c>
      <c r="K71" s="82" t="e">
        <f t="shared" ca="1" si="12"/>
        <v>#N/A</v>
      </c>
      <c r="L71" s="82" t="str">
        <f t="shared" ca="1" si="13"/>
        <v>NGI-MALIN36678</v>
      </c>
      <c r="M71" s="82">
        <f t="shared" ca="1" si="14"/>
        <v>15.8192</v>
      </c>
      <c r="N71" s="82">
        <f t="shared" ca="1" si="15"/>
        <v>0</v>
      </c>
      <c r="O71" s="94" t="e">
        <f t="shared" ca="1" si="16"/>
        <v>#REF!</v>
      </c>
      <c r="P71" s="94" t="str">
        <f ca="1">INDEX([7]Portfolios!A$3:G$929,MATCH(D71,[7]Portfolios!B$3:B$929,0),7)</f>
        <v>IMCANADA</v>
      </c>
      <c r="Q71" s="94" t="e">
        <f ca="1">IF($O71="P",INDEX('[7]Date Master'!I$3:J$332,MATCH($H71,'[7]Date Master'!I$3:I$332,0),2),0)</f>
        <v>#REF!</v>
      </c>
      <c r="R71" s="94" t="e">
        <f ca="1">IF($O71="D",INDEX('[7]Date Master'!O$3:P$332,MATCH($H71,'[7]Date Master'!O$3:O$332,0),2),0)</f>
        <v>#REF!</v>
      </c>
      <c r="S71" s="94" t="e">
        <f ca="1">IF($O71="PHY",INDEX('[7]Date Master'!R$3:S$332,MATCH($H71,'[7]Date Master'!R$3:R$332,0),2),0)</f>
        <v>#REF!</v>
      </c>
      <c r="T71" s="94" t="e">
        <f ca="1">IF($O71="G",INDEX('[7]Date Master'!R$3:S$332,MATCH($H71,'[7]Date Master'!R$3:R$332,0),2),0)</f>
        <v>#REF!</v>
      </c>
      <c r="U71" s="94" t="e">
        <f t="shared" ca="1" si="17"/>
        <v>#REF!</v>
      </c>
      <c r="V71" s="94" t="e">
        <f t="shared" ca="1" si="18"/>
        <v>#REF!</v>
      </c>
      <c r="W71" s="94" t="str">
        <f ca="1">IF(ISNA(V71),"-",INDEX([7]Portfolios!A$3:H$827,MATCH(D71,[7]Portfolios!B$3:B$827,0),7)&amp;H71)</f>
        <v>IMCANADA36678</v>
      </c>
      <c r="X71" s="94" t="str">
        <f t="shared" ca="1" si="19"/>
        <v>IMCANADAP36678</v>
      </c>
      <c r="Y71" s="94" t="e">
        <f t="shared" ca="1" si="20"/>
        <v>#REF!</v>
      </c>
    </row>
    <row r="72" spans="1:25" x14ac:dyDescent="0.25">
      <c r="A72" s="84">
        <v>36691</v>
      </c>
      <c r="B72" s="84" t="s">
        <v>82</v>
      </c>
      <c r="C72" s="84" t="s">
        <v>83</v>
      </c>
      <c r="D72" s="84" t="s">
        <v>101</v>
      </c>
      <c r="E72" s="84" t="s">
        <v>21</v>
      </c>
      <c r="G72" s="84" t="s">
        <v>88</v>
      </c>
      <c r="H72" s="87">
        <v>36678</v>
      </c>
      <c r="I72" s="84">
        <v>-354000</v>
      </c>
      <c r="J72" s="82">
        <f ca="1">IF(ISNA(K72),0,(I72*K72))</f>
        <v>-283200</v>
      </c>
      <c r="K72" s="82">
        <f t="shared" ca="1" si="12"/>
        <v>0.8</v>
      </c>
      <c r="L72" s="82" t="str">
        <f t="shared" ca="1" si="13"/>
        <v>NGMR-AECO/C36678</v>
      </c>
      <c r="M72" s="82">
        <f t="shared" ca="1" si="14"/>
        <v>-35.4</v>
      </c>
      <c r="N72" s="82">
        <f t="shared" ca="1" si="15"/>
        <v>-28.32</v>
      </c>
      <c r="O72" s="94" t="e">
        <f t="shared" ca="1" si="16"/>
        <v>#REF!</v>
      </c>
      <c r="P72" s="94" t="str">
        <f ca="1">INDEX([7]Portfolios!A$3:G$929,MATCH(D72,[7]Portfolios!B$3:B$929,0),7)</f>
        <v>IMCANADA</v>
      </c>
      <c r="Q72" s="94" t="e">
        <f ca="1">IF($O72="P",INDEX('[7]Date Master'!I$3:J$332,MATCH($H72,'[7]Date Master'!I$3:I$332,0),2),0)</f>
        <v>#REF!</v>
      </c>
      <c r="R72" s="94" t="e">
        <f ca="1">IF($O72="D",INDEX('[7]Date Master'!O$3:P$332,MATCH($H72,'[7]Date Master'!O$3:O$332,0),2),0)</f>
        <v>#REF!</v>
      </c>
      <c r="S72" s="94" t="e">
        <f ca="1">IF($O72="PHY",INDEX('[7]Date Master'!R$3:S$332,MATCH($H72,'[7]Date Master'!R$3:R$332,0),2),0)</f>
        <v>#REF!</v>
      </c>
      <c r="T72" s="94" t="e">
        <f ca="1">IF($O72="G",INDEX('[7]Date Master'!R$3:S$332,MATCH($H72,'[7]Date Master'!R$3:R$332,0),2),0)</f>
        <v>#REF!</v>
      </c>
      <c r="U72" s="94" t="e">
        <f ca="1">SUM(Q72:T72)</f>
        <v>#REF!</v>
      </c>
      <c r="V72" s="94" t="e">
        <f ca="1">P72&amp;O72&amp;U72</f>
        <v>#REF!</v>
      </c>
      <c r="W72" s="94" t="str">
        <f ca="1">IF(ISNA(V72),"-",INDEX([7]Portfolios!A$3:H$827,MATCH(D72,[7]Portfolios!B$3:B$827,0),7)&amp;H72)</f>
        <v>IMCANADA36678</v>
      </c>
      <c r="X72" s="94" t="str">
        <f t="shared" ca="1" si="19"/>
        <v>IMCANADAP36678</v>
      </c>
      <c r="Y72" s="94" t="e">
        <f t="shared" ca="1" si="20"/>
        <v>#REF!</v>
      </c>
    </row>
    <row r="73" spans="1:25" x14ac:dyDescent="0.25">
      <c r="A73" s="84">
        <v>36691</v>
      </c>
      <c r="B73" s="84" t="s">
        <v>82</v>
      </c>
      <c r="C73" s="84" t="s">
        <v>83</v>
      </c>
      <c r="D73" s="84" t="s">
        <v>101</v>
      </c>
      <c r="E73" s="84" t="s">
        <v>21</v>
      </c>
      <c r="G73" s="84" t="s">
        <v>88</v>
      </c>
      <c r="H73" s="87">
        <v>36708</v>
      </c>
      <c r="I73" s="84">
        <v>-2872106</v>
      </c>
      <c r="J73" s="82">
        <f ca="1">IF(ISNA(K73),0,(I73*K73))</f>
        <v>-2297684.8000000003</v>
      </c>
      <c r="K73" s="82">
        <f t="shared" ca="1" si="12"/>
        <v>0.8</v>
      </c>
      <c r="L73" s="82" t="str">
        <f t="shared" ca="1" si="13"/>
        <v>NGMR-AECO/C36708</v>
      </c>
      <c r="M73" s="82">
        <f t="shared" ca="1" si="14"/>
        <v>-287.2106</v>
      </c>
      <c r="N73" s="82">
        <f t="shared" ca="1" si="15"/>
        <v>-229.76848000000004</v>
      </c>
      <c r="O73" s="94" t="e">
        <f t="shared" ca="1" si="16"/>
        <v>#REF!</v>
      </c>
      <c r="P73" s="94" t="str">
        <f ca="1">INDEX([7]Portfolios!A$3:G$929,MATCH(D73,[7]Portfolios!B$3:B$929,0),7)</f>
        <v>IMCANADA</v>
      </c>
      <c r="Q73" s="94" t="e">
        <f ca="1">IF($O73="P",INDEX('[7]Date Master'!I$3:J$332,MATCH($H73,'[7]Date Master'!I$3:I$332,0),2),0)</f>
        <v>#REF!</v>
      </c>
      <c r="R73" s="94" t="e">
        <f ca="1">IF($O73="D",INDEX('[7]Date Master'!O$3:P$332,MATCH($H73,'[7]Date Master'!O$3:O$332,0),2),0)</f>
        <v>#REF!</v>
      </c>
      <c r="S73" s="94" t="e">
        <f ca="1">IF($O73="PHY",INDEX('[7]Date Master'!R$3:S$332,MATCH($H73,'[7]Date Master'!R$3:R$332,0),2),0)</f>
        <v>#REF!</v>
      </c>
      <c r="T73" s="94" t="e">
        <f ca="1">IF($O73="G",INDEX('[7]Date Master'!R$3:S$332,MATCH($H73,'[7]Date Master'!R$3:R$332,0),2),0)</f>
        <v>#REF!</v>
      </c>
      <c r="U73" s="94" t="e">
        <f ca="1">SUM(Q73:T73)</f>
        <v>#REF!</v>
      </c>
      <c r="V73" s="94" t="e">
        <f ca="1">P73&amp;O73&amp;U73</f>
        <v>#REF!</v>
      </c>
      <c r="W73" s="94" t="str">
        <f ca="1">IF(ISNA(V73),"-",INDEX([7]Portfolios!A$3:H$827,MATCH(D73,[7]Portfolios!B$3:B$827,0),7)&amp;H73)</f>
        <v>IMCANADA36708</v>
      </c>
      <c r="X73" s="94" t="str">
        <f t="shared" ca="1" si="19"/>
        <v>IMCANADAP36708</v>
      </c>
      <c r="Y73" s="94" t="e">
        <f t="shared" ca="1" si="20"/>
        <v>#REF!</v>
      </c>
    </row>
    <row r="74" spans="1:25" x14ac:dyDescent="0.25">
      <c r="A74" s="84">
        <v>36691</v>
      </c>
      <c r="B74" s="84" t="s">
        <v>82</v>
      </c>
      <c r="C74" s="84" t="s">
        <v>83</v>
      </c>
      <c r="D74" s="84" t="s">
        <v>101</v>
      </c>
      <c r="E74" s="84" t="s">
        <v>21</v>
      </c>
      <c r="G74" s="84" t="s">
        <v>88</v>
      </c>
      <c r="H74" s="87">
        <v>36739</v>
      </c>
      <c r="I74" s="84">
        <v>2368666</v>
      </c>
      <c r="J74" s="82">
        <f ca="1">IF(ISNA(K74),0,(I74*K74))</f>
        <v>1894932.8</v>
      </c>
      <c r="K74" s="82">
        <f t="shared" ca="1" si="12"/>
        <v>0.8</v>
      </c>
      <c r="L74" s="82" t="str">
        <f t="shared" ca="1" si="13"/>
        <v>NGMR-AECO/C36739</v>
      </c>
      <c r="M74" s="82">
        <f t="shared" ca="1" si="14"/>
        <v>236.86660000000001</v>
      </c>
      <c r="N74" s="82">
        <f t="shared" ca="1" si="15"/>
        <v>189.49328</v>
      </c>
      <c r="O74" s="94" t="e">
        <f t="shared" ca="1" si="16"/>
        <v>#REF!</v>
      </c>
      <c r="P74" s="94" t="str">
        <f ca="1">INDEX([7]Portfolios!A$3:G$929,MATCH(D74,[7]Portfolios!B$3:B$929,0),7)</f>
        <v>IMCANADA</v>
      </c>
      <c r="Q74" s="94" t="e">
        <f ca="1">IF($O74="P",INDEX('[7]Date Master'!I$3:J$332,MATCH($H74,'[7]Date Master'!I$3:I$332,0),2),0)</f>
        <v>#REF!</v>
      </c>
      <c r="R74" s="94" t="e">
        <f ca="1">IF($O74="D",INDEX('[7]Date Master'!O$3:P$332,MATCH($H74,'[7]Date Master'!O$3:O$332,0),2),0)</f>
        <v>#REF!</v>
      </c>
      <c r="S74" s="94" t="e">
        <f ca="1">IF($O74="PHY",INDEX('[7]Date Master'!R$3:S$332,MATCH($H74,'[7]Date Master'!R$3:R$332,0),2),0)</f>
        <v>#REF!</v>
      </c>
      <c r="T74" s="94" t="e">
        <f ca="1">IF($O74="G",INDEX('[7]Date Master'!R$3:S$332,MATCH($H74,'[7]Date Master'!R$3:R$332,0),2),0)</f>
        <v>#REF!</v>
      </c>
      <c r="U74" s="94" t="e">
        <f ca="1">SUM(Q74:T74)</f>
        <v>#REF!</v>
      </c>
      <c r="V74" s="94" t="e">
        <f ca="1">P74&amp;O74&amp;U74</f>
        <v>#REF!</v>
      </c>
      <c r="W74" s="94" t="str">
        <f ca="1">IF(ISNA(V74),"-",INDEX([7]Portfolios!A$3:H$827,MATCH(D74,[7]Portfolios!B$3:B$827,0),7)&amp;H74)</f>
        <v>IMCANADA36739</v>
      </c>
      <c r="X74" s="94" t="str">
        <f t="shared" ca="1" si="19"/>
        <v>IMCANADAP36739</v>
      </c>
      <c r="Y74" s="94" t="e">
        <f t="shared" ca="1" si="20"/>
        <v>#REF!</v>
      </c>
    </row>
    <row r="75" spans="1:25" x14ac:dyDescent="0.25">
      <c r="A75" s="84">
        <v>36691</v>
      </c>
      <c r="B75" s="84" t="s">
        <v>82</v>
      </c>
      <c r="C75" s="84" t="s">
        <v>83</v>
      </c>
      <c r="D75" s="84" t="s">
        <v>101</v>
      </c>
      <c r="E75" s="84" t="s">
        <v>21</v>
      </c>
      <c r="G75" s="84" t="s">
        <v>88</v>
      </c>
      <c r="H75" s="87">
        <v>36770</v>
      </c>
      <c r="I75" s="84">
        <v>592390</v>
      </c>
      <c r="J75" s="82">
        <f ca="1">IF(ISNA(K75),0,(I75*K75))</f>
        <v>473912</v>
      </c>
      <c r="K75" s="82">
        <f t="shared" ca="1" si="12"/>
        <v>0.8</v>
      </c>
      <c r="L75" s="82" t="str">
        <f t="shared" ca="1" si="13"/>
        <v>NGMR-AECO/C36770</v>
      </c>
      <c r="M75" s="82">
        <f t="shared" ca="1" si="14"/>
        <v>59.238999999999997</v>
      </c>
      <c r="N75" s="82">
        <f t="shared" ca="1" si="15"/>
        <v>47.391199999999998</v>
      </c>
      <c r="O75" s="94" t="e">
        <f t="shared" ca="1" si="16"/>
        <v>#REF!</v>
      </c>
      <c r="P75" s="94" t="str">
        <f ca="1">INDEX([7]Portfolios!A$3:G$929,MATCH(D75,[7]Portfolios!B$3:B$929,0),7)</f>
        <v>IMCANADA</v>
      </c>
      <c r="Q75" s="94" t="e">
        <f ca="1">IF($O75="P",INDEX('[7]Date Master'!I$3:J$332,MATCH($H75,'[7]Date Master'!I$3:I$332,0),2),0)</f>
        <v>#REF!</v>
      </c>
      <c r="R75" s="94" t="e">
        <f ca="1">IF($O75="D",INDEX('[7]Date Master'!O$3:P$332,MATCH($H75,'[7]Date Master'!O$3:O$332,0),2),0)</f>
        <v>#REF!</v>
      </c>
      <c r="S75" s="94" t="e">
        <f ca="1">IF($O75="PHY",INDEX('[7]Date Master'!R$3:S$332,MATCH($H75,'[7]Date Master'!R$3:R$332,0),2),0)</f>
        <v>#REF!</v>
      </c>
      <c r="T75" s="94" t="e">
        <f ca="1">IF($O75="G",INDEX('[7]Date Master'!R$3:S$332,MATCH($H75,'[7]Date Master'!R$3:R$332,0),2),0)</f>
        <v>#REF!</v>
      </c>
      <c r="U75" s="94" t="e">
        <f ca="1">SUM(Q75:T75)</f>
        <v>#REF!</v>
      </c>
      <c r="V75" s="94" t="e">
        <f ca="1">P75&amp;O75&amp;U75</f>
        <v>#REF!</v>
      </c>
      <c r="W75" s="94" t="str">
        <f ca="1">IF(ISNA(V75),"-",INDEX([7]Portfolios!A$3:H$827,MATCH(D75,[7]Portfolios!B$3:B$827,0),7)&amp;H75)</f>
        <v>IMCANADA36770</v>
      </c>
      <c r="X75" s="94" t="str">
        <f t="shared" ca="1" si="19"/>
        <v>IMCANADAP36770</v>
      </c>
      <c r="Y75" s="94" t="e">
        <f t="shared" ca="1" si="20"/>
        <v>#REF!</v>
      </c>
    </row>
    <row r="76" spans="1:25" x14ac:dyDescent="0.25">
      <c r="A76" s="84">
        <v>36691</v>
      </c>
      <c r="B76" s="84" t="s">
        <v>82</v>
      </c>
      <c r="C76" s="84" t="s">
        <v>83</v>
      </c>
      <c r="D76" s="84" t="s">
        <v>101</v>
      </c>
      <c r="E76" s="84" t="s">
        <v>21</v>
      </c>
      <c r="G76" s="84" t="s">
        <v>88</v>
      </c>
      <c r="H76" s="87">
        <v>36800</v>
      </c>
      <c r="I76" s="84">
        <v>0</v>
      </c>
      <c r="J76" s="82">
        <f ca="1">IF(ISNA(K76),0,(I76*K76))</f>
        <v>0</v>
      </c>
      <c r="K76" s="82">
        <f t="shared" ca="1" si="12"/>
        <v>0.8</v>
      </c>
      <c r="L76" s="82" t="str">
        <f t="shared" ca="1" si="13"/>
        <v>NGMR-AECO/C36800</v>
      </c>
      <c r="M76" s="82">
        <f t="shared" ca="1" si="14"/>
        <v>0</v>
      </c>
      <c r="N76" s="82">
        <f t="shared" ca="1" si="15"/>
        <v>0</v>
      </c>
      <c r="O76" s="94" t="e">
        <f t="shared" ca="1" si="16"/>
        <v>#REF!</v>
      </c>
      <c r="P76" s="94" t="str">
        <f ca="1">INDEX([7]Portfolios!A$3:G$929,MATCH(D76,[7]Portfolios!B$3:B$929,0),7)</f>
        <v>IMCANADA</v>
      </c>
      <c r="Q76" s="94" t="e">
        <f ca="1">IF($O76="P",INDEX('[7]Date Master'!I$3:J$332,MATCH($H76,'[7]Date Master'!I$3:I$332,0),2),0)</f>
        <v>#REF!</v>
      </c>
      <c r="R76" s="94" t="e">
        <f ca="1">IF($O76="D",INDEX('[7]Date Master'!O$3:P$332,MATCH($H76,'[7]Date Master'!O$3:O$332,0),2),0)</f>
        <v>#REF!</v>
      </c>
      <c r="S76" s="94" t="e">
        <f ca="1">IF($O76="PHY",INDEX('[7]Date Master'!R$3:S$332,MATCH($H76,'[7]Date Master'!R$3:R$332,0),2),0)</f>
        <v>#REF!</v>
      </c>
      <c r="T76" s="94" t="e">
        <f ca="1">IF($O76="G",INDEX('[7]Date Master'!R$3:S$332,MATCH($H76,'[7]Date Master'!R$3:R$332,0),2),0)</f>
        <v>#REF!</v>
      </c>
      <c r="U76" s="94" t="e">
        <f ca="1">SUM(Q76:T76)</f>
        <v>#REF!</v>
      </c>
      <c r="V76" s="94" t="e">
        <f ca="1">P76&amp;O76&amp;U76</f>
        <v>#REF!</v>
      </c>
      <c r="W76" s="94" t="str">
        <f ca="1">IF(ISNA(V76),"-",INDEX([7]Portfolios!A$3:H$827,MATCH(D76,[7]Portfolios!B$3:B$827,0),7)&amp;H76)</f>
        <v>IMCANADA36800</v>
      </c>
      <c r="X76" s="94" t="str">
        <f t="shared" ca="1" si="19"/>
        <v>IMCANADAP36800</v>
      </c>
      <c r="Y76" s="94" t="e">
        <f t="shared" ca="1" si="20"/>
        <v>#REF!</v>
      </c>
    </row>
    <row r="77" spans="1:25" x14ac:dyDescent="0.25">
      <c r="H77" s="87"/>
    </row>
    <row r="78" spans="1:25" x14ac:dyDescent="0.25">
      <c r="H78" s="87"/>
    </row>
    <row r="79" spans="1:25" x14ac:dyDescent="0.25">
      <c r="H79" s="87"/>
    </row>
    <row r="80" spans="1:25" x14ac:dyDescent="0.25">
      <c r="H80" s="87"/>
    </row>
    <row r="81" spans="8:8" x14ac:dyDescent="0.25">
      <c r="H81" s="87"/>
    </row>
    <row r="82" spans="8:8" x14ac:dyDescent="0.25">
      <c r="H82" s="87"/>
    </row>
    <row r="83" spans="8:8" x14ac:dyDescent="0.25">
      <c r="H83" s="87"/>
    </row>
    <row r="84" spans="8:8" x14ac:dyDescent="0.25">
      <c r="H84" s="87"/>
    </row>
    <row r="85" spans="8:8" x14ac:dyDescent="0.25">
      <c r="H85" s="87"/>
    </row>
    <row r="86" spans="8:8" x14ac:dyDescent="0.25">
      <c r="H86" s="87"/>
    </row>
    <row r="87" spans="8:8" x14ac:dyDescent="0.25">
      <c r="H87" s="87"/>
    </row>
    <row r="88" spans="8:8" x14ac:dyDescent="0.25">
      <c r="H88" s="87"/>
    </row>
    <row r="89" spans="8:8" x14ac:dyDescent="0.25">
      <c r="H89" s="87"/>
    </row>
    <row r="90" spans="8:8" x14ac:dyDescent="0.25">
      <c r="H90" s="87"/>
    </row>
    <row r="91" spans="8:8" x14ac:dyDescent="0.25">
      <c r="H91" s="87"/>
    </row>
    <row r="92" spans="8:8" x14ac:dyDescent="0.25">
      <c r="H92" s="87"/>
    </row>
    <row r="93" spans="8:8" x14ac:dyDescent="0.25">
      <c r="H93" s="87"/>
    </row>
    <row r="94" spans="8:8" x14ac:dyDescent="0.25">
      <c r="H94" s="87"/>
    </row>
    <row r="95" spans="8:8" x14ac:dyDescent="0.25">
      <c r="H95" s="87"/>
    </row>
    <row r="96" spans="8:8" x14ac:dyDescent="0.25">
      <c r="H96" s="87"/>
    </row>
    <row r="97" spans="8:8" x14ac:dyDescent="0.25">
      <c r="H97" s="87"/>
    </row>
    <row r="98" spans="8:8" x14ac:dyDescent="0.25">
      <c r="H98" s="87"/>
    </row>
    <row r="99" spans="8:8" x14ac:dyDescent="0.25">
      <c r="H99" s="87"/>
    </row>
    <row r="100" spans="8:8" x14ac:dyDescent="0.25">
      <c r="H100" s="87"/>
    </row>
    <row r="101" spans="8:8" x14ac:dyDescent="0.25">
      <c r="H101" s="87"/>
    </row>
    <row r="102" spans="8:8" x14ac:dyDescent="0.25">
      <c r="H102" s="87"/>
    </row>
  </sheetData>
  <autoFilter ref="A7:AK76"/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K21"/>
  <sheetViews>
    <sheetView workbookViewId="0">
      <selection activeCell="A19" sqref="A19"/>
    </sheetView>
  </sheetViews>
  <sheetFormatPr defaultRowHeight="13.2" x14ac:dyDescent="0.25"/>
  <cols>
    <col min="1" max="1" width="25.109375" customWidth="1"/>
    <col min="2" max="2" width="2" customWidth="1"/>
    <col min="3" max="3" width="12.109375" customWidth="1"/>
    <col min="4" max="4" width="4.88671875" customWidth="1"/>
    <col min="6" max="6" width="1.88671875" customWidth="1"/>
    <col min="8" max="8" width="2.33203125" customWidth="1"/>
    <col min="9" max="9" width="9.5546875" bestFit="1" customWidth="1"/>
    <col min="10" max="10" width="2.109375" customWidth="1"/>
    <col min="12" max="12" width="1.5546875" customWidth="1"/>
    <col min="14" max="14" width="1.88671875" customWidth="1"/>
    <col min="16" max="16" width="1.88671875" customWidth="1"/>
    <col min="18" max="18" width="1.44140625" customWidth="1"/>
    <col min="20" max="20" width="2" customWidth="1"/>
    <col min="22" max="22" width="1" customWidth="1"/>
    <col min="24" max="24" width="1.6640625" customWidth="1"/>
    <col min="26" max="26" width="1.6640625" customWidth="1"/>
    <col min="28" max="28" width="1.5546875" customWidth="1"/>
    <col min="30" max="30" width="0.6640625" customWidth="1"/>
    <col min="31" max="31" width="12.5546875" customWidth="1"/>
    <col min="32" max="32" width="2" customWidth="1"/>
  </cols>
  <sheetData>
    <row r="4" spans="1:34" s="2" customFormat="1" ht="45.75" customHeight="1" x14ac:dyDescent="0.25">
      <c r="A4" s="11">
        <f ca="1">+[18]Summary!W3</f>
        <v>36692</v>
      </c>
      <c r="B4" s="12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B4" s="5"/>
      <c r="AC4" s="5"/>
      <c r="AD4" s="6"/>
      <c r="AE4" s="5"/>
    </row>
    <row r="5" spans="1:34" s="18" customFormat="1" ht="12.75" hidden="1" customHeight="1" x14ac:dyDescent="0.25">
      <c r="A5" s="14" t="s">
        <v>3</v>
      </c>
      <c r="B5" s="15"/>
      <c r="C5" s="13" t="s">
        <v>4</v>
      </c>
      <c r="D5" s="13" t="s">
        <v>5</v>
      </c>
      <c r="E5" s="16">
        <v>3</v>
      </c>
      <c r="F5" s="15"/>
      <c r="G5" s="16">
        <v>4</v>
      </c>
      <c r="H5" s="15"/>
      <c r="I5" s="16">
        <v>5</v>
      </c>
      <c r="J5" s="15"/>
      <c r="K5" s="16">
        <v>6</v>
      </c>
      <c r="L5" s="15"/>
      <c r="M5" s="16">
        <v>7</v>
      </c>
      <c r="N5" s="15"/>
      <c r="O5" s="16">
        <v>8</v>
      </c>
      <c r="P5" s="15"/>
      <c r="Q5" s="16">
        <v>9</v>
      </c>
      <c r="R5" s="15"/>
      <c r="S5" s="16">
        <v>10</v>
      </c>
      <c r="T5" s="15"/>
      <c r="U5" s="16">
        <v>11</v>
      </c>
      <c r="V5" s="15"/>
      <c r="W5" s="16">
        <v>12</v>
      </c>
      <c r="X5" s="15"/>
      <c r="Y5" s="16">
        <v>13</v>
      </c>
      <c r="Z5" s="15"/>
      <c r="AA5" s="17">
        <v>14</v>
      </c>
      <c r="AC5" s="5"/>
      <c r="AD5" s="6"/>
      <c r="AE5" s="5"/>
    </row>
    <row r="6" spans="1:34" s="12" customFormat="1" ht="13.5" customHeight="1" x14ac:dyDescent="0.25">
      <c r="A6" s="96" t="s">
        <v>17</v>
      </c>
      <c r="B6" s="20"/>
      <c r="C6" s="21"/>
      <c r="D6" s="21"/>
      <c r="E6" s="97">
        <v>36678</v>
      </c>
      <c r="F6" s="22"/>
      <c r="G6" s="97">
        <v>36708</v>
      </c>
      <c r="H6" s="22"/>
      <c r="I6" s="97">
        <v>36739</v>
      </c>
      <c r="J6" s="22"/>
      <c r="K6" s="97">
        <v>36770</v>
      </c>
      <c r="L6" s="22"/>
      <c r="M6" s="97">
        <v>36800</v>
      </c>
      <c r="O6" s="97">
        <v>38384</v>
      </c>
      <c r="P6" s="22"/>
      <c r="Q6" s="97">
        <v>38749</v>
      </c>
      <c r="R6" s="22"/>
      <c r="S6" s="97">
        <v>40575</v>
      </c>
      <c r="T6" s="20"/>
      <c r="U6" s="97">
        <v>40575</v>
      </c>
      <c r="V6" s="20"/>
      <c r="W6" s="97">
        <v>42401</v>
      </c>
      <c r="X6" s="20"/>
      <c r="Y6" s="97">
        <v>42401</v>
      </c>
      <c r="AA6" s="22">
        <v>42401</v>
      </c>
      <c r="AB6" s="23"/>
      <c r="AC6" s="98" t="s">
        <v>6</v>
      </c>
      <c r="AD6" s="6"/>
      <c r="AE6" s="99" t="s">
        <v>7</v>
      </c>
      <c r="AG6" s="100"/>
    </row>
    <row r="7" spans="1:34" s="12" customFormat="1" ht="12.75" customHeight="1" x14ac:dyDescent="0.25">
      <c r="A7" s="19" t="s">
        <v>8</v>
      </c>
      <c r="B7" s="20"/>
      <c r="C7" s="21"/>
      <c r="D7" s="21"/>
      <c r="E7" s="97">
        <v>36678</v>
      </c>
      <c r="F7" s="22"/>
      <c r="G7" s="97">
        <v>36708</v>
      </c>
      <c r="H7" s="22"/>
      <c r="I7" s="97">
        <v>36739</v>
      </c>
      <c r="J7" s="22"/>
      <c r="K7" s="97">
        <v>36770</v>
      </c>
      <c r="L7" s="22"/>
      <c r="M7" s="97">
        <v>36800</v>
      </c>
      <c r="O7" s="97">
        <v>38718</v>
      </c>
      <c r="P7" s="22"/>
      <c r="Q7" s="97">
        <v>40544</v>
      </c>
      <c r="R7" s="22"/>
      <c r="S7" s="97">
        <v>42370</v>
      </c>
      <c r="T7" s="20"/>
      <c r="U7" s="97">
        <v>42370</v>
      </c>
      <c r="V7" s="20"/>
      <c r="W7" s="97">
        <v>45200</v>
      </c>
      <c r="X7" s="20"/>
      <c r="Y7" s="97">
        <v>45200</v>
      </c>
      <c r="AA7" s="22">
        <v>45200</v>
      </c>
      <c r="AB7" s="23"/>
      <c r="AC7" s="101">
        <f ca="1">+A4</f>
        <v>36692</v>
      </c>
      <c r="AD7" s="6"/>
      <c r="AE7" s="102">
        <f ca="1">+AC7-1</f>
        <v>36691</v>
      </c>
      <c r="AG7" s="100" t="s">
        <v>9</v>
      </c>
    </row>
    <row r="8" spans="1:34" s="2" customFormat="1" x14ac:dyDescent="0.25">
      <c r="A8" s="19"/>
      <c r="B8" s="20"/>
      <c r="C8" s="21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B8" s="5"/>
      <c r="AC8" s="5"/>
      <c r="AD8" s="6"/>
      <c r="AE8" s="5"/>
    </row>
    <row r="9" spans="1:34" s="2" customFormat="1" x14ac:dyDescent="0.25">
      <c r="A9" s="10"/>
      <c r="B9" s="12"/>
      <c r="C9" s="3"/>
      <c r="D9" s="3"/>
      <c r="E9" s="25"/>
      <c r="F9" s="12"/>
      <c r="G9" s="25"/>
      <c r="H9" s="12"/>
      <c r="I9" s="25"/>
      <c r="J9" s="12"/>
      <c r="K9" s="25"/>
      <c r="L9" s="12"/>
      <c r="M9" s="25"/>
      <c r="N9" s="12"/>
      <c r="O9" s="25"/>
      <c r="P9" s="12"/>
      <c r="Q9" s="25"/>
      <c r="R9" s="12"/>
      <c r="S9" s="25"/>
      <c r="T9" s="12"/>
      <c r="U9" s="25"/>
      <c r="V9" s="25"/>
      <c r="W9" s="25"/>
      <c r="X9" s="25"/>
      <c r="Y9" s="25"/>
      <c r="Z9" s="25"/>
      <c r="AA9" s="26"/>
      <c r="AB9" s="27"/>
      <c r="AC9" s="28"/>
      <c r="AD9" s="29"/>
      <c r="AE9" s="28"/>
      <c r="AG9" s="26"/>
    </row>
    <row r="10" spans="1:34" s="2" customFormat="1" ht="12.75" customHeight="1" x14ac:dyDescent="0.3">
      <c r="A10" s="62" t="s">
        <v>119</v>
      </c>
      <c r="B10" s="12"/>
      <c r="C10" s="103"/>
      <c r="D10" s="103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25"/>
      <c r="R10" s="12"/>
      <c r="S10" s="25"/>
      <c r="T10" s="12"/>
      <c r="U10" s="25"/>
      <c r="V10" s="25"/>
      <c r="W10" s="25"/>
      <c r="X10" s="25"/>
      <c r="Y10" s="25"/>
      <c r="Z10" s="25"/>
      <c r="AA10" s="26"/>
      <c r="AB10" s="27"/>
      <c r="AC10" s="28"/>
      <c r="AD10" s="29"/>
      <c r="AE10" s="28"/>
      <c r="AG10" s="27"/>
      <c r="AH10" s="60"/>
    </row>
    <row r="11" spans="1:34" s="2" customFormat="1" ht="1.5" customHeight="1" x14ac:dyDescent="0.3">
      <c r="A11" s="62"/>
      <c r="B11" s="12"/>
      <c r="C11" s="103"/>
      <c r="D11" s="103"/>
      <c r="E11" s="25"/>
      <c r="F11" s="12"/>
      <c r="G11" s="25"/>
      <c r="H11" s="12"/>
      <c r="I11" s="25"/>
      <c r="J11" s="12"/>
      <c r="K11" s="25"/>
      <c r="L11" s="12"/>
      <c r="M11" s="25"/>
      <c r="N11" s="12"/>
      <c r="O11" s="25"/>
      <c r="P11" s="12"/>
      <c r="Q11" s="25"/>
      <c r="R11" s="12"/>
      <c r="S11" s="25"/>
      <c r="T11" s="12"/>
      <c r="U11" s="25"/>
      <c r="V11" s="25"/>
      <c r="W11" s="25"/>
      <c r="X11" s="25"/>
      <c r="Y11" s="25"/>
      <c r="Z11" s="25"/>
      <c r="AA11" s="26"/>
      <c r="AB11" s="27"/>
      <c r="AC11" s="28"/>
      <c r="AD11" s="29"/>
      <c r="AE11" s="28"/>
      <c r="AG11" s="27"/>
      <c r="AH11" s="60"/>
    </row>
    <row r="12" spans="1:34" s="2" customFormat="1" ht="12.75" customHeight="1" x14ac:dyDescent="0.25">
      <c r="A12" s="64" t="s">
        <v>28</v>
      </c>
      <c r="B12" s="23"/>
      <c r="C12" s="3" t="s">
        <v>29</v>
      </c>
      <c r="D12" s="3" t="s">
        <v>30</v>
      </c>
      <c r="E12" s="65">
        <f ca="1">+[18]IMPositions!B50</f>
        <v>55.837346491842716</v>
      </c>
      <c r="F12" s="23"/>
      <c r="G12" s="65">
        <f ca="1">+[18]IMPositions!C50</f>
        <v>-289.22572731190041</v>
      </c>
      <c r="H12" s="23"/>
      <c r="I12" s="65">
        <f ca="1">+[18]IMPositions!D50</f>
        <v>0</v>
      </c>
      <c r="J12" s="23"/>
      <c r="K12" s="65">
        <f ca="1">+[18]IMPositions!E50</f>
        <v>0</v>
      </c>
      <c r="L12" s="23"/>
      <c r="M12" s="65">
        <f ca="1">+[18]IMPositions!F50</f>
        <v>0</v>
      </c>
      <c r="N12" s="23"/>
      <c r="O12" s="65">
        <v>0</v>
      </c>
      <c r="P12" s="23"/>
      <c r="Q12" s="65">
        <v>0</v>
      </c>
      <c r="R12" s="23"/>
      <c r="S12" s="65">
        <v>0</v>
      </c>
      <c r="T12" s="23"/>
      <c r="U12" s="65">
        <v>0</v>
      </c>
      <c r="V12" s="66"/>
      <c r="W12" s="65">
        <v>0</v>
      </c>
      <c r="X12" s="66"/>
      <c r="Y12" s="65">
        <v>0</v>
      </c>
      <c r="Z12" s="66"/>
      <c r="AA12" s="67">
        <v>0</v>
      </c>
      <c r="AB12" s="61"/>
      <c r="AC12" s="48">
        <f ca="1">SUM(E12:AA12)</f>
        <v>-233.38838082005771</v>
      </c>
      <c r="AD12" s="66"/>
      <c r="AE12" s="48">
        <f ca="1">+[18]IMPositions!H50</f>
        <v>-57.301175082914796</v>
      </c>
      <c r="AG12" s="61">
        <f t="shared" ref="AG12:AG17" ca="1" si="0">+AC12-AE12</f>
        <v>-176.08720573714291</v>
      </c>
    </row>
    <row r="13" spans="1:34" s="2" customFormat="1" ht="12.75" customHeight="1" x14ac:dyDescent="0.25">
      <c r="A13" s="64" t="s">
        <v>18</v>
      </c>
      <c r="B13" s="23"/>
      <c r="C13" s="3" t="s">
        <v>29</v>
      </c>
      <c r="D13" s="3" t="s">
        <v>19</v>
      </c>
      <c r="E13" s="65">
        <f ca="1">+[18]IMPositions!B51</f>
        <v>189.81936071481061</v>
      </c>
      <c r="F13" s="23"/>
      <c r="G13" s="65">
        <f ca="1">+[18]IMPositions!C51</f>
        <v>0</v>
      </c>
      <c r="H13" s="23"/>
      <c r="I13" s="65">
        <f ca="1">+[18]IMPositions!D51</f>
        <v>0</v>
      </c>
      <c r="J13" s="23"/>
      <c r="K13" s="65">
        <f ca="1">+[18]IMPositions!E51</f>
        <v>0</v>
      </c>
      <c r="L13" s="23"/>
      <c r="M13" s="65">
        <f ca="1">+[18]IMPositions!F51</f>
        <v>0</v>
      </c>
      <c r="N13" s="23"/>
      <c r="O13" s="65">
        <v>0</v>
      </c>
      <c r="P13" s="23"/>
      <c r="Q13" s="65">
        <v>0</v>
      </c>
      <c r="R13" s="23"/>
      <c r="S13" s="65">
        <v>0</v>
      </c>
      <c r="T13" s="23"/>
      <c r="U13" s="65">
        <v>0</v>
      </c>
      <c r="V13" s="66"/>
      <c r="W13" s="65">
        <v>0</v>
      </c>
      <c r="X13" s="66"/>
      <c r="Y13" s="65">
        <v>0</v>
      </c>
      <c r="Z13" s="66"/>
      <c r="AA13" s="67">
        <v>0</v>
      </c>
      <c r="AB13" s="61"/>
      <c r="AC13" s="48">
        <f ca="1">SUM(E13:AA13)</f>
        <v>189.81936071481061</v>
      </c>
      <c r="AD13" s="66"/>
      <c r="AE13" s="48">
        <f ca="1">+[18]IMPositions!H51</f>
        <v>98.4</v>
      </c>
      <c r="AG13" s="61">
        <f t="shared" ca="1" si="0"/>
        <v>91.419360714810608</v>
      </c>
    </row>
    <row r="14" spans="1:34" s="2" customFormat="1" ht="12.75" customHeight="1" x14ac:dyDescent="0.25">
      <c r="A14" s="64" t="s">
        <v>33</v>
      </c>
      <c r="B14" s="23"/>
      <c r="C14" s="3" t="s">
        <v>29</v>
      </c>
      <c r="D14" s="3" t="s">
        <v>20</v>
      </c>
      <c r="E14" s="65">
        <f ca="1">+[18]IMPositions!B52</f>
        <v>0</v>
      </c>
      <c r="F14" s="23"/>
      <c r="G14" s="65">
        <f ca="1">+[18]IMPositions!C52</f>
        <v>0</v>
      </c>
      <c r="H14" s="23"/>
      <c r="I14" s="65">
        <f ca="1">+[18]IMPositions!D52</f>
        <v>0</v>
      </c>
      <c r="J14" s="23"/>
      <c r="K14" s="65">
        <f ca="1">+[18]IMPositions!E52</f>
        <v>0</v>
      </c>
      <c r="L14" s="23"/>
      <c r="M14" s="65">
        <f ca="1">+[18]IMPositions!F52</f>
        <v>0</v>
      </c>
      <c r="N14" s="23"/>
      <c r="O14" s="65">
        <v>0</v>
      </c>
      <c r="P14" s="23"/>
      <c r="Q14" s="65">
        <v>0</v>
      </c>
      <c r="R14" s="23"/>
      <c r="S14" s="65">
        <v>0</v>
      </c>
      <c r="T14" s="23"/>
      <c r="U14" s="65">
        <v>0</v>
      </c>
      <c r="V14" s="66"/>
      <c r="W14" s="65">
        <v>0</v>
      </c>
      <c r="X14" s="66"/>
      <c r="Y14" s="65">
        <v>0</v>
      </c>
      <c r="Z14" s="66"/>
      <c r="AA14" s="67">
        <v>0</v>
      </c>
      <c r="AB14" s="61"/>
      <c r="AC14" s="48">
        <f ca="1">SUM(E14:AA14)</f>
        <v>0</v>
      </c>
      <c r="AD14" s="66"/>
      <c r="AE14" s="48">
        <f ca="1">+[18]IMPositions!H52</f>
        <v>0</v>
      </c>
      <c r="AG14" s="61">
        <f t="shared" ca="1" si="0"/>
        <v>0</v>
      </c>
    </row>
    <row r="15" spans="1:34" s="2" customFormat="1" ht="12.75" customHeight="1" x14ac:dyDescent="0.25">
      <c r="A15" s="64" t="s">
        <v>34</v>
      </c>
      <c r="B15" s="23"/>
      <c r="C15" s="3" t="s">
        <v>29</v>
      </c>
      <c r="D15" s="3" t="s">
        <v>20</v>
      </c>
      <c r="E15" s="65">
        <f ca="1">+[18]IMPositions!B53</f>
        <v>0</v>
      </c>
      <c r="F15" s="23"/>
      <c r="G15" s="65">
        <f ca="1">+[18]IMPositions!C53</f>
        <v>0</v>
      </c>
      <c r="H15" s="23"/>
      <c r="I15" s="65">
        <f ca="1">+[18]IMPositions!D53</f>
        <v>0</v>
      </c>
      <c r="J15" s="23"/>
      <c r="K15" s="65">
        <f ca="1">+[18]IMPositions!E53</f>
        <v>0</v>
      </c>
      <c r="L15" s="23"/>
      <c r="M15" s="65">
        <f ca="1">+[18]IMPositions!F53</f>
        <v>0</v>
      </c>
      <c r="N15" s="23"/>
      <c r="O15" s="65">
        <v>0</v>
      </c>
      <c r="P15" s="23"/>
      <c r="Q15" s="65">
        <v>0</v>
      </c>
      <c r="R15" s="23"/>
      <c r="S15" s="65">
        <v>0</v>
      </c>
      <c r="T15" s="23"/>
      <c r="U15" s="65">
        <v>0</v>
      </c>
      <c r="V15" s="66"/>
      <c r="W15" s="65">
        <v>0</v>
      </c>
      <c r="X15" s="66"/>
      <c r="Y15" s="65">
        <v>0</v>
      </c>
      <c r="Z15" s="66"/>
      <c r="AA15" s="67">
        <v>0</v>
      </c>
      <c r="AB15" s="61"/>
      <c r="AC15" s="48">
        <f ca="1">SUM(E15:AA15)</f>
        <v>0</v>
      </c>
      <c r="AD15" s="66"/>
      <c r="AE15" s="48">
        <f ca="1">+[18]IMPositions!H53</f>
        <v>0</v>
      </c>
      <c r="AG15" s="61">
        <f t="shared" ca="1" si="0"/>
        <v>0</v>
      </c>
    </row>
    <row r="16" spans="1:34" s="2" customFormat="1" ht="12.75" customHeight="1" x14ac:dyDescent="0.25">
      <c r="A16" s="64" t="s">
        <v>35</v>
      </c>
      <c r="B16" s="23"/>
      <c r="C16" s="3" t="s">
        <v>29</v>
      </c>
      <c r="D16" s="3" t="s">
        <v>21</v>
      </c>
      <c r="E16" s="65">
        <f ca="1">+[18]IMPositions!B54</f>
        <v>0</v>
      </c>
      <c r="F16" s="23"/>
      <c r="G16" s="65">
        <f ca="1">+[18]IMPositions!C54</f>
        <v>-427.39769999999999</v>
      </c>
      <c r="H16" s="23"/>
      <c r="I16" s="65">
        <f ca="1">+[18]IMPositions!D54</f>
        <v>218.82881731247898</v>
      </c>
      <c r="J16" s="23"/>
      <c r="K16" s="65">
        <f ca="1">+[18]IMPositions!E54</f>
        <v>112.05423979366878</v>
      </c>
      <c r="L16" s="23"/>
      <c r="M16" s="65">
        <f ca="1">+[18]IMPositions!F54</f>
        <v>100.858</v>
      </c>
      <c r="N16" s="23"/>
      <c r="O16" s="65">
        <v>0</v>
      </c>
      <c r="P16" s="23"/>
      <c r="Q16" s="65">
        <v>0</v>
      </c>
      <c r="R16" s="23"/>
      <c r="S16" s="65">
        <v>0</v>
      </c>
      <c r="T16" s="23"/>
      <c r="U16" s="65">
        <v>0</v>
      </c>
      <c r="V16" s="66"/>
      <c r="W16" s="65">
        <v>0</v>
      </c>
      <c r="X16" s="66"/>
      <c r="Y16" s="65">
        <v>0</v>
      </c>
      <c r="Z16" s="66"/>
      <c r="AA16" s="67">
        <v>0</v>
      </c>
      <c r="AB16" s="61"/>
      <c r="AC16" s="48">
        <f ca="1">SUM(E16:AA16)</f>
        <v>4.3433571061477778</v>
      </c>
      <c r="AD16" s="66"/>
      <c r="AE16" s="48">
        <f ca="1">+[18]IMPositions!H54</f>
        <v>-20.367634526931766</v>
      </c>
      <c r="AG16" s="61">
        <f t="shared" ca="1" si="0"/>
        <v>24.710991633079544</v>
      </c>
    </row>
    <row r="17" spans="1:37" s="2" customFormat="1" ht="12.75" customHeight="1" x14ac:dyDescent="0.3">
      <c r="A17" s="50" t="s">
        <v>10</v>
      </c>
      <c r="B17" s="23"/>
      <c r="C17" s="3"/>
      <c r="D17" s="3"/>
      <c r="E17" s="68">
        <f ca="1">+E12+E13+E15+E16</f>
        <v>245.65670720665332</v>
      </c>
      <c r="F17" s="23"/>
      <c r="G17" s="68">
        <f ca="1">+G12+G13+G15+G16</f>
        <v>-716.6234273119004</v>
      </c>
      <c r="H17" s="23"/>
      <c r="I17" s="68">
        <f ca="1">+I12+I13+I15+I16</f>
        <v>218.82881731247898</v>
      </c>
      <c r="J17" s="23"/>
      <c r="K17" s="68">
        <f ca="1">+K12+K13+K15+K16</f>
        <v>112.05423979366878</v>
      </c>
      <c r="L17" s="23"/>
      <c r="M17" s="68">
        <f ca="1">+M12+M13+M15+M16</f>
        <v>100.858</v>
      </c>
      <c r="N17" s="23"/>
      <c r="O17" s="68">
        <v>0</v>
      </c>
      <c r="P17" s="23"/>
      <c r="Q17" s="68">
        <v>0</v>
      </c>
      <c r="R17" s="23"/>
      <c r="S17" s="68">
        <v>0</v>
      </c>
      <c r="T17" s="23"/>
      <c r="U17" s="68">
        <v>0</v>
      </c>
      <c r="V17" s="23"/>
      <c r="W17" s="68">
        <v>0</v>
      </c>
      <c r="X17" s="23"/>
      <c r="Y17" s="68">
        <v>0</v>
      </c>
      <c r="Z17" s="23"/>
      <c r="AA17" s="68">
        <v>0</v>
      </c>
      <c r="AB17" s="61"/>
      <c r="AC17" s="68">
        <f ca="1">+AC12+AC13+AC15+AC16</f>
        <v>-39.225662999099313</v>
      </c>
      <c r="AD17" s="23"/>
      <c r="AE17" s="68">
        <f ca="1">+AE12+AE13+AE15+AE16</f>
        <v>20.731190390153444</v>
      </c>
      <c r="AG17" s="61">
        <f t="shared" ca="1" si="0"/>
        <v>-59.956853389252757</v>
      </c>
      <c r="AH17" s="38"/>
      <c r="AI17" s="46"/>
      <c r="AJ17" s="59"/>
      <c r="AK17" s="46"/>
    </row>
    <row r="19" spans="1:37" x14ac:dyDescent="0.25">
      <c r="AA19" s="104" t="s">
        <v>120</v>
      </c>
      <c r="AB19" s="104"/>
      <c r="AC19" s="105">
        <f ca="1">+AC17-[18]IMPositions!G56</f>
        <v>0</v>
      </c>
    </row>
    <row r="20" spans="1:37" x14ac:dyDescent="0.25">
      <c r="AA20" s="104" t="s">
        <v>120</v>
      </c>
      <c r="AB20" s="104"/>
      <c r="AC20" s="105">
        <f ca="1">+AC14-[18]IMPositions!G52</f>
        <v>0</v>
      </c>
    </row>
    <row r="21" spans="1:37" x14ac:dyDescent="0.25">
      <c r="AA21" s="104" t="s">
        <v>120</v>
      </c>
      <c r="AB21" s="104"/>
      <c r="AC21" s="105">
        <f ca="1">+(AC14*-0.2)-AC15</f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As Queried from GRMS</vt:lpstr>
      <vt:lpstr>GRMS Detail</vt:lpstr>
      <vt:lpstr>As Reported by Canada</vt:lpstr>
      <vt:lpstr>'GRMS Detail'!CurveTable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cp:lastPrinted>1999-12-17T02:18:33Z</cp:lastPrinted>
  <dcterms:created xsi:type="dcterms:W3CDTF">1999-03-31T04:36:53Z</dcterms:created>
  <dcterms:modified xsi:type="dcterms:W3CDTF">2023-09-10T15:14:10Z</dcterms:modified>
</cp:coreProperties>
</file>