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0440" windowHeight="8640" tabRatio="850" activeTab="2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pipes" sheetId="34" r:id="rId8"/>
    <sheet name="curves" sheetId="259" r:id="rId9"/>
    <sheet name="expiry" sheetId="2826" r:id="rId10"/>
  </sheets>
  <externalReferences>
    <externalReference r:id="rId11"/>
    <externalReference r:id="rId12"/>
    <externalReference r:id="rId13"/>
    <externalReference r:id="rId14"/>
  </externalReferences>
  <definedNames>
    <definedName name="accuracy">#REF!</definedName>
    <definedName name="aproct">STRADDLES!#REF!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STRADDLES!$B$107</definedName>
    <definedName name="CAL8VOL">STRADDLES!$B$108</definedName>
    <definedName name="CAL9VOL">STRADDLES!$B$109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#REF!</definedName>
    <definedName name="CUSTOMVOLUME">#REF!</definedName>
    <definedName name="DATE">#REF!</definedName>
    <definedName name="datelook">STRADDLES!$A$23:$B$142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#REF!</definedName>
    <definedName name="GASDVOLCURVES">#REF!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STRADDLES!$B$151:$K$286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7">pipes!$K$4:$L$15</definedName>
    <definedName name="_xlnm.Print_Area" localSheetId="2">STRADDLES!$A$1:$AO$25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STRADDLES!$BA$165:$BC$176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STRADDLES!$B$22:$BA$143</definedName>
    <definedName name="STRADDLEYN">#REF!</definedName>
    <definedName name="strike">#REF!</definedName>
    <definedName name="Strike1">#REF!</definedName>
    <definedName name="summerstrip">STRADDLES!#REF!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STRADDLES!$C$20</definedName>
    <definedName name="UpperLeftOfCurveTable">#REF!</definedName>
    <definedName name="UserName">#REF!</definedName>
    <definedName name="VolAdder">#REF!</definedName>
    <definedName name="VOLBA">#REF!</definedName>
    <definedName name="VOLCURVES">#REF!</definedName>
    <definedName name="VolLookup">#REF!</definedName>
    <definedName name="VOLS">[1]STRADDLES!$B$5:$K$50</definedName>
    <definedName name="voltable">#REF!</definedName>
    <definedName name="Volume">#REF!</definedName>
    <definedName name="winterstrip">STRADDLES!#REF!</definedName>
  </definedNames>
  <calcPr calcId="92512" calcMode="manual" calcOnSave="0"/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D42" i="259"/>
  <c r="A43" i="259"/>
  <c r="C43" i="259"/>
  <c r="D43" i="259"/>
  <c r="A44" i="259"/>
  <c r="C44" i="259"/>
  <c r="D44" i="259"/>
  <c r="A45" i="259"/>
  <c r="C45" i="259"/>
  <c r="D45" i="259"/>
  <c r="A46" i="259"/>
  <c r="C46" i="259"/>
  <c r="D46" i="259"/>
  <c r="A47" i="259"/>
  <c r="C47" i="259"/>
  <c r="D47" i="259"/>
  <c r="A48" i="259"/>
  <c r="C48" i="259"/>
  <c r="D48" i="259"/>
  <c r="A49" i="259"/>
  <c r="C49" i="259"/>
  <c r="D49" i="259"/>
  <c r="A50" i="259"/>
  <c r="C50" i="259"/>
  <c r="D50" i="259"/>
  <c r="A51" i="259"/>
  <c r="C51" i="259"/>
  <c r="D51" i="259"/>
  <c r="A52" i="259"/>
  <c r="C52" i="259"/>
  <c r="D52" i="259"/>
  <c r="A53" i="259"/>
  <c r="C53" i="259"/>
  <c r="D53" i="259"/>
  <c r="A54" i="259"/>
  <c r="C54" i="259"/>
  <c r="D54" i="259"/>
  <c r="A55" i="259"/>
  <c r="C55" i="259"/>
  <c r="D55" i="259"/>
  <c r="A56" i="259"/>
  <c r="C56" i="259"/>
  <c r="D56" i="259"/>
  <c r="A57" i="259"/>
  <c r="C57" i="259"/>
  <c r="D57" i="259"/>
  <c r="A58" i="259"/>
  <c r="C58" i="259"/>
  <c r="D58" i="259"/>
  <c r="A59" i="259"/>
  <c r="C59" i="259"/>
  <c r="D59" i="259"/>
  <c r="A60" i="259"/>
  <c r="C60" i="259"/>
  <c r="D60" i="259"/>
  <c r="A61" i="259"/>
  <c r="C61" i="259"/>
  <c r="D61" i="259"/>
  <c r="A62" i="259"/>
  <c r="C62" i="259"/>
  <c r="D62" i="259"/>
  <c r="A63" i="259"/>
  <c r="C63" i="259"/>
  <c r="D63" i="259"/>
  <c r="A64" i="259"/>
  <c r="C64" i="259"/>
  <c r="D64" i="259"/>
  <c r="A65" i="259"/>
  <c r="C65" i="259"/>
  <c r="D65" i="259"/>
  <c r="A66" i="259"/>
  <c r="C66" i="259"/>
  <c r="D66" i="259"/>
  <c r="A67" i="259"/>
  <c r="C67" i="259"/>
  <c r="D67" i="259"/>
  <c r="A68" i="259"/>
  <c r="C68" i="259"/>
  <c r="D68" i="259"/>
  <c r="A69" i="259"/>
  <c r="C69" i="259"/>
  <c r="D69" i="259"/>
  <c r="A70" i="259"/>
  <c r="C70" i="259"/>
  <c r="D70" i="259"/>
  <c r="A71" i="259"/>
  <c r="C71" i="259"/>
  <c r="D71" i="259"/>
  <c r="A72" i="259"/>
  <c r="C72" i="259"/>
  <c r="D72" i="259"/>
  <c r="A73" i="259"/>
  <c r="C73" i="259"/>
  <c r="D73" i="259"/>
  <c r="A74" i="259"/>
  <c r="C74" i="259"/>
  <c r="D74" i="259"/>
  <c r="A75" i="259"/>
  <c r="C75" i="259"/>
  <c r="D75" i="259"/>
  <c r="A76" i="259"/>
  <c r="C76" i="259"/>
  <c r="D76" i="259"/>
  <c r="A77" i="259"/>
  <c r="C77" i="259"/>
  <c r="D77" i="259"/>
  <c r="A78" i="259"/>
  <c r="C78" i="259"/>
  <c r="D78" i="259"/>
  <c r="A79" i="259"/>
  <c r="C79" i="259"/>
  <c r="D79" i="259"/>
  <c r="A80" i="259"/>
  <c r="C80" i="259"/>
  <c r="D80" i="259"/>
  <c r="A81" i="259"/>
  <c r="C81" i="259"/>
  <c r="D81" i="259"/>
  <c r="A82" i="259"/>
  <c r="C82" i="259"/>
  <c r="D82" i="259"/>
  <c r="A83" i="259"/>
  <c r="C83" i="259"/>
  <c r="D83" i="259"/>
  <c r="A84" i="259"/>
  <c r="C84" i="259"/>
  <c r="D84" i="259"/>
  <c r="A85" i="259"/>
  <c r="C85" i="259"/>
  <c r="D85" i="259"/>
  <c r="A86" i="259"/>
  <c r="C86" i="259"/>
  <c r="D86" i="259"/>
  <c r="A87" i="259"/>
  <c r="C87" i="259"/>
  <c r="D87" i="259"/>
  <c r="A88" i="259"/>
  <c r="C88" i="259"/>
  <c r="D88" i="259"/>
  <c r="A89" i="259"/>
  <c r="C89" i="259"/>
  <c r="D89" i="259"/>
  <c r="A90" i="259"/>
  <c r="C90" i="259"/>
  <c r="D90" i="259"/>
  <c r="A91" i="259"/>
  <c r="C91" i="259"/>
  <c r="D91" i="259"/>
  <c r="A92" i="259"/>
  <c r="C92" i="259"/>
  <c r="D92" i="259"/>
  <c r="A93" i="259"/>
  <c r="C93" i="259"/>
  <c r="D93" i="259"/>
  <c r="A94" i="259"/>
  <c r="C94" i="259"/>
  <c r="D94" i="259"/>
  <c r="A95" i="259"/>
  <c r="C95" i="259"/>
  <c r="D95" i="259"/>
  <c r="A96" i="259"/>
  <c r="C96" i="259"/>
  <c r="D96" i="259"/>
  <c r="A97" i="259"/>
  <c r="C97" i="259"/>
  <c r="D97" i="259"/>
  <c r="A98" i="259"/>
  <c r="C98" i="259"/>
  <c r="D98" i="259"/>
  <c r="A99" i="259"/>
  <c r="C99" i="259"/>
  <c r="D99" i="259"/>
  <c r="A100" i="259"/>
  <c r="C100" i="259"/>
  <c r="D100" i="259"/>
  <c r="A101" i="259"/>
  <c r="C101" i="259"/>
  <c r="D101" i="259"/>
  <c r="A102" i="259"/>
  <c r="C102" i="259"/>
  <c r="D102" i="259"/>
  <c r="A103" i="259"/>
  <c r="C103" i="259"/>
  <c r="D103" i="259"/>
  <c r="A104" i="259"/>
  <c r="C104" i="259"/>
  <c r="D104" i="259"/>
  <c r="A105" i="259"/>
  <c r="C105" i="259"/>
  <c r="D105" i="259"/>
  <c r="A106" i="259"/>
  <c r="C106" i="259"/>
  <c r="D106" i="259"/>
  <c r="A107" i="259"/>
  <c r="C107" i="259"/>
  <c r="D107" i="259"/>
  <c r="A108" i="259"/>
  <c r="C108" i="259"/>
  <c r="D108" i="259"/>
  <c r="A109" i="259"/>
  <c r="C109" i="259"/>
  <c r="D109" i="259"/>
  <c r="A110" i="259"/>
  <c r="C110" i="259"/>
  <c r="D110" i="259"/>
  <c r="A111" i="259"/>
  <c r="C111" i="259"/>
  <c r="D111" i="259"/>
  <c r="A112" i="259"/>
  <c r="C112" i="259"/>
  <c r="D112" i="259"/>
  <c r="A113" i="259"/>
  <c r="C113" i="259"/>
  <c r="D113" i="259"/>
  <c r="A114" i="259"/>
  <c r="C114" i="259"/>
  <c r="D114" i="259"/>
  <c r="A115" i="259"/>
  <c r="C115" i="259"/>
  <c r="D115" i="259"/>
  <c r="A116" i="259"/>
  <c r="C116" i="259"/>
  <c r="D116" i="259"/>
  <c r="A117" i="259"/>
  <c r="C117" i="259"/>
  <c r="D117" i="259"/>
  <c r="A118" i="259"/>
  <c r="C118" i="259"/>
  <c r="D118" i="259"/>
  <c r="A119" i="259"/>
  <c r="C119" i="259"/>
  <c r="D119" i="259"/>
  <c r="A120" i="259"/>
  <c r="C120" i="259"/>
  <c r="D120" i="259"/>
  <c r="A121" i="259"/>
  <c r="C121" i="259"/>
  <c r="D121" i="259"/>
  <c r="A122" i="259"/>
  <c r="C122" i="259"/>
  <c r="D122" i="259"/>
  <c r="A123" i="259"/>
  <c r="C123" i="259"/>
  <c r="D123" i="259"/>
  <c r="A124" i="259"/>
  <c r="C124" i="259"/>
  <c r="D124" i="259"/>
  <c r="A125" i="259"/>
  <c r="C125" i="259"/>
  <c r="D125" i="259"/>
  <c r="A126" i="259"/>
  <c r="C126" i="259"/>
  <c r="D126" i="259"/>
  <c r="A127" i="259"/>
  <c r="C127" i="259"/>
  <c r="D127" i="259"/>
  <c r="A128" i="259"/>
  <c r="C128" i="259"/>
  <c r="D128" i="259"/>
  <c r="A129" i="259"/>
  <c r="C129" i="259"/>
  <c r="D129" i="259"/>
  <c r="A130" i="259"/>
  <c r="C130" i="259"/>
  <c r="D130" i="259"/>
  <c r="A131" i="259"/>
  <c r="C131" i="259"/>
  <c r="D131" i="259"/>
  <c r="A132" i="259"/>
  <c r="C132" i="259"/>
  <c r="D132" i="259"/>
  <c r="A133" i="259"/>
  <c r="C133" i="259"/>
  <c r="D133" i="259"/>
  <c r="A134" i="259"/>
  <c r="C134" i="259"/>
  <c r="D134" i="259"/>
  <c r="A135" i="259"/>
  <c r="C135" i="259"/>
  <c r="D135" i="259"/>
  <c r="A136" i="259"/>
  <c r="C136" i="259"/>
  <c r="D136" i="259"/>
  <c r="A137" i="259"/>
  <c r="C137" i="259"/>
  <c r="D137" i="259"/>
  <c r="A138" i="259"/>
  <c r="C138" i="259"/>
  <c r="D138" i="259"/>
  <c r="A139" i="259"/>
  <c r="C139" i="259"/>
  <c r="D139" i="259"/>
  <c r="A140" i="259"/>
  <c r="C140" i="259"/>
  <c r="D140" i="259"/>
  <c r="A141" i="259"/>
  <c r="C141" i="259"/>
  <c r="D141" i="259"/>
  <c r="A142" i="259"/>
  <c r="C142" i="259"/>
  <c r="D142" i="259"/>
  <c r="A143" i="259"/>
  <c r="C143" i="259"/>
  <c r="D143" i="259"/>
  <c r="A144" i="259"/>
  <c r="C144" i="259"/>
  <c r="D144" i="259"/>
  <c r="A145" i="259"/>
  <c r="C145" i="259"/>
  <c r="D145" i="259"/>
  <c r="A146" i="259"/>
  <c r="C146" i="259"/>
  <c r="D146" i="259"/>
  <c r="A147" i="259"/>
  <c r="C147" i="259"/>
  <c r="D147" i="259"/>
  <c r="A148" i="259"/>
  <c r="C148" i="259"/>
  <c r="D148" i="259"/>
  <c r="A149" i="259"/>
  <c r="C149" i="259"/>
  <c r="D149" i="259"/>
  <c r="A150" i="259"/>
  <c r="C150" i="259"/>
  <c r="D150" i="259"/>
  <c r="A151" i="259"/>
  <c r="C151" i="259"/>
  <c r="D151" i="259"/>
  <c r="A152" i="259"/>
  <c r="C152" i="259"/>
  <c r="D152" i="259"/>
  <c r="A153" i="259"/>
  <c r="C153" i="259"/>
  <c r="D153" i="259"/>
  <c r="A154" i="259"/>
  <c r="C154" i="259"/>
  <c r="D154" i="259"/>
  <c r="A155" i="259"/>
  <c r="C155" i="259"/>
  <c r="D155" i="259"/>
  <c r="A156" i="259"/>
  <c r="C156" i="259"/>
  <c r="D156" i="259"/>
  <c r="A157" i="259"/>
  <c r="C157" i="259"/>
  <c r="D157" i="259"/>
  <c r="A158" i="259"/>
  <c r="C158" i="259"/>
  <c r="D158" i="259"/>
  <c r="A159" i="259"/>
  <c r="C159" i="259"/>
  <c r="D159" i="259"/>
  <c r="A160" i="259"/>
  <c r="C160" i="259"/>
  <c r="D160" i="259"/>
  <c r="A161" i="259"/>
  <c r="C161" i="259"/>
  <c r="D161" i="259"/>
  <c r="A162" i="259"/>
  <c r="C162" i="259"/>
  <c r="D162" i="259"/>
  <c r="A163" i="259"/>
  <c r="C163" i="259"/>
  <c r="D163" i="259"/>
  <c r="A164" i="259"/>
  <c r="C164" i="259"/>
  <c r="D164" i="259"/>
  <c r="A165" i="259"/>
  <c r="C165" i="259"/>
  <c r="D165" i="259"/>
  <c r="A166" i="259"/>
  <c r="C166" i="259"/>
  <c r="D166" i="259"/>
  <c r="A167" i="259"/>
  <c r="C167" i="259"/>
  <c r="D167" i="259"/>
  <c r="A168" i="259"/>
  <c r="C168" i="259"/>
  <c r="D168" i="259"/>
  <c r="A169" i="259"/>
  <c r="C169" i="259"/>
  <c r="D169" i="259"/>
  <c r="A170" i="259"/>
  <c r="C170" i="259"/>
  <c r="D170" i="259"/>
  <c r="A171" i="259"/>
  <c r="C171" i="259"/>
  <c r="D171" i="259"/>
  <c r="A172" i="259"/>
  <c r="C172" i="259"/>
  <c r="D172" i="259"/>
  <c r="A173" i="259"/>
  <c r="C173" i="259"/>
  <c r="D173" i="259"/>
  <c r="A174" i="259"/>
  <c r="C174" i="259"/>
  <c r="D174" i="259"/>
  <c r="A175" i="259"/>
  <c r="C175" i="259"/>
  <c r="D175" i="259"/>
  <c r="C176" i="259"/>
  <c r="D176" i="259"/>
  <c r="C177" i="259"/>
  <c r="D177" i="259"/>
  <c r="C178" i="259"/>
  <c r="D178" i="259"/>
  <c r="C179" i="259"/>
  <c r="D179" i="259"/>
  <c r="C180" i="259"/>
  <c r="D180" i="259"/>
  <c r="C181" i="259"/>
  <c r="D181" i="259"/>
  <c r="C182" i="259"/>
  <c r="D182" i="259"/>
  <c r="C183" i="259"/>
  <c r="D183" i="259"/>
  <c r="C184" i="259"/>
  <c r="D184" i="259"/>
  <c r="C185" i="259"/>
  <c r="D185" i="259"/>
  <c r="C186" i="259"/>
  <c r="D186" i="259"/>
  <c r="C187" i="259"/>
  <c r="D187" i="259"/>
  <c r="C188" i="259"/>
  <c r="D188" i="259"/>
  <c r="C189" i="259"/>
  <c r="D189" i="259"/>
  <c r="C190" i="259"/>
  <c r="D190" i="259"/>
  <c r="C191" i="259"/>
  <c r="D191" i="259"/>
  <c r="C192" i="259"/>
  <c r="D192" i="259"/>
  <c r="C193" i="259"/>
  <c r="D193" i="259"/>
  <c r="C194" i="259"/>
  <c r="D194" i="259"/>
  <c r="C195" i="259"/>
  <c r="D195" i="259"/>
  <c r="C196" i="259"/>
  <c r="D196" i="259"/>
  <c r="C197" i="259"/>
  <c r="D197" i="259"/>
  <c r="C198" i="259"/>
  <c r="D198" i="259"/>
  <c r="C199" i="259"/>
  <c r="D199" i="259"/>
  <c r="C200" i="259"/>
  <c r="D200" i="259"/>
  <c r="C201" i="259"/>
  <c r="D201" i="259"/>
  <c r="C202" i="259"/>
  <c r="D202" i="259"/>
  <c r="C203" i="259"/>
  <c r="D203" i="259"/>
  <c r="C204" i="259"/>
  <c r="D204" i="259"/>
  <c r="C205" i="259"/>
  <c r="D205" i="259"/>
  <c r="C206" i="259"/>
  <c r="D206" i="259"/>
  <c r="C207" i="259"/>
  <c r="D207" i="259"/>
  <c r="C208" i="259"/>
  <c r="D208" i="259"/>
  <c r="C209" i="259"/>
  <c r="D209" i="259"/>
  <c r="C210" i="259"/>
  <c r="D210" i="259"/>
  <c r="C211" i="259"/>
  <c r="D211" i="259"/>
  <c r="C212" i="259"/>
  <c r="D212" i="259"/>
  <c r="C213" i="259"/>
  <c r="D213" i="259"/>
  <c r="C214" i="259"/>
  <c r="D214" i="259"/>
  <c r="C215" i="259"/>
  <c r="D215" i="259"/>
  <c r="C216" i="259"/>
  <c r="D216" i="259"/>
  <c r="C217" i="259"/>
  <c r="D217" i="259"/>
  <c r="C218" i="259"/>
  <c r="D218" i="259"/>
  <c r="C219" i="259"/>
  <c r="D219" i="259"/>
  <c r="C220" i="259"/>
  <c r="D220" i="259"/>
  <c r="C221" i="259"/>
  <c r="D221" i="259"/>
  <c r="C222" i="259"/>
  <c r="D222" i="259"/>
  <c r="C223" i="259"/>
  <c r="D223" i="259"/>
  <c r="C224" i="259"/>
  <c r="D224" i="259"/>
  <c r="C225" i="259"/>
  <c r="D225" i="259"/>
  <c r="C226" i="259"/>
  <c r="D226" i="259"/>
  <c r="C227" i="259"/>
  <c r="D227" i="259"/>
  <c r="C228" i="259"/>
  <c r="D228" i="259"/>
  <c r="C229" i="259"/>
  <c r="D229" i="259"/>
  <c r="C230" i="259"/>
  <c r="D230" i="259"/>
  <c r="C231" i="259"/>
  <c r="D231" i="259"/>
  <c r="C232" i="259"/>
  <c r="D232" i="259"/>
  <c r="C233" i="259"/>
  <c r="D233" i="259"/>
  <c r="C234" i="259"/>
  <c r="D234" i="259"/>
  <c r="C235" i="259"/>
  <c r="D235" i="259"/>
  <c r="C236" i="259"/>
  <c r="D236" i="259"/>
  <c r="C237" i="259"/>
  <c r="D237" i="259"/>
  <c r="C238" i="259"/>
  <c r="D238" i="259"/>
  <c r="C239" i="259"/>
  <c r="D239" i="259"/>
  <c r="C240" i="259"/>
  <c r="D240" i="259"/>
  <c r="C241" i="259"/>
  <c r="D241" i="259"/>
  <c r="C242" i="259"/>
  <c r="D242" i="259"/>
  <c r="C243" i="259"/>
  <c r="D243" i="259"/>
  <c r="C244" i="259"/>
  <c r="D244" i="259"/>
  <c r="C245" i="259"/>
  <c r="D245" i="259"/>
  <c r="C246" i="259"/>
  <c r="D246" i="259"/>
  <c r="C247" i="259"/>
  <c r="D247" i="259"/>
  <c r="C248" i="259"/>
  <c r="D248" i="259"/>
  <c r="C249" i="259"/>
  <c r="D249" i="259"/>
  <c r="C250" i="259"/>
  <c r="D250" i="259"/>
  <c r="C251" i="259"/>
  <c r="D251" i="259"/>
  <c r="C252" i="259"/>
  <c r="D252" i="259"/>
  <c r="C253" i="259"/>
  <c r="D253" i="259"/>
  <c r="C254" i="259"/>
  <c r="D254" i="259"/>
  <c r="C255" i="259"/>
  <c r="D255" i="259"/>
  <c r="C256" i="259"/>
  <c r="D256" i="259"/>
  <c r="C257" i="259"/>
  <c r="D257" i="259"/>
  <c r="C258" i="259"/>
  <c r="D258" i="259"/>
  <c r="C259" i="259"/>
  <c r="D259" i="259"/>
  <c r="C260" i="259"/>
  <c r="D260" i="259"/>
  <c r="C261" i="259"/>
  <c r="D261" i="259"/>
  <c r="C262" i="259"/>
  <c r="D262" i="259"/>
  <c r="C263" i="259"/>
  <c r="D263" i="259"/>
  <c r="C264" i="259"/>
  <c r="D264" i="259"/>
  <c r="C265" i="259"/>
  <c r="D265" i="259"/>
  <c r="C266" i="259"/>
  <c r="D266" i="259"/>
  <c r="C267" i="259"/>
  <c r="D267" i="259"/>
  <c r="C268" i="259"/>
  <c r="D268" i="259"/>
  <c r="C269" i="259"/>
  <c r="D269" i="259"/>
  <c r="C270" i="259"/>
  <c r="D270" i="259"/>
  <c r="C271" i="259"/>
  <c r="D271" i="259"/>
  <c r="C272" i="259"/>
  <c r="D272" i="259"/>
  <c r="C273" i="259"/>
  <c r="D273" i="259"/>
  <c r="C274" i="259"/>
  <c r="D274" i="259"/>
  <c r="C275" i="259"/>
  <c r="D275" i="259"/>
  <c r="C276" i="259"/>
  <c r="D276" i="259"/>
  <c r="C277" i="259"/>
  <c r="D277" i="259"/>
  <c r="C278" i="259"/>
  <c r="D278" i="259"/>
  <c r="C279" i="259"/>
  <c r="D279" i="259"/>
  <c r="C280" i="259"/>
  <c r="D280" i="259"/>
  <c r="C281" i="259"/>
  <c r="D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B4" i="35"/>
  <c r="D4" i="35"/>
  <c r="F4" i="35"/>
  <c r="H4" i="35"/>
  <c r="B6" i="35"/>
  <c r="D6" i="35"/>
  <c r="F6" i="35"/>
  <c r="H6" i="35"/>
  <c r="B7" i="35"/>
  <c r="D7" i="35"/>
  <c r="F7" i="35"/>
  <c r="H7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B21" i="35"/>
  <c r="D21" i="35"/>
  <c r="F21" i="35"/>
  <c r="H21" i="35"/>
  <c r="B22" i="35"/>
  <c r="D22" i="35"/>
  <c r="F22" i="35"/>
  <c r="H22" i="35"/>
  <c r="A23" i="35"/>
  <c r="B23" i="35"/>
  <c r="D23" i="35"/>
  <c r="F23" i="35"/>
  <c r="H23" i="35"/>
  <c r="AM24" i="35"/>
  <c r="AN24" i="35"/>
  <c r="AR24" i="35"/>
  <c r="AS24" i="35"/>
  <c r="AT24" i="35"/>
  <c r="AX24" i="35"/>
  <c r="AY24" i="35"/>
  <c r="BC24" i="35"/>
  <c r="BD24" i="35"/>
  <c r="BE24" i="35"/>
  <c r="BI24" i="35"/>
  <c r="BJ24" i="35"/>
  <c r="BN24" i="35"/>
  <c r="BO24" i="35"/>
  <c r="BP24" i="35"/>
  <c r="BT24" i="35"/>
  <c r="BU24" i="35"/>
  <c r="BY24" i="35"/>
  <c r="BZ24" i="35"/>
  <c r="CA24" i="35"/>
  <c r="B25" i="35"/>
  <c r="F25" i="35"/>
  <c r="AL25" i="35"/>
  <c r="AW25" i="35"/>
  <c r="BH25" i="35"/>
  <c r="BS25" i="35"/>
  <c r="AL26" i="35"/>
  <c r="AM26" i="35"/>
  <c r="AN26" i="35"/>
  <c r="AR26" i="35"/>
  <c r="AS26" i="35"/>
  <c r="AT26" i="35"/>
  <c r="AW26" i="35"/>
  <c r="AX26" i="35"/>
  <c r="AY26" i="35"/>
  <c r="BC26" i="35"/>
  <c r="BD26" i="35"/>
  <c r="BE26" i="35"/>
  <c r="BH26" i="35"/>
  <c r="BI26" i="35"/>
  <c r="BJ26" i="35"/>
  <c r="BN26" i="35"/>
  <c r="BO26" i="35"/>
  <c r="BP26" i="35"/>
  <c r="BS26" i="35"/>
  <c r="BT26" i="35"/>
  <c r="BU26" i="35"/>
  <c r="BY26" i="35"/>
  <c r="BZ26" i="35"/>
  <c r="CA26" i="35"/>
  <c r="AP27" i="35"/>
  <c r="BA27" i="35"/>
  <c r="BL27" i="35"/>
  <c r="BW27" i="35"/>
  <c r="D28" i="35"/>
  <c r="J28" i="35"/>
  <c r="P28" i="35"/>
  <c r="V28" i="35"/>
  <c r="AK28" i="35"/>
  <c r="AP28" i="35"/>
  <c r="AV28" i="35"/>
  <c r="BA28" i="35"/>
  <c r="BG28" i="35"/>
  <c r="BL28" i="35"/>
  <c r="BR28" i="35"/>
  <c r="BW28" i="35"/>
  <c r="AQ29" i="35"/>
  <c r="AT29" i="35"/>
  <c r="BB29" i="35"/>
  <c r="BE29" i="35"/>
  <c r="BM29" i="35"/>
  <c r="BP29" i="35"/>
  <c r="BX29" i="35"/>
  <c r="CA29" i="35"/>
  <c r="B31" i="35"/>
  <c r="C31" i="35"/>
  <c r="D31" i="35"/>
  <c r="E31" i="35"/>
  <c r="F31" i="35"/>
  <c r="G31" i="35"/>
  <c r="H31" i="35"/>
  <c r="J31" i="35"/>
  <c r="K31" i="35"/>
  <c r="L31" i="35"/>
  <c r="M31" i="35"/>
  <c r="N31" i="35"/>
  <c r="P31" i="35"/>
  <c r="Q31" i="35"/>
  <c r="R31" i="35"/>
  <c r="S31" i="35"/>
  <c r="T31" i="35"/>
  <c r="V31" i="35"/>
  <c r="W31" i="35"/>
  <c r="X31" i="35"/>
  <c r="Y31" i="35"/>
  <c r="Z31" i="35"/>
  <c r="AC31" i="35"/>
  <c r="AD31" i="35"/>
  <c r="AE31" i="35"/>
  <c r="AF31" i="35"/>
  <c r="AK31" i="35"/>
  <c r="AL31" i="35"/>
  <c r="AM31" i="35"/>
  <c r="AN31" i="35"/>
  <c r="AO31" i="35"/>
  <c r="AP31" i="35"/>
  <c r="AQ31" i="35"/>
  <c r="AR31" i="35"/>
  <c r="AS31" i="35"/>
  <c r="AT31" i="35"/>
  <c r="AV31" i="35"/>
  <c r="AW31" i="35"/>
  <c r="AX31" i="35"/>
  <c r="AY31" i="35"/>
  <c r="AZ31" i="35"/>
  <c r="BA31" i="35"/>
  <c r="BB31" i="35"/>
  <c r="BC31" i="35"/>
  <c r="BD31" i="35"/>
  <c r="BE31" i="35"/>
  <c r="BG31" i="35"/>
  <c r="BH31" i="35"/>
  <c r="BI31" i="35"/>
  <c r="BJ31" i="35"/>
  <c r="BK31" i="35"/>
  <c r="BL31" i="35"/>
  <c r="BM31" i="35"/>
  <c r="BN31" i="35"/>
  <c r="BO31" i="35"/>
  <c r="BP31" i="35"/>
  <c r="BR31" i="35"/>
  <c r="BS31" i="35"/>
  <c r="BT31" i="35"/>
  <c r="BU31" i="35"/>
  <c r="BV31" i="35"/>
  <c r="BW31" i="35"/>
  <c r="BX31" i="35"/>
  <c r="BY31" i="35"/>
  <c r="BZ31" i="35"/>
  <c r="CA31" i="35"/>
  <c r="A32" i="35"/>
  <c r="B32" i="35"/>
  <c r="C32" i="35"/>
  <c r="D32" i="35"/>
  <c r="E32" i="35"/>
  <c r="F32" i="35"/>
  <c r="G32" i="35"/>
  <c r="H32" i="35"/>
  <c r="J32" i="35"/>
  <c r="K32" i="35"/>
  <c r="L32" i="35"/>
  <c r="M32" i="35"/>
  <c r="N32" i="35"/>
  <c r="P32" i="35"/>
  <c r="Q32" i="35"/>
  <c r="R32" i="35"/>
  <c r="S32" i="35"/>
  <c r="T32" i="35"/>
  <c r="V32" i="35"/>
  <c r="W32" i="35"/>
  <c r="X32" i="35"/>
  <c r="Y32" i="35"/>
  <c r="Z32" i="35"/>
  <c r="AC32" i="35"/>
  <c r="AD32" i="35"/>
  <c r="AE32" i="35"/>
  <c r="AF32" i="35"/>
  <c r="AK32" i="35"/>
  <c r="AL32" i="35"/>
  <c r="AM32" i="35"/>
  <c r="AN32" i="35"/>
  <c r="AO32" i="35"/>
  <c r="AP32" i="35"/>
  <c r="AQ32" i="35"/>
  <c r="AR32" i="35"/>
  <c r="AS32" i="35"/>
  <c r="AT32" i="35"/>
  <c r="AV32" i="35"/>
  <c r="AW32" i="35"/>
  <c r="AX32" i="35"/>
  <c r="AY32" i="35"/>
  <c r="AZ32" i="35"/>
  <c r="BA32" i="35"/>
  <c r="BB32" i="35"/>
  <c r="BC32" i="35"/>
  <c r="BD32" i="35"/>
  <c r="BE32" i="35"/>
  <c r="BG32" i="35"/>
  <c r="BH32" i="35"/>
  <c r="BI32" i="35"/>
  <c r="BJ32" i="35"/>
  <c r="BK32" i="35"/>
  <c r="BL32" i="35"/>
  <c r="BM32" i="35"/>
  <c r="BN32" i="35"/>
  <c r="BO32" i="35"/>
  <c r="BP32" i="35"/>
  <c r="BR32" i="35"/>
  <c r="BS32" i="35"/>
  <c r="BT32" i="35"/>
  <c r="BU32" i="35"/>
  <c r="BV32" i="35"/>
  <c r="BW32" i="35"/>
  <c r="BX32" i="35"/>
  <c r="BY32" i="35"/>
  <c r="BZ32" i="35"/>
  <c r="CA32" i="35"/>
  <c r="A33" i="35"/>
  <c r="B33" i="35"/>
  <c r="C33" i="35"/>
  <c r="D33" i="35"/>
  <c r="E33" i="35"/>
  <c r="F33" i="35"/>
  <c r="G33" i="35"/>
  <c r="H33" i="35"/>
  <c r="J33" i="35"/>
  <c r="K33" i="35"/>
  <c r="L33" i="35"/>
  <c r="M33" i="35"/>
  <c r="N33" i="35"/>
  <c r="P33" i="35"/>
  <c r="Q33" i="35"/>
  <c r="R33" i="35"/>
  <c r="S33" i="35"/>
  <c r="T33" i="35"/>
  <c r="V33" i="35"/>
  <c r="W33" i="35"/>
  <c r="X33" i="35"/>
  <c r="Y33" i="35"/>
  <c r="Z33" i="35"/>
  <c r="AC33" i="35"/>
  <c r="AD33" i="35"/>
  <c r="AE33" i="35"/>
  <c r="AF33" i="35"/>
  <c r="AK33" i="35"/>
  <c r="AL33" i="35"/>
  <c r="AM33" i="35"/>
  <c r="AN33" i="35"/>
  <c r="AO33" i="35"/>
  <c r="AP33" i="35"/>
  <c r="AQ33" i="35"/>
  <c r="AR33" i="35"/>
  <c r="AS33" i="35"/>
  <c r="AT33" i="35"/>
  <c r="AV33" i="35"/>
  <c r="AW33" i="35"/>
  <c r="AX33" i="35"/>
  <c r="AY33" i="35"/>
  <c r="AZ33" i="35"/>
  <c r="BA33" i="35"/>
  <c r="BB33" i="35"/>
  <c r="BC33" i="35"/>
  <c r="BD33" i="35"/>
  <c r="BE33" i="35"/>
  <c r="BG33" i="35"/>
  <c r="BH33" i="35"/>
  <c r="BI33" i="35"/>
  <c r="BJ33" i="35"/>
  <c r="BK33" i="35"/>
  <c r="BL33" i="35"/>
  <c r="BM33" i="35"/>
  <c r="BN33" i="35"/>
  <c r="BO33" i="35"/>
  <c r="BP33" i="35"/>
  <c r="BR33" i="35"/>
  <c r="BS33" i="35"/>
  <c r="BT33" i="35"/>
  <c r="BU33" i="35"/>
  <c r="BV33" i="35"/>
  <c r="BW33" i="35"/>
  <c r="BX33" i="35"/>
  <c r="BY33" i="35"/>
  <c r="BZ33" i="35"/>
  <c r="CA33" i="35"/>
  <c r="A34" i="35"/>
  <c r="B34" i="35"/>
  <c r="C34" i="35"/>
  <c r="D34" i="35"/>
  <c r="E34" i="35"/>
  <c r="F34" i="35"/>
  <c r="G34" i="35"/>
  <c r="H34" i="35"/>
  <c r="J34" i="35"/>
  <c r="K34" i="35"/>
  <c r="L34" i="35"/>
  <c r="M34" i="35"/>
  <c r="N34" i="35"/>
  <c r="P34" i="35"/>
  <c r="Q34" i="35"/>
  <c r="R34" i="35"/>
  <c r="S34" i="35"/>
  <c r="T34" i="35"/>
  <c r="V34" i="35"/>
  <c r="W34" i="35"/>
  <c r="X34" i="35"/>
  <c r="Y34" i="35"/>
  <c r="Z34" i="35"/>
  <c r="AC34" i="35"/>
  <c r="AD34" i="35"/>
  <c r="AE34" i="35"/>
  <c r="AF34" i="35"/>
  <c r="AK34" i="35"/>
  <c r="AL34" i="35"/>
  <c r="AM34" i="35"/>
  <c r="AN34" i="35"/>
  <c r="AO34" i="35"/>
  <c r="AP34" i="35"/>
  <c r="AQ34" i="35"/>
  <c r="AR34" i="35"/>
  <c r="AS34" i="35"/>
  <c r="AT34" i="35"/>
  <c r="AV34" i="35"/>
  <c r="AW34" i="35"/>
  <c r="AX34" i="35"/>
  <c r="AY34" i="35"/>
  <c r="AZ34" i="35"/>
  <c r="BA34" i="35"/>
  <c r="BB34" i="35"/>
  <c r="BC34" i="35"/>
  <c r="BD34" i="35"/>
  <c r="BE34" i="35"/>
  <c r="BG34" i="35"/>
  <c r="BH34" i="35"/>
  <c r="BI34" i="35"/>
  <c r="BJ34" i="35"/>
  <c r="BK34" i="35"/>
  <c r="BL34" i="35"/>
  <c r="BM34" i="35"/>
  <c r="BN34" i="35"/>
  <c r="BO34" i="35"/>
  <c r="BP34" i="35"/>
  <c r="BR34" i="35"/>
  <c r="BS34" i="35"/>
  <c r="BT34" i="35"/>
  <c r="BU34" i="35"/>
  <c r="BV34" i="35"/>
  <c r="BW34" i="35"/>
  <c r="BX34" i="35"/>
  <c r="BY34" i="35"/>
  <c r="BZ34" i="35"/>
  <c r="CA34" i="35"/>
  <c r="A35" i="35"/>
  <c r="B35" i="35"/>
  <c r="C35" i="35"/>
  <c r="D35" i="35"/>
  <c r="E35" i="35"/>
  <c r="F35" i="35"/>
  <c r="G35" i="35"/>
  <c r="H35" i="35"/>
  <c r="J35" i="35"/>
  <c r="K35" i="35"/>
  <c r="L35" i="35"/>
  <c r="M35" i="35"/>
  <c r="N35" i="35"/>
  <c r="P35" i="35"/>
  <c r="Q35" i="35"/>
  <c r="R35" i="35"/>
  <c r="S35" i="35"/>
  <c r="T35" i="35"/>
  <c r="V35" i="35"/>
  <c r="W35" i="35"/>
  <c r="X35" i="35"/>
  <c r="Y35" i="35"/>
  <c r="Z35" i="35"/>
  <c r="AC35" i="35"/>
  <c r="AD35" i="35"/>
  <c r="AE35" i="35"/>
  <c r="AF35" i="35"/>
  <c r="AK35" i="35"/>
  <c r="AL35" i="35"/>
  <c r="AM35" i="35"/>
  <c r="AN35" i="35"/>
  <c r="AO35" i="35"/>
  <c r="AP35" i="35"/>
  <c r="AQ35" i="35"/>
  <c r="AR35" i="35"/>
  <c r="AS35" i="35"/>
  <c r="AT35" i="35"/>
  <c r="AV35" i="35"/>
  <c r="AW35" i="35"/>
  <c r="AX35" i="35"/>
  <c r="AY35" i="35"/>
  <c r="AZ35" i="35"/>
  <c r="BA35" i="35"/>
  <c r="BB35" i="35"/>
  <c r="BC35" i="35"/>
  <c r="BD35" i="35"/>
  <c r="BE35" i="35"/>
  <c r="BG35" i="35"/>
  <c r="BH35" i="35"/>
  <c r="BI35" i="35"/>
  <c r="BJ35" i="35"/>
  <c r="BK35" i="35"/>
  <c r="BL35" i="35"/>
  <c r="BM35" i="35"/>
  <c r="BN35" i="35"/>
  <c r="BO35" i="35"/>
  <c r="BP35" i="35"/>
  <c r="BR35" i="35"/>
  <c r="BS35" i="35"/>
  <c r="BT35" i="35"/>
  <c r="BU35" i="35"/>
  <c r="BV35" i="35"/>
  <c r="BW35" i="35"/>
  <c r="BX35" i="35"/>
  <c r="BY35" i="35"/>
  <c r="BZ35" i="35"/>
  <c r="CA35" i="35"/>
  <c r="A36" i="35"/>
  <c r="B36" i="35"/>
  <c r="C36" i="35"/>
  <c r="D36" i="35"/>
  <c r="E36" i="35"/>
  <c r="F36" i="35"/>
  <c r="G36" i="35"/>
  <c r="H36" i="35"/>
  <c r="J36" i="35"/>
  <c r="K36" i="35"/>
  <c r="L36" i="35"/>
  <c r="M36" i="35"/>
  <c r="N36" i="35"/>
  <c r="P36" i="35"/>
  <c r="Q36" i="35"/>
  <c r="R36" i="35"/>
  <c r="S36" i="35"/>
  <c r="T36" i="35"/>
  <c r="V36" i="35"/>
  <c r="W36" i="35"/>
  <c r="X36" i="35"/>
  <c r="Y36" i="35"/>
  <c r="Z36" i="35"/>
  <c r="AC36" i="35"/>
  <c r="AD36" i="35"/>
  <c r="AE36" i="35"/>
  <c r="AF36" i="35"/>
  <c r="AK36" i="35"/>
  <c r="AL36" i="35"/>
  <c r="AM36" i="35"/>
  <c r="AN36" i="35"/>
  <c r="AO36" i="35"/>
  <c r="AP36" i="35"/>
  <c r="AQ36" i="35"/>
  <c r="AR36" i="35"/>
  <c r="AS36" i="35"/>
  <c r="AT36" i="35"/>
  <c r="AV36" i="35"/>
  <c r="AW36" i="35"/>
  <c r="AX36" i="35"/>
  <c r="AY36" i="35"/>
  <c r="AZ36" i="35"/>
  <c r="BA36" i="35"/>
  <c r="BB36" i="35"/>
  <c r="BC36" i="35"/>
  <c r="BD36" i="35"/>
  <c r="BE36" i="35"/>
  <c r="BG36" i="35"/>
  <c r="BH36" i="35"/>
  <c r="BI36" i="35"/>
  <c r="BJ36" i="35"/>
  <c r="BK36" i="35"/>
  <c r="BL36" i="35"/>
  <c r="BM36" i="35"/>
  <c r="BN36" i="35"/>
  <c r="BO36" i="35"/>
  <c r="BP36" i="35"/>
  <c r="BR36" i="35"/>
  <c r="BS36" i="35"/>
  <c r="BT36" i="35"/>
  <c r="BU36" i="35"/>
  <c r="BV36" i="35"/>
  <c r="BW36" i="35"/>
  <c r="BX36" i="35"/>
  <c r="BY36" i="35"/>
  <c r="BZ36" i="35"/>
  <c r="CA36" i="35"/>
  <c r="A37" i="35"/>
  <c r="B37" i="35"/>
  <c r="C37" i="35"/>
  <c r="D37" i="35"/>
  <c r="E37" i="35"/>
  <c r="F37" i="35"/>
  <c r="G37" i="35"/>
  <c r="H37" i="35"/>
  <c r="J37" i="35"/>
  <c r="K37" i="35"/>
  <c r="L37" i="35"/>
  <c r="M37" i="35"/>
  <c r="N37" i="35"/>
  <c r="P37" i="35"/>
  <c r="Q37" i="35"/>
  <c r="R37" i="35"/>
  <c r="S37" i="35"/>
  <c r="T37" i="35"/>
  <c r="V37" i="35"/>
  <c r="W37" i="35"/>
  <c r="X37" i="35"/>
  <c r="Y37" i="35"/>
  <c r="Z37" i="35"/>
  <c r="AC37" i="35"/>
  <c r="AD37" i="35"/>
  <c r="AE37" i="35"/>
  <c r="AF37" i="35"/>
  <c r="AK37" i="35"/>
  <c r="AL37" i="35"/>
  <c r="AM37" i="35"/>
  <c r="AN37" i="35"/>
  <c r="AO37" i="35"/>
  <c r="AP37" i="35"/>
  <c r="AQ37" i="35"/>
  <c r="AR37" i="35"/>
  <c r="AS37" i="35"/>
  <c r="AT37" i="35"/>
  <c r="AV37" i="35"/>
  <c r="AW37" i="35"/>
  <c r="AX37" i="35"/>
  <c r="AY37" i="35"/>
  <c r="AZ37" i="35"/>
  <c r="BA37" i="35"/>
  <c r="BB37" i="35"/>
  <c r="BC37" i="35"/>
  <c r="BD37" i="35"/>
  <c r="BE37" i="35"/>
  <c r="BG37" i="35"/>
  <c r="BH37" i="35"/>
  <c r="BI37" i="35"/>
  <c r="BJ37" i="35"/>
  <c r="BK37" i="35"/>
  <c r="BL37" i="35"/>
  <c r="BM37" i="35"/>
  <c r="BN37" i="35"/>
  <c r="BO37" i="35"/>
  <c r="BP37" i="35"/>
  <c r="BR37" i="35"/>
  <c r="BS37" i="35"/>
  <c r="BT37" i="35"/>
  <c r="BU37" i="35"/>
  <c r="BV37" i="35"/>
  <c r="BW37" i="35"/>
  <c r="BX37" i="35"/>
  <c r="BY37" i="35"/>
  <c r="BZ37" i="35"/>
  <c r="CA37" i="35"/>
  <c r="A38" i="35"/>
  <c r="B38" i="35"/>
  <c r="C38" i="35"/>
  <c r="D38" i="35"/>
  <c r="E38" i="35"/>
  <c r="F38" i="35"/>
  <c r="G38" i="35"/>
  <c r="H38" i="35"/>
  <c r="J38" i="35"/>
  <c r="K38" i="35"/>
  <c r="L38" i="35"/>
  <c r="M38" i="35"/>
  <c r="N38" i="35"/>
  <c r="P38" i="35"/>
  <c r="Q38" i="35"/>
  <c r="R38" i="35"/>
  <c r="S38" i="35"/>
  <c r="T38" i="35"/>
  <c r="V38" i="35"/>
  <c r="W38" i="35"/>
  <c r="X38" i="35"/>
  <c r="Y38" i="35"/>
  <c r="Z38" i="35"/>
  <c r="AC38" i="35"/>
  <c r="AD38" i="35"/>
  <c r="AE38" i="35"/>
  <c r="AF38" i="35"/>
  <c r="AK38" i="35"/>
  <c r="AL38" i="35"/>
  <c r="AM38" i="35"/>
  <c r="AN38" i="35"/>
  <c r="AO38" i="35"/>
  <c r="AP38" i="35"/>
  <c r="AQ38" i="35"/>
  <c r="AR38" i="35"/>
  <c r="AS38" i="35"/>
  <c r="AT38" i="35"/>
  <c r="AV38" i="35"/>
  <c r="AW38" i="35"/>
  <c r="AX38" i="35"/>
  <c r="AY38" i="35"/>
  <c r="AZ38" i="35"/>
  <c r="BA38" i="35"/>
  <c r="BB38" i="35"/>
  <c r="BC38" i="35"/>
  <c r="BD38" i="35"/>
  <c r="BE38" i="35"/>
  <c r="BG38" i="35"/>
  <c r="BH38" i="35"/>
  <c r="BI38" i="35"/>
  <c r="BJ38" i="35"/>
  <c r="BK38" i="35"/>
  <c r="BL38" i="35"/>
  <c r="BM38" i="35"/>
  <c r="BN38" i="35"/>
  <c r="BO38" i="35"/>
  <c r="BP38" i="35"/>
  <c r="BR38" i="35"/>
  <c r="BS38" i="35"/>
  <c r="BT38" i="35"/>
  <c r="BU38" i="35"/>
  <c r="BV38" i="35"/>
  <c r="BW38" i="35"/>
  <c r="BX38" i="35"/>
  <c r="BY38" i="35"/>
  <c r="BZ38" i="35"/>
  <c r="CA38" i="35"/>
  <c r="A39" i="35"/>
  <c r="B39" i="35"/>
  <c r="C39" i="35"/>
  <c r="D39" i="35"/>
  <c r="E39" i="35"/>
  <c r="F39" i="35"/>
  <c r="G39" i="35"/>
  <c r="H39" i="35"/>
  <c r="J39" i="35"/>
  <c r="K39" i="35"/>
  <c r="L39" i="35"/>
  <c r="M39" i="35"/>
  <c r="N39" i="35"/>
  <c r="P39" i="35"/>
  <c r="Q39" i="35"/>
  <c r="R39" i="35"/>
  <c r="S39" i="35"/>
  <c r="T39" i="35"/>
  <c r="V39" i="35"/>
  <c r="W39" i="35"/>
  <c r="X39" i="35"/>
  <c r="Y39" i="35"/>
  <c r="Z39" i="35"/>
  <c r="AC39" i="35"/>
  <c r="AD39" i="35"/>
  <c r="AE39" i="35"/>
  <c r="AF39" i="35"/>
  <c r="AK39" i="35"/>
  <c r="AL39" i="35"/>
  <c r="AM39" i="35"/>
  <c r="AN39" i="35"/>
  <c r="AO39" i="35"/>
  <c r="AP39" i="35"/>
  <c r="AQ39" i="35"/>
  <c r="AR39" i="35"/>
  <c r="AS39" i="35"/>
  <c r="AT39" i="35"/>
  <c r="AV39" i="35"/>
  <c r="AW39" i="35"/>
  <c r="AX39" i="35"/>
  <c r="AY39" i="35"/>
  <c r="AZ39" i="35"/>
  <c r="BA39" i="35"/>
  <c r="BB39" i="35"/>
  <c r="BC39" i="35"/>
  <c r="BD39" i="35"/>
  <c r="BE39" i="35"/>
  <c r="BG39" i="35"/>
  <c r="BH39" i="35"/>
  <c r="BI39" i="35"/>
  <c r="BJ39" i="35"/>
  <c r="BK39" i="35"/>
  <c r="BL39" i="35"/>
  <c r="BM39" i="35"/>
  <c r="BN39" i="35"/>
  <c r="BO39" i="35"/>
  <c r="BP39" i="35"/>
  <c r="BR39" i="35"/>
  <c r="BS39" i="35"/>
  <c r="BT39" i="35"/>
  <c r="BU39" i="35"/>
  <c r="BV39" i="35"/>
  <c r="BW39" i="35"/>
  <c r="BX39" i="35"/>
  <c r="BY39" i="35"/>
  <c r="BZ39" i="35"/>
  <c r="CA39" i="35"/>
  <c r="A40" i="35"/>
  <c r="B40" i="35"/>
  <c r="C40" i="35"/>
  <c r="D40" i="35"/>
  <c r="E40" i="35"/>
  <c r="F40" i="35"/>
  <c r="G40" i="35"/>
  <c r="H40" i="35"/>
  <c r="J40" i="35"/>
  <c r="K40" i="35"/>
  <c r="L40" i="35"/>
  <c r="M40" i="35"/>
  <c r="N40" i="35"/>
  <c r="P40" i="35"/>
  <c r="Q40" i="35"/>
  <c r="R40" i="35"/>
  <c r="S40" i="35"/>
  <c r="T40" i="35"/>
  <c r="V40" i="35"/>
  <c r="W40" i="35"/>
  <c r="X40" i="35"/>
  <c r="Y40" i="35"/>
  <c r="Z40" i="35"/>
  <c r="AC40" i="35"/>
  <c r="AD40" i="35"/>
  <c r="AE40" i="35"/>
  <c r="AF40" i="35"/>
  <c r="AK40" i="35"/>
  <c r="AL40" i="35"/>
  <c r="AM40" i="35"/>
  <c r="AN40" i="35"/>
  <c r="AO40" i="35"/>
  <c r="AP40" i="35"/>
  <c r="AQ40" i="35"/>
  <c r="AR40" i="35"/>
  <c r="AS40" i="35"/>
  <c r="AT40" i="35"/>
  <c r="AV40" i="35"/>
  <c r="AW40" i="35"/>
  <c r="AX40" i="35"/>
  <c r="AY40" i="35"/>
  <c r="AZ40" i="35"/>
  <c r="BA40" i="35"/>
  <c r="BB40" i="35"/>
  <c r="BC40" i="35"/>
  <c r="BD40" i="35"/>
  <c r="BE40" i="35"/>
  <c r="BG40" i="35"/>
  <c r="BH40" i="35"/>
  <c r="BI40" i="35"/>
  <c r="BJ40" i="35"/>
  <c r="BK40" i="35"/>
  <c r="BL40" i="35"/>
  <c r="BM40" i="35"/>
  <c r="BN40" i="35"/>
  <c r="BO40" i="35"/>
  <c r="BP40" i="35"/>
  <c r="BR40" i="35"/>
  <c r="BS40" i="35"/>
  <c r="BT40" i="35"/>
  <c r="BU40" i="35"/>
  <c r="BV40" i="35"/>
  <c r="BW40" i="35"/>
  <c r="BX40" i="35"/>
  <c r="BY40" i="35"/>
  <c r="BZ40" i="35"/>
  <c r="CA40" i="35"/>
  <c r="A41" i="35"/>
  <c r="B41" i="35"/>
  <c r="C41" i="35"/>
  <c r="D41" i="35"/>
  <c r="E41" i="35"/>
  <c r="F41" i="35"/>
  <c r="G41" i="35"/>
  <c r="H41" i="35"/>
  <c r="J41" i="35"/>
  <c r="K41" i="35"/>
  <c r="L41" i="35"/>
  <c r="M41" i="35"/>
  <c r="N41" i="35"/>
  <c r="P41" i="35"/>
  <c r="Q41" i="35"/>
  <c r="R41" i="35"/>
  <c r="S41" i="35"/>
  <c r="T41" i="35"/>
  <c r="V41" i="35"/>
  <c r="W41" i="35"/>
  <c r="X41" i="35"/>
  <c r="Y41" i="35"/>
  <c r="Z41" i="35"/>
  <c r="AC41" i="35"/>
  <c r="AD41" i="35"/>
  <c r="AE41" i="35"/>
  <c r="AF41" i="35"/>
  <c r="AK41" i="35"/>
  <c r="AL41" i="35"/>
  <c r="AM41" i="35"/>
  <c r="AN41" i="35"/>
  <c r="AO41" i="35"/>
  <c r="AP41" i="35"/>
  <c r="AQ41" i="35"/>
  <c r="AR41" i="35"/>
  <c r="AS41" i="35"/>
  <c r="AT41" i="35"/>
  <c r="AV41" i="35"/>
  <c r="AW41" i="35"/>
  <c r="AX41" i="35"/>
  <c r="AY41" i="35"/>
  <c r="AZ41" i="35"/>
  <c r="BA41" i="35"/>
  <c r="BB41" i="35"/>
  <c r="BC41" i="35"/>
  <c r="BD41" i="35"/>
  <c r="BE41" i="35"/>
  <c r="BG41" i="35"/>
  <c r="BH41" i="35"/>
  <c r="BI41" i="35"/>
  <c r="BJ41" i="35"/>
  <c r="BK41" i="35"/>
  <c r="BL41" i="35"/>
  <c r="BM41" i="35"/>
  <c r="BN41" i="35"/>
  <c r="BO41" i="35"/>
  <c r="BP41" i="35"/>
  <c r="BR41" i="35"/>
  <c r="BS41" i="35"/>
  <c r="BT41" i="35"/>
  <c r="BU41" i="35"/>
  <c r="BV41" i="35"/>
  <c r="BW41" i="35"/>
  <c r="BX41" i="35"/>
  <c r="BY41" i="35"/>
  <c r="BZ41" i="35"/>
  <c r="CA41" i="35"/>
  <c r="A42" i="35"/>
  <c r="B42" i="35"/>
  <c r="C42" i="35"/>
  <c r="D42" i="35"/>
  <c r="E42" i="35"/>
  <c r="F42" i="35"/>
  <c r="G42" i="35"/>
  <c r="H42" i="35"/>
  <c r="J42" i="35"/>
  <c r="K42" i="35"/>
  <c r="L42" i="35"/>
  <c r="M42" i="35"/>
  <c r="N42" i="35"/>
  <c r="P42" i="35"/>
  <c r="Q42" i="35"/>
  <c r="R42" i="35"/>
  <c r="S42" i="35"/>
  <c r="T42" i="35"/>
  <c r="V42" i="35"/>
  <c r="W42" i="35"/>
  <c r="X42" i="35"/>
  <c r="Y42" i="35"/>
  <c r="Z42" i="35"/>
  <c r="AC42" i="35"/>
  <c r="AD42" i="35"/>
  <c r="AE42" i="35"/>
  <c r="AF42" i="35"/>
  <c r="AK42" i="35"/>
  <c r="AL42" i="35"/>
  <c r="AM42" i="35"/>
  <c r="AN42" i="35"/>
  <c r="AO42" i="35"/>
  <c r="AP42" i="35"/>
  <c r="AQ42" i="35"/>
  <c r="AR42" i="35"/>
  <c r="AS42" i="35"/>
  <c r="AT42" i="35"/>
  <c r="AV42" i="35"/>
  <c r="AW42" i="35"/>
  <c r="AX42" i="35"/>
  <c r="AY42" i="35"/>
  <c r="AZ42" i="35"/>
  <c r="BA42" i="35"/>
  <c r="BB42" i="35"/>
  <c r="BC42" i="35"/>
  <c r="BD42" i="35"/>
  <c r="BE42" i="35"/>
  <c r="BG42" i="35"/>
  <c r="BH42" i="35"/>
  <c r="BI42" i="35"/>
  <c r="BJ42" i="35"/>
  <c r="BK42" i="35"/>
  <c r="BL42" i="35"/>
  <c r="BM42" i="35"/>
  <c r="BN42" i="35"/>
  <c r="BO42" i="35"/>
  <c r="BP42" i="35"/>
  <c r="BR42" i="35"/>
  <c r="BS42" i="35"/>
  <c r="BT42" i="35"/>
  <c r="BU42" i="35"/>
  <c r="BV42" i="35"/>
  <c r="BW42" i="35"/>
  <c r="BX42" i="35"/>
  <c r="BY42" i="35"/>
  <c r="BZ42" i="35"/>
  <c r="CA42" i="35"/>
  <c r="A43" i="35"/>
  <c r="B43" i="35"/>
  <c r="C43" i="35"/>
  <c r="D43" i="35"/>
  <c r="E43" i="35"/>
  <c r="F43" i="35"/>
  <c r="G43" i="35"/>
  <c r="H43" i="35"/>
  <c r="J43" i="35"/>
  <c r="K43" i="35"/>
  <c r="L43" i="35"/>
  <c r="M43" i="35"/>
  <c r="N43" i="35"/>
  <c r="P43" i="35"/>
  <c r="Q43" i="35"/>
  <c r="R43" i="35"/>
  <c r="S43" i="35"/>
  <c r="T43" i="35"/>
  <c r="V43" i="35"/>
  <c r="W43" i="35"/>
  <c r="X43" i="35"/>
  <c r="Y43" i="35"/>
  <c r="Z43" i="35"/>
  <c r="AC43" i="35"/>
  <c r="AD43" i="35"/>
  <c r="AE43" i="35"/>
  <c r="AF43" i="35"/>
  <c r="AK43" i="35"/>
  <c r="AL43" i="35"/>
  <c r="AM43" i="35"/>
  <c r="AN43" i="35"/>
  <c r="AO43" i="35"/>
  <c r="AP43" i="35"/>
  <c r="AQ43" i="35"/>
  <c r="AR43" i="35"/>
  <c r="AS43" i="35"/>
  <c r="AT43" i="35"/>
  <c r="AV43" i="35"/>
  <c r="AW43" i="35"/>
  <c r="AX43" i="35"/>
  <c r="AY43" i="35"/>
  <c r="AZ43" i="35"/>
  <c r="BA43" i="35"/>
  <c r="BB43" i="35"/>
  <c r="BC43" i="35"/>
  <c r="BD43" i="35"/>
  <c r="BE43" i="35"/>
  <c r="BG43" i="35"/>
  <c r="BH43" i="35"/>
  <c r="BI43" i="35"/>
  <c r="BJ43" i="35"/>
  <c r="BK43" i="35"/>
  <c r="BL43" i="35"/>
  <c r="BM43" i="35"/>
  <c r="BN43" i="35"/>
  <c r="BO43" i="35"/>
  <c r="BP43" i="35"/>
  <c r="BR43" i="35"/>
  <c r="BS43" i="35"/>
  <c r="BT43" i="35"/>
  <c r="BU43" i="35"/>
  <c r="BV43" i="35"/>
  <c r="BW43" i="35"/>
  <c r="BX43" i="35"/>
  <c r="BY43" i="35"/>
  <c r="BZ43" i="35"/>
  <c r="CA43" i="35"/>
  <c r="A44" i="35"/>
  <c r="B44" i="35"/>
  <c r="C44" i="35"/>
  <c r="D44" i="35"/>
  <c r="E44" i="35"/>
  <c r="F44" i="35"/>
  <c r="G44" i="35"/>
  <c r="H44" i="35"/>
  <c r="J44" i="35"/>
  <c r="K44" i="35"/>
  <c r="L44" i="35"/>
  <c r="M44" i="35"/>
  <c r="N44" i="35"/>
  <c r="P44" i="35"/>
  <c r="Q44" i="35"/>
  <c r="R44" i="35"/>
  <c r="S44" i="35"/>
  <c r="T44" i="35"/>
  <c r="V44" i="35"/>
  <c r="W44" i="35"/>
  <c r="X44" i="35"/>
  <c r="Y44" i="35"/>
  <c r="Z44" i="35"/>
  <c r="AC44" i="35"/>
  <c r="AD44" i="35"/>
  <c r="AE44" i="35"/>
  <c r="AF44" i="35"/>
  <c r="AK44" i="35"/>
  <c r="AL44" i="35"/>
  <c r="AM44" i="35"/>
  <c r="AN44" i="35"/>
  <c r="AO44" i="35"/>
  <c r="AP44" i="35"/>
  <c r="AQ44" i="35"/>
  <c r="AR44" i="35"/>
  <c r="AS44" i="35"/>
  <c r="AT44" i="35"/>
  <c r="AV44" i="35"/>
  <c r="AW44" i="35"/>
  <c r="AX44" i="35"/>
  <c r="AY44" i="35"/>
  <c r="AZ44" i="35"/>
  <c r="BA44" i="35"/>
  <c r="BB44" i="35"/>
  <c r="BC44" i="35"/>
  <c r="BD44" i="35"/>
  <c r="BE44" i="35"/>
  <c r="BG44" i="35"/>
  <c r="BH44" i="35"/>
  <c r="BI44" i="35"/>
  <c r="BJ44" i="35"/>
  <c r="BK44" i="35"/>
  <c r="BL44" i="35"/>
  <c r="BM44" i="35"/>
  <c r="BN44" i="35"/>
  <c r="BO44" i="35"/>
  <c r="BP44" i="35"/>
  <c r="BR44" i="35"/>
  <c r="BS44" i="35"/>
  <c r="BT44" i="35"/>
  <c r="BU44" i="35"/>
  <c r="BV44" i="35"/>
  <c r="BW44" i="35"/>
  <c r="BX44" i="35"/>
  <c r="BY44" i="35"/>
  <c r="BZ44" i="35"/>
  <c r="CA44" i="35"/>
  <c r="A45" i="35"/>
  <c r="B45" i="35"/>
  <c r="C45" i="35"/>
  <c r="D45" i="35"/>
  <c r="E45" i="35"/>
  <c r="F45" i="35"/>
  <c r="G45" i="35"/>
  <c r="H45" i="35"/>
  <c r="J45" i="35"/>
  <c r="K45" i="35"/>
  <c r="L45" i="35"/>
  <c r="M45" i="35"/>
  <c r="N45" i="35"/>
  <c r="P45" i="35"/>
  <c r="Q45" i="35"/>
  <c r="R45" i="35"/>
  <c r="S45" i="35"/>
  <c r="T45" i="35"/>
  <c r="V45" i="35"/>
  <c r="W45" i="35"/>
  <c r="X45" i="35"/>
  <c r="Y45" i="35"/>
  <c r="Z45" i="35"/>
  <c r="AC45" i="35"/>
  <c r="AD45" i="35"/>
  <c r="AE45" i="35"/>
  <c r="AF45" i="35"/>
  <c r="AK45" i="35"/>
  <c r="AL45" i="35"/>
  <c r="AM45" i="35"/>
  <c r="AN45" i="35"/>
  <c r="AO45" i="35"/>
  <c r="AP45" i="35"/>
  <c r="AQ45" i="35"/>
  <c r="AR45" i="35"/>
  <c r="AS45" i="35"/>
  <c r="AT45" i="35"/>
  <c r="AV45" i="35"/>
  <c r="AW45" i="35"/>
  <c r="AX45" i="35"/>
  <c r="AY45" i="35"/>
  <c r="AZ45" i="35"/>
  <c r="BA45" i="35"/>
  <c r="BB45" i="35"/>
  <c r="BC45" i="35"/>
  <c r="BD45" i="35"/>
  <c r="BE45" i="35"/>
  <c r="BG45" i="35"/>
  <c r="BH45" i="35"/>
  <c r="BI45" i="35"/>
  <c r="BJ45" i="35"/>
  <c r="BK45" i="35"/>
  <c r="BL45" i="35"/>
  <c r="BM45" i="35"/>
  <c r="BN45" i="35"/>
  <c r="BO45" i="35"/>
  <c r="BP45" i="35"/>
  <c r="BR45" i="35"/>
  <c r="BS45" i="35"/>
  <c r="BT45" i="35"/>
  <c r="BU45" i="35"/>
  <c r="BV45" i="35"/>
  <c r="BW45" i="35"/>
  <c r="BX45" i="35"/>
  <c r="BY45" i="35"/>
  <c r="BZ45" i="35"/>
  <c r="CA45" i="35"/>
  <c r="A46" i="35"/>
  <c r="B46" i="35"/>
  <c r="C46" i="35"/>
  <c r="D46" i="35"/>
  <c r="E46" i="35"/>
  <c r="F46" i="35"/>
  <c r="G46" i="35"/>
  <c r="H46" i="35"/>
  <c r="J46" i="35"/>
  <c r="K46" i="35"/>
  <c r="L46" i="35"/>
  <c r="M46" i="35"/>
  <c r="N46" i="35"/>
  <c r="P46" i="35"/>
  <c r="Q46" i="35"/>
  <c r="R46" i="35"/>
  <c r="S46" i="35"/>
  <c r="T46" i="35"/>
  <c r="V46" i="35"/>
  <c r="W46" i="35"/>
  <c r="X46" i="35"/>
  <c r="Y46" i="35"/>
  <c r="Z46" i="35"/>
  <c r="AC46" i="35"/>
  <c r="AD46" i="35"/>
  <c r="AE46" i="35"/>
  <c r="AF46" i="35"/>
  <c r="AK46" i="35"/>
  <c r="AL46" i="35"/>
  <c r="AM46" i="35"/>
  <c r="AN46" i="35"/>
  <c r="AO46" i="35"/>
  <c r="AP46" i="35"/>
  <c r="AQ46" i="35"/>
  <c r="AR46" i="35"/>
  <c r="AS46" i="35"/>
  <c r="AT46" i="35"/>
  <c r="AV46" i="35"/>
  <c r="AW46" i="35"/>
  <c r="AX46" i="35"/>
  <c r="AY46" i="35"/>
  <c r="AZ46" i="35"/>
  <c r="BA46" i="35"/>
  <c r="BB46" i="35"/>
  <c r="BC46" i="35"/>
  <c r="BD46" i="35"/>
  <c r="BE46" i="35"/>
  <c r="BG46" i="35"/>
  <c r="BH46" i="35"/>
  <c r="BI46" i="35"/>
  <c r="BJ46" i="35"/>
  <c r="BK46" i="35"/>
  <c r="BL46" i="35"/>
  <c r="BM46" i="35"/>
  <c r="BN46" i="35"/>
  <c r="BO46" i="35"/>
  <c r="BP46" i="35"/>
  <c r="BR46" i="35"/>
  <c r="BS46" i="35"/>
  <c r="BT46" i="35"/>
  <c r="BU46" i="35"/>
  <c r="BV46" i="35"/>
  <c r="BW46" i="35"/>
  <c r="BX46" i="35"/>
  <c r="BY46" i="35"/>
  <c r="BZ46" i="35"/>
  <c r="CA46" i="35"/>
  <c r="A47" i="35"/>
  <c r="B47" i="35"/>
  <c r="C47" i="35"/>
  <c r="D47" i="35"/>
  <c r="E47" i="35"/>
  <c r="F47" i="35"/>
  <c r="G47" i="35"/>
  <c r="H47" i="35"/>
  <c r="J47" i="35"/>
  <c r="K47" i="35"/>
  <c r="L47" i="35"/>
  <c r="M47" i="35"/>
  <c r="N47" i="35"/>
  <c r="P47" i="35"/>
  <c r="Q47" i="35"/>
  <c r="R47" i="35"/>
  <c r="S47" i="35"/>
  <c r="T47" i="35"/>
  <c r="V47" i="35"/>
  <c r="W47" i="35"/>
  <c r="X47" i="35"/>
  <c r="Y47" i="35"/>
  <c r="Z47" i="35"/>
  <c r="AC47" i="35"/>
  <c r="AD47" i="35"/>
  <c r="AE47" i="35"/>
  <c r="AF47" i="35"/>
  <c r="AK47" i="35"/>
  <c r="AL47" i="35"/>
  <c r="AM47" i="35"/>
  <c r="AN47" i="35"/>
  <c r="AO47" i="35"/>
  <c r="AP47" i="35"/>
  <c r="AQ47" i="35"/>
  <c r="AR47" i="35"/>
  <c r="AS47" i="35"/>
  <c r="AT47" i="35"/>
  <c r="AV47" i="35"/>
  <c r="AW47" i="35"/>
  <c r="AX47" i="35"/>
  <c r="AY47" i="35"/>
  <c r="AZ47" i="35"/>
  <c r="BA47" i="35"/>
  <c r="BB47" i="35"/>
  <c r="BC47" i="35"/>
  <c r="BD47" i="35"/>
  <c r="BE47" i="35"/>
  <c r="BG47" i="35"/>
  <c r="BH47" i="35"/>
  <c r="BI47" i="35"/>
  <c r="BJ47" i="35"/>
  <c r="BK47" i="35"/>
  <c r="BL47" i="35"/>
  <c r="BM47" i="35"/>
  <c r="BN47" i="35"/>
  <c r="BO47" i="35"/>
  <c r="BP47" i="35"/>
  <c r="BR47" i="35"/>
  <c r="BS47" i="35"/>
  <c r="BT47" i="35"/>
  <c r="BU47" i="35"/>
  <c r="BV47" i="35"/>
  <c r="BW47" i="35"/>
  <c r="BX47" i="35"/>
  <c r="BY47" i="35"/>
  <c r="BZ47" i="35"/>
  <c r="CA47" i="35"/>
  <c r="A48" i="35"/>
  <c r="B48" i="35"/>
  <c r="C48" i="35"/>
  <c r="D48" i="35"/>
  <c r="E48" i="35"/>
  <c r="F48" i="35"/>
  <c r="G48" i="35"/>
  <c r="H48" i="35"/>
  <c r="J48" i="35"/>
  <c r="K48" i="35"/>
  <c r="L48" i="35"/>
  <c r="M48" i="35"/>
  <c r="N48" i="35"/>
  <c r="P48" i="35"/>
  <c r="Q48" i="35"/>
  <c r="R48" i="35"/>
  <c r="S48" i="35"/>
  <c r="T48" i="35"/>
  <c r="V48" i="35"/>
  <c r="W48" i="35"/>
  <c r="X48" i="35"/>
  <c r="Y48" i="35"/>
  <c r="Z48" i="35"/>
  <c r="AC48" i="35"/>
  <c r="AD48" i="35"/>
  <c r="AE48" i="35"/>
  <c r="AF48" i="35"/>
  <c r="AK48" i="35"/>
  <c r="AL48" i="35"/>
  <c r="AM48" i="35"/>
  <c r="AN48" i="35"/>
  <c r="AO48" i="35"/>
  <c r="AP48" i="35"/>
  <c r="AQ48" i="35"/>
  <c r="AR48" i="35"/>
  <c r="AS48" i="35"/>
  <c r="AT48" i="35"/>
  <c r="AV48" i="35"/>
  <c r="AW48" i="35"/>
  <c r="AX48" i="35"/>
  <c r="AY48" i="35"/>
  <c r="AZ48" i="35"/>
  <c r="BA48" i="35"/>
  <c r="BB48" i="35"/>
  <c r="BC48" i="35"/>
  <c r="BD48" i="35"/>
  <c r="BE48" i="35"/>
  <c r="BG48" i="35"/>
  <c r="BH48" i="35"/>
  <c r="BI48" i="35"/>
  <c r="BJ48" i="35"/>
  <c r="BK48" i="35"/>
  <c r="BL48" i="35"/>
  <c r="BM48" i="35"/>
  <c r="BN48" i="35"/>
  <c r="BO48" i="35"/>
  <c r="BP48" i="35"/>
  <c r="BR48" i="35"/>
  <c r="BS48" i="35"/>
  <c r="BT48" i="35"/>
  <c r="BU48" i="35"/>
  <c r="BV48" i="35"/>
  <c r="BW48" i="35"/>
  <c r="BX48" i="35"/>
  <c r="BY48" i="35"/>
  <c r="BZ48" i="35"/>
  <c r="CA48" i="35"/>
  <c r="A49" i="35"/>
  <c r="B49" i="35"/>
  <c r="C49" i="35"/>
  <c r="D49" i="35"/>
  <c r="E49" i="35"/>
  <c r="F49" i="35"/>
  <c r="G49" i="35"/>
  <c r="H49" i="35"/>
  <c r="J49" i="35"/>
  <c r="K49" i="35"/>
  <c r="L49" i="35"/>
  <c r="M49" i="35"/>
  <c r="N49" i="35"/>
  <c r="P49" i="35"/>
  <c r="Q49" i="35"/>
  <c r="R49" i="35"/>
  <c r="S49" i="35"/>
  <c r="T49" i="35"/>
  <c r="V49" i="35"/>
  <c r="W49" i="35"/>
  <c r="X49" i="35"/>
  <c r="Y49" i="35"/>
  <c r="Z49" i="35"/>
  <c r="AC49" i="35"/>
  <c r="AD49" i="35"/>
  <c r="AE49" i="35"/>
  <c r="AF49" i="35"/>
  <c r="AK49" i="35"/>
  <c r="AL49" i="35"/>
  <c r="AM49" i="35"/>
  <c r="AN49" i="35"/>
  <c r="AO49" i="35"/>
  <c r="AP49" i="35"/>
  <c r="AQ49" i="35"/>
  <c r="AR49" i="35"/>
  <c r="AS49" i="35"/>
  <c r="AT49" i="35"/>
  <c r="AV49" i="35"/>
  <c r="AW49" i="35"/>
  <c r="AX49" i="35"/>
  <c r="AY49" i="35"/>
  <c r="AZ49" i="35"/>
  <c r="BA49" i="35"/>
  <c r="BB49" i="35"/>
  <c r="BC49" i="35"/>
  <c r="BD49" i="35"/>
  <c r="BE49" i="35"/>
  <c r="BG49" i="35"/>
  <c r="BH49" i="35"/>
  <c r="BI49" i="35"/>
  <c r="BJ49" i="35"/>
  <c r="BK49" i="35"/>
  <c r="BL49" i="35"/>
  <c r="BM49" i="35"/>
  <c r="BN49" i="35"/>
  <c r="BO49" i="35"/>
  <c r="BP49" i="35"/>
  <c r="BR49" i="35"/>
  <c r="BS49" i="35"/>
  <c r="BT49" i="35"/>
  <c r="BU49" i="35"/>
  <c r="BV49" i="35"/>
  <c r="BW49" i="35"/>
  <c r="BX49" i="35"/>
  <c r="BY49" i="35"/>
  <c r="BZ49" i="35"/>
  <c r="CA49" i="35"/>
  <c r="A50" i="35"/>
  <c r="B50" i="35"/>
  <c r="C50" i="35"/>
  <c r="D50" i="35"/>
  <c r="E50" i="35"/>
  <c r="F50" i="35"/>
  <c r="G50" i="35"/>
  <c r="H50" i="35"/>
  <c r="J50" i="35"/>
  <c r="K50" i="35"/>
  <c r="L50" i="35"/>
  <c r="M50" i="35"/>
  <c r="N50" i="35"/>
  <c r="P50" i="35"/>
  <c r="Q50" i="35"/>
  <c r="R50" i="35"/>
  <c r="S50" i="35"/>
  <c r="T50" i="35"/>
  <c r="V50" i="35"/>
  <c r="W50" i="35"/>
  <c r="X50" i="35"/>
  <c r="Y50" i="35"/>
  <c r="Z50" i="35"/>
  <c r="AC50" i="35"/>
  <c r="AD50" i="35"/>
  <c r="AE50" i="35"/>
  <c r="AF50" i="35"/>
  <c r="AK50" i="35"/>
  <c r="AL50" i="35"/>
  <c r="AM50" i="35"/>
  <c r="AN50" i="35"/>
  <c r="AO50" i="35"/>
  <c r="AP50" i="35"/>
  <c r="AQ50" i="35"/>
  <c r="AR50" i="35"/>
  <c r="AS50" i="35"/>
  <c r="AT50" i="35"/>
  <c r="AV50" i="35"/>
  <c r="AW50" i="35"/>
  <c r="AX50" i="35"/>
  <c r="AY50" i="35"/>
  <c r="AZ50" i="35"/>
  <c r="BA50" i="35"/>
  <c r="BB50" i="35"/>
  <c r="BC50" i="35"/>
  <c r="BD50" i="35"/>
  <c r="BE50" i="35"/>
  <c r="BG50" i="35"/>
  <c r="BH50" i="35"/>
  <c r="BI50" i="35"/>
  <c r="BJ50" i="35"/>
  <c r="BK50" i="35"/>
  <c r="BL50" i="35"/>
  <c r="BM50" i="35"/>
  <c r="BN50" i="35"/>
  <c r="BO50" i="35"/>
  <c r="BP50" i="35"/>
  <c r="BR50" i="35"/>
  <c r="BS50" i="35"/>
  <c r="BT50" i="35"/>
  <c r="BU50" i="35"/>
  <c r="BV50" i="35"/>
  <c r="BW50" i="35"/>
  <c r="BX50" i="35"/>
  <c r="BY50" i="35"/>
  <c r="BZ50" i="35"/>
  <c r="CA50" i="35"/>
  <c r="A51" i="35"/>
  <c r="B51" i="35"/>
  <c r="C51" i="35"/>
  <c r="D51" i="35"/>
  <c r="E51" i="35"/>
  <c r="F51" i="35"/>
  <c r="G51" i="35"/>
  <c r="H51" i="35"/>
  <c r="J51" i="35"/>
  <c r="K51" i="35"/>
  <c r="L51" i="35"/>
  <c r="M51" i="35"/>
  <c r="N51" i="35"/>
  <c r="P51" i="35"/>
  <c r="Q51" i="35"/>
  <c r="R51" i="35"/>
  <c r="S51" i="35"/>
  <c r="T51" i="35"/>
  <c r="V51" i="35"/>
  <c r="W51" i="35"/>
  <c r="X51" i="35"/>
  <c r="Y51" i="35"/>
  <c r="Z51" i="35"/>
  <c r="AC51" i="35"/>
  <c r="AD51" i="35"/>
  <c r="AE51" i="35"/>
  <c r="AF51" i="35"/>
  <c r="AK51" i="35"/>
  <c r="AL51" i="35"/>
  <c r="AM51" i="35"/>
  <c r="AN51" i="35"/>
  <c r="AO51" i="35"/>
  <c r="AP51" i="35"/>
  <c r="AQ51" i="35"/>
  <c r="AR51" i="35"/>
  <c r="AS51" i="35"/>
  <c r="AT51" i="35"/>
  <c r="AV51" i="35"/>
  <c r="AW51" i="35"/>
  <c r="AX51" i="35"/>
  <c r="AY51" i="35"/>
  <c r="AZ51" i="35"/>
  <c r="BA51" i="35"/>
  <c r="BB51" i="35"/>
  <c r="BC51" i="35"/>
  <c r="BD51" i="35"/>
  <c r="BE51" i="35"/>
  <c r="BG51" i="35"/>
  <c r="BH51" i="35"/>
  <c r="BI51" i="35"/>
  <c r="BJ51" i="35"/>
  <c r="BK51" i="35"/>
  <c r="BL51" i="35"/>
  <c r="BM51" i="35"/>
  <c r="BN51" i="35"/>
  <c r="BO51" i="35"/>
  <c r="BP51" i="35"/>
  <c r="BR51" i="35"/>
  <c r="BS51" i="35"/>
  <c r="BT51" i="35"/>
  <c r="BU51" i="35"/>
  <c r="BV51" i="35"/>
  <c r="BW51" i="35"/>
  <c r="BX51" i="35"/>
  <c r="BY51" i="35"/>
  <c r="BZ51" i="35"/>
  <c r="CA51" i="35"/>
  <c r="A52" i="35"/>
  <c r="B52" i="35"/>
  <c r="C52" i="35"/>
  <c r="D52" i="35"/>
  <c r="E52" i="35"/>
  <c r="F52" i="35"/>
  <c r="G52" i="35"/>
  <c r="H52" i="35"/>
  <c r="J52" i="35"/>
  <c r="K52" i="35"/>
  <c r="L52" i="35"/>
  <c r="M52" i="35"/>
  <c r="N52" i="35"/>
  <c r="P52" i="35"/>
  <c r="Q52" i="35"/>
  <c r="R52" i="35"/>
  <c r="S52" i="35"/>
  <c r="T52" i="35"/>
  <c r="V52" i="35"/>
  <c r="W52" i="35"/>
  <c r="X52" i="35"/>
  <c r="Y52" i="35"/>
  <c r="Z52" i="35"/>
  <c r="AC52" i="35"/>
  <c r="AD52" i="35"/>
  <c r="AE52" i="35"/>
  <c r="AF52" i="35"/>
  <c r="AK52" i="35"/>
  <c r="AL52" i="35"/>
  <c r="AM52" i="35"/>
  <c r="AN52" i="35"/>
  <c r="AO52" i="35"/>
  <c r="AP52" i="35"/>
  <c r="AQ52" i="35"/>
  <c r="AR52" i="35"/>
  <c r="AS52" i="35"/>
  <c r="AT52" i="35"/>
  <c r="AV52" i="35"/>
  <c r="AW52" i="35"/>
  <c r="AX52" i="35"/>
  <c r="AY52" i="35"/>
  <c r="AZ52" i="35"/>
  <c r="BA52" i="35"/>
  <c r="BB52" i="35"/>
  <c r="BC52" i="35"/>
  <c r="BD52" i="35"/>
  <c r="BE52" i="35"/>
  <c r="BG52" i="35"/>
  <c r="BH52" i="35"/>
  <c r="BI52" i="35"/>
  <c r="BJ52" i="35"/>
  <c r="BK52" i="35"/>
  <c r="BL52" i="35"/>
  <c r="BM52" i="35"/>
  <c r="BN52" i="35"/>
  <c r="BO52" i="35"/>
  <c r="BP52" i="35"/>
  <c r="BR52" i="35"/>
  <c r="BS52" i="35"/>
  <c r="BT52" i="35"/>
  <c r="BU52" i="35"/>
  <c r="BV52" i="35"/>
  <c r="BW52" i="35"/>
  <c r="BX52" i="35"/>
  <c r="BY52" i="35"/>
  <c r="BZ52" i="35"/>
  <c r="CA52" i="35"/>
  <c r="A53" i="35"/>
  <c r="B53" i="35"/>
  <c r="C53" i="35"/>
  <c r="D53" i="35"/>
  <c r="E53" i="35"/>
  <c r="F53" i="35"/>
  <c r="G53" i="35"/>
  <c r="H53" i="35"/>
  <c r="J53" i="35"/>
  <c r="K53" i="35"/>
  <c r="L53" i="35"/>
  <c r="M53" i="35"/>
  <c r="N53" i="35"/>
  <c r="P53" i="35"/>
  <c r="Q53" i="35"/>
  <c r="R53" i="35"/>
  <c r="S53" i="35"/>
  <c r="T53" i="35"/>
  <c r="V53" i="35"/>
  <c r="W53" i="35"/>
  <c r="X53" i="35"/>
  <c r="Y53" i="35"/>
  <c r="Z53" i="35"/>
  <c r="AC53" i="35"/>
  <c r="AD53" i="35"/>
  <c r="AE53" i="35"/>
  <c r="AF53" i="35"/>
  <c r="AK53" i="35"/>
  <c r="AL53" i="35"/>
  <c r="AM53" i="35"/>
  <c r="AN53" i="35"/>
  <c r="AO53" i="35"/>
  <c r="AP53" i="35"/>
  <c r="AQ53" i="35"/>
  <c r="AR53" i="35"/>
  <c r="AS53" i="35"/>
  <c r="AT53" i="35"/>
  <c r="AV53" i="35"/>
  <c r="AW53" i="35"/>
  <c r="AX53" i="35"/>
  <c r="AY53" i="35"/>
  <c r="AZ53" i="35"/>
  <c r="BA53" i="35"/>
  <c r="BB53" i="35"/>
  <c r="BC53" i="35"/>
  <c r="BD53" i="35"/>
  <c r="BE53" i="35"/>
  <c r="BG53" i="35"/>
  <c r="BH53" i="35"/>
  <c r="BI53" i="35"/>
  <c r="BJ53" i="35"/>
  <c r="BK53" i="35"/>
  <c r="BL53" i="35"/>
  <c r="BM53" i="35"/>
  <c r="BN53" i="35"/>
  <c r="BO53" i="35"/>
  <c r="BP53" i="35"/>
  <c r="BR53" i="35"/>
  <c r="BS53" i="35"/>
  <c r="BT53" i="35"/>
  <c r="BU53" i="35"/>
  <c r="BV53" i="35"/>
  <c r="BW53" i="35"/>
  <c r="BX53" i="35"/>
  <c r="BY53" i="35"/>
  <c r="BZ53" i="35"/>
  <c r="CA53" i="35"/>
  <c r="A54" i="35"/>
  <c r="B54" i="35"/>
  <c r="C54" i="35"/>
  <c r="D54" i="35"/>
  <c r="E54" i="35"/>
  <c r="F54" i="35"/>
  <c r="G54" i="35"/>
  <c r="H54" i="35"/>
  <c r="J54" i="35"/>
  <c r="K54" i="35"/>
  <c r="L54" i="35"/>
  <c r="M54" i="35"/>
  <c r="N54" i="35"/>
  <c r="P54" i="35"/>
  <c r="Q54" i="35"/>
  <c r="R54" i="35"/>
  <c r="S54" i="35"/>
  <c r="T54" i="35"/>
  <c r="V54" i="35"/>
  <c r="W54" i="35"/>
  <c r="X54" i="35"/>
  <c r="Y54" i="35"/>
  <c r="Z54" i="35"/>
  <c r="AC54" i="35"/>
  <c r="AD54" i="35"/>
  <c r="AE54" i="35"/>
  <c r="AF54" i="35"/>
  <c r="AK54" i="35"/>
  <c r="AL54" i="35"/>
  <c r="AM54" i="35"/>
  <c r="AN54" i="35"/>
  <c r="AO54" i="35"/>
  <c r="AP54" i="35"/>
  <c r="AQ54" i="35"/>
  <c r="AR54" i="35"/>
  <c r="AS54" i="35"/>
  <c r="AT54" i="35"/>
  <c r="AV54" i="35"/>
  <c r="AW54" i="35"/>
  <c r="AX54" i="35"/>
  <c r="AY54" i="35"/>
  <c r="AZ54" i="35"/>
  <c r="BA54" i="35"/>
  <c r="BB54" i="35"/>
  <c r="BC54" i="35"/>
  <c r="BD54" i="35"/>
  <c r="BE54" i="35"/>
  <c r="BG54" i="35"/>
  <c r="BH54" i="35"/>
  <c r="BI54" i="35"/>
  <c r="BJ54" i="35"/>
  <c r="BK54" i="35"/>
  <c r="BL54" i="35"/>
  <c r="BM54" i="35"/>
  <c r="BN54" i="35"/>
  <c r="BO54" i="35"/>
  <c r="BP54" i="35"/>
  <c r="BR54" i="35"/>
  <c r="BS54" i="35"/>
  <c r="BT54" i="35"/>
  <c r="BU54" i="35"/>
  <c r="BV54" i="35"/>
  <c r="BW54" i="35"/>
  <c r="BX54" i="35"/>
  <c r="BY54" i="35"/>
  <c r="BZ54" i="35"/>
  <c r="CA54" i="35"/>
  <c r="A55" i="35"/>
  <c r="B55" i="35"/>
  <c r="C55" i="35"/>
  <c r="D55" i="35"/>
  <c r="E55" i="35"/>
  <c r="F55" i="35"/>
  <c r="G55" i="35"/>
  <c r="H55" i="35"/>
  <c r="J55" i="35"/>
  <c r="K55" i="35"/>
  <c r="L55" i="35"/>
  <c r="M55" i="35"/>
  <c r="N55" i="35"/>
  <c r="P55" i="35"/>
  <c r="Q55" i="35"/>
  <c r="R55" i="35"/>
  <c r="S55" i="35"/>
  <c r="T55" i="35"/>
  <c r="V55" i="35"/>
  <c r="W55" i="35"/>
  <c r="X55" i="35"/>
  <c r="Y55" i="35"/>
  <c r="Z55" i="35"/>
  <c r="AC55" i="35"/>
  <c r="AD55" i="35"/>
  <c r="AE55" i="35"/>
  <c r="AF55" i="35"/>
  <c r="AK55" i="35"/>
  <c r="AL55" i="35"/>
  <c r="AM55" i="35"/>
  <c r="AN55" i="35"/>
  <c r="AO55" i="35"/>
  <c r="AP55" i="35"/>
  <c r="AQ55" i="35"/>
  <c r="AR55" i="35"/>
  <c r="AS55" i="35"/>
  <c r="AT55" i="35"/>
  <c r="AV55" i="35"/>
  <c r="AW55" i="35"/>
  <c r="AX55" i="35"/>
  <c r="AY55" i="35"/>
  <c r="AZ55" i="35"/>
  <c r="BA55" i="35"/>
  <c r="BB55" i="35"/>
  <c r="BC55" i="35"/>
  <c r="BD55" i="35"/>
  <c r="BE55" i="35"/>
  <c r="BG55" i="35"/>
  <c r="BH55" i="35"/>
  <c r="BI55" i="35"/>
  <c r="BJ55" i="35"/>
  <c r="BK55" i="35"/>
  <c r="BL55" i="35"/>
  <c r="BM55" i="35"/>
  <c r="BN55" i="35"/>
  <c r="BO55" i="35"/>
  <c r="BP55" i="35"/>
  <c r="BR55" i="35"/>
  <c r="BS55" i="35"/>
  <c r="BT55" i="35"/>
  <c r="BU55" i="35"/>
  <c r="BV55" i="35"/>
  <c r="BW55" i="35"/>
  <c r="BX55" i="35"/>
  <c r="BY55" i="35"/>
  <c r="BZ55" i="35"/>
  <c r="CA55" i="35"/>
  <c r="A56" i="35"/>
  <c r="B56" i="35"/>
  <c r="C56" i="35"/>
  <c r="D56" i="35"/>
  <c r="E56" i="35"/>
  <c r="F56" i="35"/>
  <c r="G56" i="35"/>
  <c r="H56" i="35"/>
  <c r="J56" i="35"/>
  <c r="K56" i="35"/>
  <c r="L56" i="35"/>
  <c r="M56" i="35"/>
  <c r="N56" i="35"/>
  <c r="P56" i="35"/>
  <c r="Q56" i="35"/>
  <c r="R56" i="35"/>
  <c r="S56" i="35"/>
  <c r="T56" i="35"/>
  <c r="V56" i="35"/>
  <c r="W56" i="35"/>
  <c r="X56" i="35"/>
  <c r="Y56" i="35"/>
  <c r="Z56" i="35"/>
  <c r="AC56" i="35"/>
  <c r="AD56" i="35"/>
  <c r="AE56" i="35"/>
  <c r="AF56" i="35"/>
  <c r="AK56" i="35"/>
  <c r="AL56" i="35"/>
  <c r="AM56" i="35"/>
  <c r="AN56" i="35"/>
  <c r="AO56" i="35"/>
  <c r="AP56" i="35"/>
  <c r="AQ56" i="35"/>
  <c r="AR56" i="35"/>
  <c r="AS56" i="35"/>
  <c r="AT56" i="35"/>
  <c r="AV56" i="35"/>
  <c r="AW56" i="35"/>
  <c r="AX56" i="35"/>
  <c r="AY56" i="35"/>
  <c r="AZ56" i="35"/>
  <c r="BA56" i="35"/>
  <c r="BB56" i="35"/>
  <c r="BC56" i="35"/>
  <c r="BD56" i="35"/>
  <c r="BE56" i="35"/>
  <c r="BG56" i="35"/>
  <c r="BH56" i="35"/>
  <c r="BI56" i="35"/>
  <c r="BJ56" i="35"/>
  <c r="BK56" i="35"/>
  <c r="BL56" i="35"/>
  <c r="BM56" i="35"/>
  <c r="BN56" i="35"/>
  <c r="BO56" i="35"/>
  <c r="BP56" i="35"/>
  <c r="BR56" i="35"/>
  <c r="BS56" i="35"/>
  <c r="BT56" i="35"/>
  <c r="BU56" i="35"/>
  <c r="BV56" i="35"/>
  <c r="BW56" i="35"/>
  <c r="BX56" i="35"/>
  <c r="BY56" i="35"/>
  <c r="BZ56" i="35"/>
  <c r="CA56" i="35"/>
  <c r="A57" i="35"/>
  <c r="B57" i="35"/>
  <c r="C57" i="35"/>
  <c r="D57" i="35"/>
  <c r="E57" i="35"/>
  <c r="F57" i="35"/>
  <c r="G57" i="35"/>
  <c r="H57" i="35"/>
  <c r="J57" i="35"/>
  <c r="K57" i="35"/>
  <c r="L57" i="35"/>
  <c r="M57" i="35"/>
  <c r="N57" i="35"/>
  <c r="P57" i="35"/>
  <c r="Q57" i="35"/>
  <c r="R57" i="35"/>
  <c r="S57" i="35"/>
  <c r="T57" i="35"/>
  <c r="V57" i="35"/>
  <c r="W57" i="35"/>
  <c r="X57" i="35"/>
  <c r="Y57" i="35"/>
  <c r="Z57" i="35"/>
  <c r="AC57" i="35"/>
  <c r="AD57" i="35"/>
  <c r="AE57" i="35"/>
  <c r="AF57" i="35"/>
  <c r="AK57" i="35"/>
  <c r="AL57" i="35"/>
  <c r="AM57" i="35"/>
  <c r="AN57" i="35"/>
  <c r="AO57" i="35"/>
  <c r="AP57" i="35"/>
  <c r="AQ57" i="35"/>
  <c r="AR57" i="35"/>
  <c r="AS57" i="35"/>
  <c r="AT57" i="35"/>
  <c r="AV57" i="35"/>
  <c r="AW57" i="35"/>
  <c r="AX57" i="35"/>
  <c r="AY57" i="35"/>
  <c r="AZ57" i="35"/>
  <c r="BA57" i="35"/>
  <c r="BB57" i="35"/>
  <c r="BC57" i="35"/>
  <c r="BD57" i="35"/>
  <c r="BE57" i="35"/>
  <c r="BG57" i="35"/>
  <c r="BH57" i="35"/>
  <c r="BI57" i="35"/>
  <c r="BJ57" i="35"/>
  <c r="BK57" i="35"/>
  <c r="BL57" i="35"/>
  <c r="BM57" i="35"/>
  <c r="BN57" i="35"/>
  <c r="BO57" i="35"/>
  <c r="BP57" i="35"/>
  <c r="BR57" i="35"/>
  <c r="BS57" i="35"/>
  <c r="BT57" i="35"/>
  <c r="BU57" i="35"/>
  <c r="BV57" i="35"/>
  <c r="BW57" i="35"/>
  <c r="BX57" i="35"/>
  <c r="BY57" i="35"/>
  <c r="BZ57" i="35"/>
  <c r="CA57" i="35"/>
  <c r="A58" i="35"/>
  <c r="B58" i="35"/>
  <c r="C58" i="35"/>
  <c r="D58" i="35"/>
  <c r="E58" i="35"/>
  <c r="F58" i="35"/>
  <c r="G58" i="35"/>
  <c r="H58" i="35"/>
  <c r="J58" i="35"/>
  <c r="K58" i="35"/>
  <c r="L58" i="35"/>
  <c r="M58" i="35"/>
  <c r="N58" i="35"/>
  <c r="P58" i="35"/>
  <c r="Q58" i="35"/>
  <c r="R58" i="35"/>
  <c r="S58" i="35"/>
  <c r="T58" i="35"/>
  <c r="V58" i="35"/>
  <c r="W58" i="35"/>
  <c r="X58" i="35"/>
  <c r="Y58" i="35"/>
  <c r="Z58" i="35"/>
  <c r="AC58" i="35"/>
  <c r="AD58" i="35"/>
  <c r="AE58" i="35"/>
  <c r="AF58" i="35"/>
  <c r="AK58" i="35"/>
  <c r="AL58" i="35"/>
  <c r="AM58" i="35"/>
  <c r="AN58" i="35"/>
  <c r="AO58" i="35"/>
  <c r="AP58" i="35"/>
  <c r="AQ58" i="35"/>
  <c r="AR58" i="35"/>
  <c r="AS58" i="35"/>
  <c r="AT58" i="35"/>
  <c r="AV58" i="35"/>
  <c r="AW58" i="35"/>
  <c r="AX58" i="35"/>
  <c r="AY58" i="35"/>
  <c r="AZ58" i="35"/>
  <c r="BA58" i="35"/>
  <c r="BB58" i="35"/>
  <c r="BC58" i="35"/>
  <c r="BD58" i="35"/>
  <c r="BE58" i="35"/>
  <c r="BG58" i="35"/>
  <c r="BH58" i="35"/>
  <c r="BI58" i="35"/>
  <c r="BJ58" i="35"/>
  <c r="BK58" i="35"/>
  <c r="BL58" i="35"/>
  <c r="BM58" i="35"/>
  <c r="BN58" i="35"/>
  <c r="BO58" i="35"/>
  <c r="BP58" i="35"/>
  <c r="BR58" i="35"/>
  <c r="BS58" i="35"/>
  <c r="BT58" i="35"/>
  <c r="BU58" i="35"/>
  <c r="BV58" i="35"/>
  <c r="BW58" i="35"/>
  <c r="BX58" i="35"/>
  <c r="BY58" i="35"/>
  <c r="BZ58" i="35"/>
  <c r="CA58" i="35"/>
  <c r="A59" i="35"/>
  <c r="B59" i="35"/>
  <c r="C59" i="35"/>
  <c r="D59" i="35"/>
  <c r="E59" i="35"/>
  <c r="F59" i="35"/>
  <c r="G59" i="35"/>
  <c r="H59" i="35"/>
  <c r="J59" i="35"/>
  <c r="K59" i="35"/>
  <c r="L59" i="35"/>
  <c r="M59" i="35"/>
  <c r="N59" i="35"/>
  <c r="P59" i="35"/>
  <c r="Q59" i="35"/>
  <c r="R59" i="35"/>
  <c r="S59" i="35"/>
  <c r="T59" i="35"/>
  <c r="V59" i="35"/>
  <c r="W59" i="35"/>
  <c r="X59" i="35"/>
  <c r="Y59" i="35"/>
  <c r="Z59" i="35"/>
  <c r="AC59" i="35"/>
  <c r="AD59" i="35"/>
  <c r="AE59" i="35"/>
  <c r="AF59" i="35"/>
  <c r="AK59" i="35"/>
  <c r="AL59" i="35"/>
  <c r="AM59" i="35"/>
  <c r="AN59" i="35"/>
  <c r="AO59" i="35"/>
  <c r="AP59" i="35"/>
  <c r="AQ59" i="35"/>
  <c r="AR59" i="35"/>
  <c r="AS59" i="35"/>
  <c r="AT59" i="35"/>
  <c r="AV59" i="35"/>
  <c r="AW59" i="35"/>
  <c r="AX59" i="35"/>
  <c r="AY59" i="35"/>
  <c r="AZ59" i="35"/>
  <c r="BA59" i="35"/>
  <c r="BB59" i="35"/>
  <c r="BC59" i="35"/>
  <c r="BD59" i="35"/>
  <c r="BE59" i="35"/>
  <c r="BG59" i="35"/>
  <c r="BH59" i="35"/>
  <c r="BI59" i="35"/>
  <c r="BJ59" i="35"/>
  <c r="BK59" i="35"/>
  <c r="BL59" i="35"/>
  <c r="BM59" i="35"/>
  <c r="BN59" i="35"/>
  <c r="BO59" i="35"/>
  <c r="BP59" i="35"/>
  <c r="BR59" i="35"/>
  <c r="BS59" i="35"/>
  <c r="BT59" i="35"/>
  <c r="BU59" i="35"/>
  <c r="BV59" i="35"/>
  <c r="BW59" i="35"/>
  <c r="BX59" i="35"/>
  <c r="BY59" i="35"/>
  <c r="BZ59" i="35"/>
  <c r="CA59" i="35"/>
  <c r="A60" i="35"/>
  <c r="B60" i="35"/>
  <c r="C60" i="35"/>
  <c r="D60" i="35"/>
  <c r="E60" i="35"/>
  <c r="F60" i="35"/>
  <c r="G60" i="35"/>
  <c r="H60" i="35"/>
  <c r="J60" i="35"/>
  <c r="K60" i="35"/>
  <c r="L60" i="35"/>
  <c r="M60" i="35"/>
  <c r="N60" i="35"/>
  <c r="P60" i="35"/>
  <c r="Q60" i="35"/>
  <c r="R60" i="35"/>
  <c r="S60" i="35"/>
  <c r="T60" i="35"/>
  <c r="V60" i="35"/>
  <c r="W60" i="35"/>
  <c r="X60" i="35"/>
  <c r="Y60" i="35"/>
  <c r="Z60" i="35"/>
  <c r="AC60" i="35"/>
  <c r="AD60" i="35"/>
  <c r="AE60" i="35"/>
  <c r="AF60" i="35"/>
  <c r="AK60" i="35"/>
  <c r="AL60" i="35"/>
  <c r="AM60" i="35"/>
  <c r="AN60" i="35"/>
  <c r="AO60" i="35"/>
  <c r="AP60" i="35"/>
  <c r="AQ60" i="35"/>
  <c r="AR60" i="35"/>
  <c r="AS60" i="35"/>
  <c r="AT60" i="35"/>
  <c r="AV60" i="35"/>
  <c r="AW60" i="35"/>
  <c r="AX60" i="35"/>
  <c r="AY60" i="35"/>
  <c r="AZ60" i="35"/>
  <c r="BA60" i="35"/>
  <c r="BB60" i="35"/>
  <c r="BC60" i="35"/>
  <c r="BD60" i="35"/>
  <c r="BE60" i="35"/>
  <c r="BG60" i="35"/>
  <c r="BH60" i="35"/>
  <c r="BI60" i="35"/>
  <c r="BJ60" i="35"/>
  <c r="BK60" i="35"/>
  <c r="BL60" i="35"/>
  <c r="BM60" i="35"/>
  <c r="BN60" i="35"/>
  <c r="BO60" i="35"/>
  <c r="BP60" i="35"/>
  <c r="BR60" i="35"/>
  <c r="BS60" i="35"/>
  <c r="BT60" i="35"/>
  <c r="BU60" i="35"/>
  <c r="BV60" i="35"/>
  <c r="BW60" i="35"/>
  <c r="BX60" i="35"/>
  <c r="BY60" i="35"/>
  <c r="BZ60" i="35"/>
  <c r="CA60" i="35"/>
  <c r="A61" i="35"/>
  <c r="B61" i="35"/>
  <c r="C61" i="35"/>
  <c r="D61" i="35"/>
  <c r="E61" i="35"/>
  <c r="F61" i="35"/>
  <c r="G61" i="35"/>
  <c r="H61" i="35"/>
  <c r="J61" i="35"/>
  <c r="K61" i="35"/>
  <c r="L61" i="35"/>
  <c r="M61" i="35"/>
  <c r="N61" i="35"/>
  <c r="P61" i="35"/>
  <c r="Q61" i="35"/>
  <c r="R61" i="35"/>
  <c r="S61" i="35"/>
  <c r="T61" i="35"/>
  <c r="V61" i="35"/>
  <c r="W61" i="35"/>
  <c r="X61" i="35"/>
  <c r="Y61" i="35"/>
  <c r="Z61" i="35"/>
  <c r="AC61" i="35"/>
  <c r="AD61" i="35"/>
  <c r="AE61" i="35"/>
  <c r="AF61" i="35"/>
  <c r="AK61" i="35"/>
  <c r="AL61" i="35"/>
  <c r="AM61" i="35"/>
  <c r="AN61" i="35"/>
  <c r="AO61" i="35"/>
  <c r="AP61" i="35"/>
  <c r="AQ61" i="35"/>
  <c r="AR61" i="35"/>
  <c r="AS61" i="35"/>
  <c r="AT61" i="35"/>
  <c r="AV61" i="35"/>
  <c r="AW61" i="35"/>
  <c r="AX61" i="35"/>
  <c r="AY61" i="35"/>
  <c r="AZ61" i="35"/>
  <c r="BA61" i="35"/>
  <c r="BB61" i="35"/>
  <c r="BC61" i="35"/>
  <c r="BD61" i="35"/>
  <c r="BE61" i="35"/>
  <c r="BG61" i="35"/>
  <c r="BH61" i="35"/>
  <c r="BI61" i="35"/>
  <c r="BJ61" i="35"/>
  <c r="BK61" i="35"/>
  <c r="BL61" i="35"/>
  <c r="BM61" i="35"/>
  <c r="BN61" i="35"/>
  <c r="BO61" i="35"/>
  <c r="BP61" i="35"/>
  <c r="BR61" i="35"/>
  <c r="BS61" i="35"/>
  <c r="BT61" i="35"/>
  <c r="BU61" i="35"/>
  <c r="BV61" i="35"/>
  <c r="BW61" i="35"/>
  <c r="BX61" i="35"/>
  <c r="BY61" i="35"/>
  <c r="BZ61" i="35"/>
  <c r="CA61" i="35"/>
  <c r="A62" i="35"/>
  <c r="B62" i="35"/>
  <c r="C62" i="35"/>
  <c r="D62" i="35"/>
  <c r="E62" i="35"/>
  <c r="F62" i="35"/>
  <c r="G62" i="35"/>
  <c r="H62" i="35"/>
  <c r="J62" i="35"/>
  <c r="K62" i="35"/>
  <c r="L62" i="35"/>
  <c r="M62" i="35"/>
  <c r="N62" i="35"/>
  <c r="P62" i="35"/>
  <c r="Q62" i="35"/>
  <c r="R62" i="35"/>
  <c r="S62" i="35"/>
  <c r="T62" i="35"/>
  <c r="V62" i="35"/>
  <c r="W62" i="35"/>
  <c r="X62" i="35"/>
  <c r="Y62" i="35"/>
  <c r="Z62" i="35"/>
  <c r="AC62" i="35"/>
  <c r="AD62" i="35"/>
  <c r="AE62" i="35"/>
  <c r="AF62" i="35"/>
  <c r="AK62" i="35"/>
  <c r="AL62" i="35"/>
  <c r="AM62" i="35"/>
  <c r="AN62" i="35"/>
  <c r="AO62" i="35"/>
  <c r="AP62" i="35"/>
  <c r="AQ62" i="35"/>
  <c r="AR62" i="35"/>
  <c r="AS62" i="35"/>
  <c r="AT62" i="35"/>
  <c r="AV62" i="35"/>
  <c r="AW62" i="35"/>
  <c r="AX62" i="35"/>
  <c r="AY62" i="35"/>
  <c r="AZ62" i="35"/>
  <c r="BA62" i="35"/>
  <c r="BB62" i="35"/>
  <c r="BC62" i="35"/>
  <c r="BD62" i="35"/>
  <c r="BE62" i="35"/>
  <c r="BG62" i="35"/>
  <c r="BH62" i="35"/>
  <c r="BI62" i="35"/>
  <c r="BJ62" i="35"/>
  <c r="BK62" i="35"/>
  <c r="BL62" i="35"/>
  <c r="BM62" i="35"/>
  <c r="BN62" i="35"/>
  <c r="BO62" i="35"/>
  <c r="BP62" i="35"/>
  <c r="BR62" i="35"/>
  <c r="BS62" i="35"/>
  <c r="BT62" i="35"/>
  <c r="BU62" i="35"/>
  <c r="BV62" i="35"/>
  <c r="BW62" i="35"/>
  <c r="BX62" i="35"/>
  <c r="BY62" i="35"/>
  <c r="BZ62" i="35"/>
  <c r="CA62" i="35"/>
  <c r="A63" i="35"/>
  <c r="B63" i="35"/>
  <c r="C63" i="35"/>
  <c r="D63" i="35"/>
  <c r="E63" i="35"/>
  <c r="F63" i="35"/>
  <c r="G63" i="35"/>
  <c r="H63" i="35"/>
  <c r="J63" i="35"/>
  <c r="K63" i="35"/>
  <c r="L63" i="35"/>
  <c r="M63" i="35"/>
  <c r="N63" i="35"/>
  <c r="P63" i="35"/>
  <c r="Q63" i="35"/>
  <c r="R63" i="35"/>
  <c r="S63" i="35"/>
  <c r="T63" i="35"/>
  <c r="V63" i="35"/>
  <c r="W63" i="35"/>
  <c r="X63" i="35"/>
  <c r="Y63" i="35"/>
  <c r="Z63" i="35"/>
  <c r="AC63" i="35"/>
  <c r="AD63" i="35"/>
  <c r="AE63" i="35"/>
  <c r="AF63" i="35"/>
  <c r="AK63" i="35"/>
  <c r="AL63" i="35"/>
  <c r="AM63" i="35"/>
  <c r="AN63" i="35"/>
  <c r="AO63" i="35"/>
  <c r="AP63" i="35"/>
  <c r="AQ63" i="35"/>
  <c r="AR63" i="35"/>
  <c r="AS63" i="35"/>
  <c r="AT63" i="35"/>
  <c r="AV63" i="35"/>
  <c r="AW63" i="35"/>
  <c r="AX63" i="35"/>
  <c r="AY63" i="35"/>
  <c r="AZ63" i="35"/>
  <c r="BA63" i="35"/>
  <c r="BB63" i="35"/>
  <c r="BC63" i="35"/>
  <c r="BD63" i="35"/>
  <c r="BE63" i="35"/>
  <c r="BG63" i="35"/>
  <c r="BH63" i="35"/>
  <c r="BI63" i="35"/>
  <c r="BJ63" i="35"/>
  <c r="BK63" i="35"/>
  <c r="BL63" i="35"/>
  <c r="BM63" i="35"/>
  <c r="BN63" i="35"/>
  <c r="BO63" i="35"/>
  <c r="BP63" i="35"/>
  <c r="BR63" i="35"/>
  <c r="BS63" i="35"/>
  <c r="BT63" i="35"/>
  <c r="BU63" i="35"/>
  <c r="BV63" i="35"/>
  <c r="BW63" i="35"/>
  <c r="BX63" i="35"/>
  <c r="BY63" i="35"/>
  <c r="BZ63" i="35"/>
  <c r="CA63" i="35"/>
  <c r="A64" i="35"/>
  <c r="B64" i="35"/>
  <c r="C64" i="35"/>
  <c r="D64" i="35"/>
  <c r="E64" i="35"/>
  <c r="F64" i="35"/>
  <c r="G64" i="35"/>
  <c r="H64" i="35"/>
  <c r="J64" i="35"/>
  <c r="K64" i="35"/>
  <c r="L64" i="35"/>
  <c r="M64" i="35"/>
  <c r="N64" i="35"/>
  <c r="P64" i="35"/>
  <c r="Q64" i="35"/>
  <c r="R64" i="35"/>
  <c r="S64" i="35"/>
  <c r="T64" i="35"/>
  <c r="V64" i="35"/>
  <c r="W64" i="35"/>
  <c r="X64" i="35"/>
  <c r="Y64" i="35"/>
  <c r="Z64" i="35"/>
  <c r="AC64" i="35"/>
  <c r="AD64" i="35"/>
  <c r="AE64" i="35"/>
  <c r="AF64" i="35"/>
  <c r="AK64" i="35"/>
  <c r="AL64" i="35"/>
  <c r="AM64" i="35"/>
  <c r="AN64" i="35"/>
  <c r="AO64" i="35"/>
  <c r="AP64" i="35"/>
  <c r="AQ64" i="35"/>
  <c r="AR64" i="35"/>
  <c r="AS64" i="35"/>
  <c r="AT64" i="35"/>
  <c r="AV64" i="35"/>
  <c r="AW64" i="35"/>
  <c r="AX64" i="35"/>
  <c r="AY64" i="35"/>
  <c r="AZ64" i="35"/>
  <c r="BA64" i="35"/>
  <c r="BB64" i="35"/>
  <c r="BC64" i="35"/>
  <c r="BD64" i="35"/>
  <c r="BE64" i="35"/>
  <c r="BG64" i="35"/>
  <c r="BH64" i="35"/>
  <c r="BI64" i="35"/>
  <c r="BJ64" i="35"/>
  <c r="BK64" i="35"/>
  <c r="BL64" i="35"/>
  <c r="BM64" i="35"/>
  <c r="BN64" i="35"/>
  <c r="BO64" i="35"/>
  <c r="BP64" i="35"/>
  <c r="BR64" i="35"/>
  <c r="BS64" i="35"/>
  <c r="BT64" i="35"/>
  <c r="BU64" i="35"/>
  <c r="BV64" i="35"/>
  <c r="BW64" i="35"/>
  <c r="BX64" i="35"/>
  <c r="BY64" i="35"/>
  <c r="BZ64" i="35"/>
  <c r="CA64" i="35"/>
  <c r="A65" i="35"/>
  <c r="B65" i="35"/>
  <c r="C65" i="35"/>
  <c r="D65" i="35"/>
  <c r="E65" i="35"/>
  <c r="F65" i="35"/>
  <c r="G65" i="35"/>
  <c r="H65" i="35"/>
  <c r="J65" i="35"/>
  <c r="K65" i="35"/>
  <c r="L65" i="35"/>
  <c r="M65" i="35"/>
  <c r="N65" i="35"/>
  <c r="P65" i="35"/>
  <c r="Q65" i="35"/>
  <c r="R65" i="35"/>
  <c r="S65" i="35"/>
  <c r="T65" i="35"/>
  <c r="V65" i="35"/>
  <c r="W65" i="35"/>
  <c r="X65" i="35"/>
  <c r="Y65" i="35"/>
  <c r="Z65" i="35"/>
  <c r="AC65" i="35"/>
  <c r="AD65" i="35"/>
  <c r="AE65" i="35"/>
  <c r="AF65" i="35"/>
  <c r="AK65" i="35"/>
  <c r="AL65" i="35"/>
  <c r="AM65" i="35"/>
  <c r="AN65" i="35"/>
  <c r="AO65" i="35"/>
  <c r="AP65" i="35"/>
  <c r="AQ65" i="35"/>
  <c r="AR65" i="35"/>
  <c r="AS65" i="35"/>
  <c r="AT65" i="35"/>
  <c r="AV65" i="35"/>
  <c r="AW65" i="35"/>
  <c r="AX65" i="35"/>
  <c r="AY65" i="35"/>
  <c r="AZ65" i="35"/>
  <c r="BA65" i="35"/>
  <c r="BB65" i="35"/>
  <c r="BC65" i="35"/>
  <c r="BD65" i="35"/>
  <c r="BE65" i="35"/>
  <c r="BG65" i="35"/>
  <c r="BH65" i="35"/>
  <c r="BI65" i="35"/>
  <c r="BJ65" i="35"/>
  <c r="BK65" i="35"/>
  <c r="BL65" i="35"/>
  <c r="BM65" i="35"/>
  <c r="BN65" i="35"/>
  <c r="BO65" i="35"/>
  <c r="BP65" i="35"/>
  <c r="BR65" i="35"/>
  <c r="BS65" i="35"/>
  <c r="BT65" i="35"/>
  <c r="BU65" i="35"/>
  <c r="BV65" i="35"/>
  <c r="BW65" i="35"/>
  <c r="BX65" i="35"/>
  <c r="BY65" i="35"/>
  <c r="BZ65" i="35"/>
  <c r="CA65" i="35"/>
  <c r="A66" i="35"/>
  <c r="B66" i="35"/>
  <c r="C66" i="35"/>
  <c r="D66" i="35"/>
  <c r="E66" i="35"/>
  <c r="F66" i="35"/>
  <c r="G66" i="35"/>
  <c r="H66" i="35"/>
  <c r="J66" i="35"/>
  <c r="K66" i="35"/>
  <c r="L66" i="35"/>
  <c r="M66" i="35"/>
  <c r="N66" i="35"/>
  <c r="P66" i="35"/>
  <c r="Q66" i="35"/>
  <c r="R66" i="35"/>
  <c r="S66" i="35"/>
  <c r="T66" i="35"/>
  <c r="V66" i="35"/>
  <c r="W66" i="35"/>
  <c r="X66" i="35"/>
  <c r="Y66" i="35"/>
  <c r="Z66" i="35"/>
  <c r="AC66" i="35"/>
  <c r="AD66" i="35"/>
  <c r="AE66" i="35"/>
  <c r="AF66" i="35"/>
  <c r="AK66" i="35"/>
  <c r="AL66" i="35"/>
  <c r="AM66" i="35"/>
  <c r="AN66" i="35"/>
  <c r="AO66" i="35"/>
  <c r="AP66" i="35"/>
  <c r="AQ66" i="35"/>
  <c r="AR66" i="35"/>
  <c r="AS66" i="35"/>
  <c r="AT66" i="35"/>
  <c r="AV66" i="35"/>
  <c r="AW66" i="35"/>
  <c r="AX66" i="35"/>
  <c r="AY66" i="35"/>
  <c r="AZ66" i="35"/>
  <c r="BA66" i="35"/>
  <c r="BB66" i="35"/>
  <c r="BC66" i="35"/>
  <c r="BD66" i="35"/>
  <c r="BE66" i="35"/>
  <c r="BG66" i="35"/>
  <c r="BH66" i="35"/>
  <c r="BI66" i="35"/>
  <c r="BJ66" i="35"/>
  <c r="BK66" i="35"/>
  <c r="BL66" i="35"/>
  <c r="BM66" i="35"/>
  <c r="BN66" i="35"/>
  <c r="BO66" i="35"/>
  <c r="BP66" i="35"/>
  <c r="BR66" i="35"/>
  <c r="BS66" i="35"/>
  <c r="BT66" i="35"/>
  <c r="BU66" i="35"/>
  <c r="BV66" i="35"/>
  <c r="BW66" i="35"/>
  <c r="BX66" i="35"/>
  <c r="BY66" i="35"/>
  <c r="BZ66" i="35"/>
  <c r="CA66" i="35"/>
  <c r="A67" i="35"/>
  <c r="B67" i="35"/>
  <c r="C67" i="35"/>
  <c r="D67" i="35"/>
  <c r="E67" i="35"/>
  <c r="F67" i="35"/>
  <c r="G67" i="35"/>
  <c r="H67" i="35"/>
  <c r="J67" i="35"/>
  <c r="K67" i="35"/>
  <c r="L67" i="35"/>
  <c r="M67" i="35"/>
  <c r="N67" i="35"/>
  <c r="P67" i="35"/>
  <c r="Q67" i="35"/>
  <c r="R67" i="35"/>
  <c r="S67" i="35"/>
  <c r="T67" i="35"/>
  <c r="V67" i="35"/>
  <c r="W67" i="35"/>
  <c r="X67" i="35"/>
  <c r="Y67" i="35"/>
  <c r="Z67" i="35"/>
  <c r="AC67" i="35"/>
  <c r="AD67" i="35"/>
  <c r="AE67" i="35"/>
  <c r="AF67" i="35"/>
  <c r="AK67" i="35"/>
  <c r="AL67" i="35"/>
  <c r="AM67" i="35"/>
  <c r="AN67" i="35"/>
  <c r="AO67" i="35"/>
  <c r="AP67" i="35"/>
  <c r="AQ67" i="35"/>
  <c r="AR67" i="35"/>
  <c r="AS67" i="35"/>
  <c r="AT67" i="35"/>
  <c r="AV67" i="35"/>
  <c r="AW67" i="35"/>
  <c r="AX67" i="35"/>
  <c r="AY67" i="35"/>
  <c r="AZ67" i="35"/>
  <c r="BA67" i="35"/>
  <c r="BB67" i="35"/>
  <c r="BC67" i="35"/>
  <c r="BD67" i="35"/>
  <c r="BE67" i="35"/>
  <c r="BG67" i="35"/>
  <c r="BH67" i="35"/>
  <c r="BI67" i="35"/>
  <c r="BJ67" i="35"/>
  <c r="BK67" i="35"/>
  <c r="BL67" i="35"/>
  <c r="BM67" i="35"/>
  <c r="BN67" i="35"/>
  <c r="BO67" i="35"/>
  <c r="BP67" i="35"/>
  <c r="BR67" i="35"/>
  <c r="BS67" i="35"/>
  <c r="BT67" i="35"/>
  <c r="BU67" i="35"/>
  <c r="BV67" i="35"/>
  <c r="BW67" i="35"/>
  <c r="BX67" i="35"/>
  <c r="BY67" i="35"/>
  <c r="BZ67" i="35"/>
  <c r="CA67" i="35"/>
  <c r="A68" i="35"/>
  <c r="B68" i="35"/>
  <c r="C68" i="35"/>
  <c r="D68" i="35"/>
  <c r="E68" i="35"/>
  <c r="F68" i="35"/>
  <c r="G68" i="35"/>
  <c r="H68" i="35"/>
  <c r="J68" i="35"/>
  <c r="K68" i="35"/>
  <c r="L68" i="35"/>
  <c r="M68" i="35"/>
  <c r="N68" i="35"/>
  <c r="P68" i="35"/>
  <c r="Q68" i="35"/>
  <c r="R68" i="35"/>
  <c r="S68" i="35"/>
  <c r="T68" i="35"/>
  <c r="V68" i="35"/>
  <c r="W68" i="35"/>
  <c r="X68" i="35"/>
  <c r="Y68" i="35"/>
  <c r="Z68" i="35"/>
  <c r="AC68" i="35"/>
  <c r="AD68" i="35"/>
  <c r="AE68" i="35"/>
  <c r="AF68" i="35"/>
  <c r="AK68" i="35"/>
  <c r="AL68" i="35"/>
  <c r="AM68" i="35"/>
  <c r="AN68" i="35"/>
  <c r="AO68" i="35"/>
  <c r="AP68" i="35"/>
  <c r="AQ68" i="35"/>
  <c r="AR68" i="35"/>
  <c r="AS68" i="35"/>
  <c r="AT68" i="35"/>
  <c r="AV68" i="35"/>
  <c r="AW68" i="35"/>
  <c r="AX68" i="35"/>
  <c r="AY68" i="35"/>
  <c r="AZ68" i="35"/>
  <c r="BA68" i="35"/>
  <c r="BB68" i="35"/>
  <c r="BC68" i="35"/>
  <c r="BD68" i="35"/>
  <c r="BE68" i="35"/>
  <c r="BG68" i="35"/>
  <c r="BH68" i="35"/>
  <c r="BI68" i="35"/>
  <c r="BJ68" i="35"/>
  <c r="BK68" i="35"/>
  <c r="BL68" i="35"/>
  <c r="BM68" i="35"/>
  <c r="BN68" i="35"/>
  <c r="BO68" i="35"/>
  <c r="BP68" i="35"/>
  <c r="BR68" i="35"/>
  <c r="BS68" i="35"/>
  <c r="BT68" i="35"/>
  <c r="BU68" i="35"/>
  <c r="BV68" i="35"/>
  <c r="BW68" i="35"/>
  <c r="BX68" i="35"/>
  <c r="BY68" i="35"/>
  <c r="BZ68" i="35"/>
  <c r="CA68" i="35"/>
  <c r="A69" i="35"/>
  <c r="B69" i="35"/>
  <c r="C69" i="35"/>
  <c r="D69" i="35"/>
  <c r="E69" i="35"/>
  <c r="F69" i="35"/>
  <c r="G69" i="35"/>
  <c r="H69" i="35"/>
  <c r="J69" i="35"/>
  <c r="K69" i="35"/>
  <c r="L69" i="35"/>
  <c r="M69" i="35"/>
  <c r="N69" i="35"/>
  <c r="P69" i="35"/>
  <c r="Q69" i="35"/>
  <c r="R69" i="35"/>
  <c r="S69" i="35"/>
  <c r="T69" i="35"/>
  <c r="V69" i="35"/>
  <c r="W69" i="35"/>
  <c r="X69" i="35"/>
  <c r="Y69" i="35"/>
  <c r="Z69" i="35"/>
  <c r="AC69" i="35"/>
  <c r="AD69" i="35"/>
  <c r="AE69" i="35"/>
  <c r="AF69" i="35"/>
  <c r="AK69" i="35"/>
  <c r="AL69" i="35"/>
  <c r="AM69" i="35"/>
  <c r="AN69" i="35"/>
  <c r="AO69" i="35"/>
  <c r="AP69" i="35"/>
  <c r="AQ69" i="35"/>
  <c r="AR69" i="35"/>
  <c r="AS69" i="35"/>
  <c r="AT69" i="35"/>
  <c r="AV69" i="35"/>
  <c r="AW69" i="35"/>
  <c r="AX69" i="35"/>
  <c r="AY69" i="35"/>
  <c r="AZ69" i="35"/>
  <c r="BA69" i="35"/>
  <c r="BB69" i="35"/>
  <c r="BC69" i="35"/>
  <c r="BD69" i="35"/>
  <c r="BE69" i="35"/>
  <c r="BG69" i="35"/>
  <c r="BH69" i="35"/>
  <c r="BI69" i="35"/>
  <c r="BJ69" i="35"/>
  <c r="BK69" i="35"/>
  <c r="BL69" i="35"/>
  <c r="BM69" i="35"/>
  <c r="BN69" i="35"/>
  <c r="BO69" i="35"/>
  <c r="BP69" i="35"/>
  <c r="BR69" i="35"/>
  <c r="BS69" i="35"/>
  <c r="BT69" i="35"/>
  <c r="BU69" i="35"/>
  <c r="BV69" i="35"/>
  <c r="BW69" i="35"/>
  <c r="BX69" i="35"/>
  <c r="BY69" i="35"/>
  <c r="BZ69" i="35"/>
  <c r="CA69" i="35"/>
  <c r="A70" i="35"/>
  <c r="B70" i="35"/>
  <c r="C70" i="35"/>
  <c r="D70" i="35"/>
  <c r="E70" i="35"/>
  <c r="F70" i="35"/>
  <c r="G70" i="35"/>
  <c r="H70" i="35"/>
  <c r="J70" i="35"/>
  <c r="K70" i="35"/>
  <c r="L70" i="35"/>
  <c r="M70" i="35"/>
  <c r="N70" i="35"/>
  <c r="P70" i="35"/>
  <c r="Q70" i="35"/>
  <c r="R70" i="35"/>
  <c r="S70" i="35"/>
  <c r="T70" i="35"/>
  <c r="V70" i="35"/>
  <c r="W70" i="35"/>
  <c r="X70" i="35"/>
  <c r="Y70" i="35"/>
  <c r="Z70" i="35"/>
  <c r="AC70" i="35"/>
  <c r="AD70" i="35"/>
  <c r="AE70" i="35"/>
  <c r="AF70" i="35"/>
  <c r="AK70" i="35"/>
  <c r="AL70" i="35"/>
  <c r="AM70" i="35"/>
  <c r="AN70" i="35"/>
  <c r="AO70" i="35"/>
  <c r="AP70" i="35"/>
  <c r="AQ70" i="35"/>
  <c r="AR70" i="35"/>
  <c r="AS70" i="35"/>
  <c r="AT70" i="35"/>
  <c r="AV70" i="35"/>
  <c r="AW70" i="35"/>
  <c r="AX70" i="35"/>
  <c r="AY70" i="35"/>
  <c r="AZ70" i="35"/>
  <c r="BA70" i="35"/>
  <c r="BB70" i="35"/>
  <c r="BC70" i="35"/>
  <c r="BD70" i="35"/>
  <c r="BE70" i="35"/>
  <c r="BG70" i="35"/>
  <c r="BH70" i="35"/>
  <c r="BI70" i="35"/>
  <c r="BJ70" i="35"/>
  <c r="BK70" i="35"/>
  <c r="BL70" i="35"/>
  <c r="BM70" i="35"/>
  <c r="BN70" i="35"/>
  <c r="BO70" i="35"/>
  <c r="BP70" i="35"/>
  <c r="BR70" i="35"/>
  <c r="BS70" i="35"/>
  <c r="BT70" i="35"/>
  <c r="BU70" i="35"/>
  <c r="BV70" i="35"/>
  <c r="BW70" i="35"/>
  <c r="BX70" i="35"/>
  <c r="BY70" i="35"/>
  <c r="BZ70" i="35"/>
  <c r="CA70" i="35"/>
  <c r="A71" i="35"/>
  <c r="B71" i="35"/>
  <c r="C71" i="35"/>
  <c r="D71" i="35"/>
  <c r="E71" i="35"/>
  <c r="F71" i="35"/>
  <c r="G71" i="35"/>
  <c r="H71" i="35"/>
  <c r="J71" i="35"/>
  <c r="K71" i="35"/>
  <c r="L71" i="35"/>
  <c r="M71" i="35"/>
  <c r="N71" i="35"/>
  <c r="P71" i="35"/>
  <c r="Q71" i="35"/>
  <c r="R71" i="35"/>
  <c r="S71" i="35"/>
  <c r="T71" i="35"/>
  <c r="V71" i="35"/>
  <c r="W71" i="35"/>
  <c r="X71" i="35"/>
  <c r="Y71" i="35"/>
  <c r="Z71" i="35"/>
  <c r="AC71" i="35"/>
  <c r="AD71" i="35"/>
  <c r="AE71" i="35"/>
  <c r="AF71" i="35"/>
  <c r="AK71" i="35"/>
  <c r="AL71" i="35"/>
  <c r="AM71" i="35"/>
  <c r="AN71" i="35"/>
  <c r="AO71" i="35"/>
  <c r="AP71" i="35"/>
  <c r="AQ71" i="35"/>
  <c r="AR71" i="35"/>
  <c r="AS71" i="35"/>
  <c r="AT71" i="35"/>
  <c r="AV71" i="35"/>
  <c r="AW71" i="35"/>
  <c r="AX71" i="35"/>
  <c r="AY71" i="35"/>
  <c r="AZ71" i="35"/>
  <c r="BA71" i="35"/>
  <c r="BB71" i="35"/>
  <c r="BC71" i="35"/>
  <c r="BD71" i="35"/>
  <c r="BE71" i="35"/>
  <c r="BG71" i="35"/>
  <c r="BH71" i="35"/>
  <c r="BI71" i="35"/>
  <c r="BJ71" i="35"/>
  <c r="BK71" i="35"/>
  <c r="BL71" i="35"/>
  <c r="BM71" i="35"/>
  <c r="BN71" i="35"/>
  <c r="BO71" i="35"/>
  <c r="BP71" i="35"/>
  <c r="BR71" i="35"/>
  <c r="BS71" i="35"/>
  <c r="BT71" i="35"/>
  <c r="BU71" i="35"/>
  <c r="BV71" i="35"/>
  <c r="BW71" i="35"/>
  <c r="BX71" i="35"/>
  <c r="BY71" i="35"/>
  <c r="BZ71" i="35"/>
  <c r="CA71" i="35"/>
  <c r="A72" i="35"/>
  <c r="B72" i="35"/>
  <c r="C72" i="35"/>
  <c r="D72" i="35"/>
  <c r="E72" i="35"/>
  <c r="F72" i="35"/>
  <c r="G72" i="35"/>
  <c r="H72" i="35"/>
  <c r="J72" i="35"/>
  <c r="K72" i="35"/>
  <c r="L72" i="35"/>
  <c r="M72" i="35"/>
  <c r="N72" i="35"/>
  <c r="P72" i="35"/>
  <c r="Q72" i="35"/>
  <c r="R72" i="35"/>
  <c r="S72" i="35"/>
  <c r="T72" i="35"/>
  <c r="V72" i="35"/>
  <c r="W72" i="35"/>
  <c r="X72" i="35"/>
  <c r="Y72" i="35"/>
  <c r="Z72" i="35"/>
  <c r="AC72" i="35"/>
  <c r="AD72" i="35"/>
  <c r="AE72" i="35"/>
  <c r="AF72" i="35"/>
  <c r="AK72" i="35"/>
  <c r="AL72" i="35"/>
  <c r="AM72" i="35"/>
  <c r="AN72" i="35"/>
  <c r="AO72" i="35"/>
  <c r="AP72" i="35"/>
  <c r="AQ72" i="35"/>
  <c r="AR72" i="35"/>
  <c r="AS72" i="35"/>
  <c r="AT72" i="35"/>
  <c r="AV72" i="35"/>
  <c r="AW72" i="35"/>
  <c r="AX72" i="35"/>
  <c r="AY72" i="35"/>
  <c r="AZ72" i="35"/>
  <c r="BA72" i="35"/>
  <c r="BB72" i="35"/>
  <c r="BC72" i="35"/>
  <c r="BD72" i="35"/>
  <c r="BE72" i="35"/>
  <c r="BG72" i="35"/>
  <c r="BH72" i="35"/>
  <c r="BI72" i="35"/>
  <c r="BJ72" i="35"/>
  <c r="BK72" i="35"/>
  <c r="BL72" i="35"/>
  <c r="BM72" i="35"/>
  <c r="BN72" i="35"/>
  <c r="BO72" i="35"/>
  <c r="BP72" i="35"/>
  <c r="BR72" i="35"/>
  <c r="BS72" i="35"/>
  <c r="BT72" i="35"/>
  <c r="BU72" i="35"/>
  <c r="BV72" i="35"/>
  <c r="BW72" i="35"/>
  <c r="BX72" i="35"/>
  <c r="BY72" i="35"/>
  <c r="BZ72" i="35"/>
  <c r="CA72" i="35"/>
  <c r="A73" i="35"/>
  <c r="B73" i="35"/>
  <c r="C73" i="35"/>
  <c r="D73" i="35"/>
  <c r="E73" i="35"/>
  <c r="F73" i="35"/>
  <c r="G73" i="35"/>
  <c r="H73" i="35"/>
  <c r="J73" i="35"/>
  <c r="K73" i="35"/>
  <c r="L73" i="35"/>
  <c r="M73" i="35"/>
  <c r="N73" i="35"/>
  <c r="P73" i="35"/>
  <c r="Q73" i="35"/>
  <c r="R73" i="35"/>
  <c r="S73" i="35"/>
  <c r="T73" i="35"/>
  <c r="V73" i="35"/>
  <c r="W73" i="35"/>
  <c r="X73" i="35"/>
  <c r="Y73" i="35"/>
  <c r="Z73" i="35"/>
  <c r="AC73" i="35"/>
  <c r="AD73" i="35"/>
  <c r="AE73" i="35"/>
  <c r="AF73" i="35"/>
  <c r="AK73" i="35"/>
  <c r="AL73" i="35"/>
  <c r="AM73" i="35"/>
  <c r="AN73" i="35"/>
  <c r="AO73" i="35"/>
  <c r="AP73" i="35"/>
  <c r="AQ73" i="35"/>
  <c r="AR73" i="35"/>
  <c r="AS73" i="35"/>
  <c r="AT73" i="35"/>
  <c r="AV73" i="35"/>
  <c r="AW73" i="35"/>
  <c r="AX73" i="35"/>
  <c r="AY73" i="35"/>
  <c r="AZ73" i="35"/>
  <c r="BA73" i="35"/>
  <c r="BB73" i="35"/>
  <c r="BC73" i="35"/>
  <c r="BD73" i="35"/>
  <c r="BE73" i="35"/>
  <c r="BG73" i="35"/>
  <c r="BH73" i="35"/>
  <c r="BI73" i="35"/>
  <c r="BJ73" i="35"/>
  <c r="BK73" i="35"/>
  <c r="BL73" i="35"/>
  <c r="BM73" i="35"/>
  <c r="BN73" i="35"/>
  <c r="BO73" i="35"/>
  <c r="BP73" i="35"/>
  <c r="BR73" i="35"/>
  <c r="BS73" i="35"/>
  <c r="BT73" i="35"/>
  <c r="BU73" i="35"/>
  <c r="BV73" i="35"/>
  <c r="BW73" i="35"/>
  <c r="BX73" i="35"/>
  <c r="BY73" i="35"/>
  <c r="BZ73" i="35"/>
  <c r="CA73" i="35"/>
  <c r="A74" i="35"/>
  <c r="B74" i="35"/>
  <c r="C74" i="35"/>
  <c r="D74" i="35"/>
  <c r="E74" i="35"/>
  <c r="F74" i="35"/>
  <c r="G74" i="35"/>
  <c r="H74" i="35"/>
  <c r="J74" i="35"/>
  <c r="K74" i="35"/>
  <c r="L74" i="35"/>
  <c r="M74" i="35"/>
  <c r="N74" i="35"/>
  <c r="P74" i="35"/>
  <c r="Q74" i="35"/>
  <c r="R74" i="35"/>
  <c r="S74" i="35"/>
  <c r="T74" i="35"/>
  <c r="V74" i="35"/>
  <c r="W74" i="35"/>
  <c r="X74" i="35"/>
  <c r="Y74" i="35"/>
  <c r="Z74" i="35"/>
  <c r="AC74" i="35"/>
  <c r="AD74" i="35"/>
  <c r="AE74" i="35"/>
  <c r="AF74" i="35"/>
  <c r="AK74" i="35"/>
  <c r="AL74" i="35"/>
  <c r="AM74" i="35"/>
  <c r="AN74" i="35"/>
  <c r="AO74" i="35"/>
  <c r="AP74" i="35"/>
  <c r="AQ74" i="35"/>
  <c r="AR74" i="35"/>
  <c r="AS74" i="35"/>
  <c r="AT74" i="35"/>
  <c r="AV74" i="35"/>
  <c r="AW74" i="35"/>
  <c r="AX74" i="35"/>
  <c r="AY74" i="35"/>
  <c r="AZ74" i="35"/>
  <c r="BA74" i="35"/>
  <c r="BB74" i="35"/>
  <c r="BC74" i="35"/>
  <c r="BD74" i="35"/>
  <c r="BE74" i="35"/>
  <c r="BG74" i="35"/>
  <c r="BH74" i="35"/>
  <c r="BI74" i="35"/>
  <c r="BJ74" i="35"/>
  <c r="BK74" i="35"/>
  <c r="BL74" i="35"/>
  <c r="BM74" i="35"/>
  <c r="BN74" i="35"/>
  <c r="BO74" i="35"/>
  <c r="BP74" i="35"/>
  <c r="BR74" i="35"/>
  <c r="BS74" i="35"/>
  <c r="BT74" i="35"/>
  <c r="BU74" i="35"/>
  <c r="BV74" i="35"/>
  <c r="BW74" i="35"/>
  <c r="BX74" i="35"/>
  <c r="BY74" i="35"/>
  <c r="BZ74" i="35"/>
  <c r="CA74" i="35"/>
  <c r="A75" i="35"/>
  <c r="B75" i="35"/>
  <c r="C75" i="35"/>
  <c r="D75" i="35"/>
  <c r="E75" i="35"/>
  <c r="F75" i="35"/>
  <c r="G75" i="35"/>
  <c r="H75" i="35"/>
  <c r="J75" i="35"/>
  <c r="K75" i="35"/>
  <c r="L75" i="35"/>
  <c r="M75" i="35"/>
  <c r="N75" i="35"/>
  <c r="P75" i="35"/>
  <c r="Q75" i="35"/>
  <c r="R75" i="35"/>
  <c r="S75" i="35"/>
  <c r="T75" i="35"/>
  <c r="V75" i="35"/>
  <c r="W75" i="35"/>
  <c r="X75" i="35"/>
  <c r="Y75" i="35"/>
  <c r="Z75" i="35"/>
  <c r="AC75" i="35"/>
  <c r="AD75" i="35"/>
  <c r="AE75" i="35"/>
  <c r="AF75" i="35"/>
  <c r="AK75" i="35"/>
  <c r="AL75" i="35"/>
  <c r="AM75" i="35"/>
  <c r="AN75" i="35"/>
  <c r="AO75" i="35"/>
  <c r="AP75" i="35"/>
  <c r="AQ75" i="35"/>
  <c r="AR75" i="35"/>
  <c r="AS75" i="35"/>
  <c r="AT75" i="35"/>
  <c r="AV75" i="35"/>
  <c r="AW75" i="35"/>
  <c r="AX75" i="35"/>
  <c r="AY75" i="35"/>
  <c r="AZ75" i="35"/>
  <c r="BA75" i="35"/>
  <c r="BB75" i="35"/>
  <c r="BC75" i="35"/>
  <c r="BD75" i="35"/>
  <c r="BE75" i="35"/>
  <c r="BG75" i="35"/>
  <c r="BH75" i="35"/>
  <c r="BI75" i="35"/>
  <c r="BJ75" i="35"/>
  <c r="BK75" i="35"/>
  <c r="BL75" i="35"/>
  <c r="BM75" i="35"/>
  <c r="BN75" i="35"/>
  <c r="BO75" i="35"/>
  <c r="BP75" i="35"/>
  <c r="BR75" i="35"/>
  <c r="BS75" i="35"/>
  <c r="BT75" i="35"/>
  <c r="BU75" i="35"/>
  <c r="BV75" i="35"/>
  <c r="BW75" i="35"/>
  <c r="BX75" i="35"/>
  <c r="BY75" i="35"/>
  <c r="BZ75" i="35"/>
  <c r="CA75" i="35"/>
  <c r="A76" i="35"/>
  <c r="B76" i="35"/>
  <c r="C76" i="35"/>
  <c r="D76" i="35"/>
  <c r="E76" i="35"/>
  <c r="F76" i="35"/>
  <c r="G76" i="35"/>
  <c r="H76" i="35"/>
  <c r="J76" i="35"/>
  <c r="K76" i="35"/>
  <c r="L76" i="35"/>
  <c r="M76" i="35"/>
  <c r="N76" i="35"/>
  <c r="P76" i="35"/>
  <c r="Q76" i="35"/>
  <c r="R76" i="35"/>
  <c r="S76" i="35"/>
  <c r="T76" i="35"/>
  <c r="V76" i="35"/>
  <c r="W76" i="35"/>
  <c r="X76" i="35"/>
  <c r="Y76" i="35"/>
  <c r="Z76" i="35"/>
  <c r="AC76" i="35"/>
  <c r="AD76" i="35"/>
  <c r="AE76" i="35"/>
  <c r="AF76" i="35"/>
  <c r="AK76" i="35"/>
  <c r="AL76" i="35"/>
  <c r="AM76" i="35"/>
  <c r="AN76" i="35"/>
  <c r="AO76" i="35"/>
  <c r="AP76" i="35"/>
  <c r="AQ76" i="35"/>
  <c r="AR76" i="35"/>
  <c r="AS76" i="35"/>
  <c r="AT76" i="35"/>
  <c r="AV76" i="35"/>
  <c r="AW76" i="35"/>
  <c r="AX76" i="35"/>
  <c r="AY76" i="35"/>
  <c r="AZ76" i="35"/>
  <c r="BA76" i="35"/>
  <c r="BB76" i="35"/>
  <c r="BC76" i="35"/>
  <c r="BD76" i="35"/>
  <c r="BE76" i="35"/>
  <c r="BG76" i="35"/>
  <c r="BH76" i="35"/>
  <c r="BI76" i="35"/>
  <c r="BJ76" i="35"/>
  <c r="BK76" i="35"/>
  <c r="BL76" i="35"/>
  <c r="BM76" i="35"/>
  <c r="BN76" i="35"/>
  <c r="BO76" i="35"/>
  <c r="BP76" i="35"/>
  <c r="BR76" i="35"/>
  <c r="BS76" i="35"/>
  <c r="BT76" i="35"/>
  <c r="BU76" i="35"/>
  <c r="BV76" i="35"/>
  <c r="BW76" i="35"/>
  <c r="BX76" i="35"/>
  <c r="BY76" i="35"/>
  <c r="BZ76" i="35"/>
  <c r="CA76" i="35"/>
  <c r="A77" i="35"/>
  <c r="B77" i="35"/>
  <c r="C77" i="35"/>
  <c r="D77" i="35"/>
  <c r="E77" i="35"/>
  <c r="F77" i="35"/>
  <c r="G77" i="35"/>
  <c r="H77" i="35"/>
  <c r="J77" i="35"/>
  <c r="K77" i="35"/>
  <c r="L77" i="35"/>
  <c r="M77" i="35"/>
  <c r="N77" i="35"/>
  <c r="P77" i="35"/>
  <c r="Q77" i="35"/>
  <c r="R77" i="35"/>
  <c r="S77" i="35"/>
  <c r="T77" i="35"/>
  <c r="V77" i="35"/>
  <c r="W77" i="35"/>
  <c r="X77" i="35"/>
  <c r="Y77" i="35"/>
  <c r="Z77" i="35"/>
  <c r="AC77" i="35"/>
  <c r="AD77" i="35"/>
  <c r="AE77" i="35"/>
  <c r="AF77" i="35"/>
  <c r="AK77" i="35"/>
  <c r="AL77" i="35"/>
  <c r="AM77" i="35"/>
  <c r="AN77" i="35"/>
  <c r="AO77" i="35"/>
  <c r="AP77" i="35"/>
  <c r="AQ77" i="35"/>
  <c r="AR77" i="35"/>
  <c r="AS77" i="35"/>
  <c r="AT77" i="35"/>
  <c r="AV77" i="35"/>
  <c r="AW77" i="35"/>
  <c r="AX77" i="35"/>
  <c r="AY77" i="35"/>
  <c r="AZ77" i="35"/>
  <c r="BA77" i="35"/>
  <c r="BB77" i="35"/>
  <c r="BC77" i="35"/>
  <c r="BD77" i="35"/>
  <c r="BE77" i="35"/>
  <c r="BG77" i="35"/>
  <c r="BH77" i="35"/>
  <c r="BI77" i="35"/>
  <c r="BJ77" i="35"/>
  <c r="BK77" i="35"/>
  <c r="BL77" i="35"/>
  <c r="BM77" i="35"/>
  <c r="BN77" i="35"/>
  <c r="BO77" i="35"/>
  <c r="BP77" i="35"/>
  <c r="BR77" i="35"/>
  <c r="BS77" i="35"/>
  <c r="BT77" i="35"/>
  <c r="BU77" i="35"/>
  <c r="BV77" i="35"/>
  <c r="BW77" i="35"/>
  <c r="BX77" i="35"/>
  <c r="BY77" i="35"/>
  <c r="BZ77" i="35"/>
  <c r="CA77" i="35"/>
  <c r="A78" i="35"/>
  <c r="B78" i="35"/>
  <c r="C78" i="35"/>
  <c r="D78" i="35"/>
  <c r="E78" i="35"/>
  <c r="F78" i="35"/>
  <c r="G78" i="35"/>
  <c r="H78" i="35"/>
  <c r="J78" i="35"/>
  <c r="K78" i="35"/>
  <c r="L78" i="35"/>
  <c r="M78" i="35"/>
  <c r="N78" i="35"/>
  <c r="P78" i="35"/>
  <c r="Q78" i="35"/>
  <c r="R78" i="35"/>
  <c r="S78" i="35"/>
  <c r="T78" i="35"/>
  <c r="V78" i="35"/>
  <c r="W78" i="35"/>
  <c r="X78" i="35"/>
  <c r="Y78" i="35"/>
  <c r="Z78" i="35"/>
  <c r="AC78" i="35"/>
  <c r="AD78" i="35"/>
  <c r="AE78" i="35"/>
  <c r="AF78" i="35"/>
  <c r="AK78" i="35"/>
  <c r="AL78" i="35"/>
  <c r="AM78" i="35"/>
  <c r="AN78" i="35"/>
  <c r="AO78" i="35"/>
  <c r="AP78" i="35"/>
  <c r="AQ78" i="35"/>
  <c r="AR78" i="35"/>
  <c r="AS78" i="35"/>
  <c r="AT78" i="35"/>
  <c r="AV78" i="35"/>
  <c r="AW78" i="35"/>
  <c r="AX78" i="35"/>
  <c r="AY78" i="35"/>
  <c r="AZ78" i="35"/>
  <c r="BA78" i="35"/>
  <c r="BB78" i="35"/>
  <c r="BC78" i="35"/>
  <c r="BD78" i="35"/>
  <c r="BE78" i="35"/>
  <c r="BG78" i="35"/>
  <c r="BH78" i="35"/>
  <c r="BI78" i="35"/>
  <c r="BJ78" i="35"/>
  <c r="BK78" i="35"/>
  <c r="BL78" i="35"/>
  <c r="BM78" i="35"/>
  <c r="BN78" i="35"/>
  <c r="BO78" i="35"/>
  <c r="BP78" i="35"/>
  <c r="BR78" i="35"/>
  <c r="BS78" i="35"/>
  <c r="BT78" i="35"/>
  <c r="BU78" i="35"/>
  <c r="BV78" i="35"/>
  <c r="BW78" i="35"/>
  <c r="BX78" i="35"/>
  <c r="BY78" i="35"/>
  <c r="BZ78" i="35"/>
  <c r="CA78" i="35"/>
  <c r="A79" i="35"/>
  <c r="B79" i="35"/>
  <c r="C79" i="35"/>
  <c r="D79" i="35"/>
  <c r="E79" i="35"/>
  <c r="F79" i="35"/>
  <c r="G79" i="35"/>
  <c r="H79" i="35"/>
  <c r="J79" i="35"/>
  <c r="K79" i="35"/>
  <c r="L79" i="35"/>
  <c r="M79" i="35"/>
  <c r="N79" i="35"/>
  <c r="P79" i="35"/>
  <c r="Q79" i="35"/>
  <c r="R79" i="35"/>
  <c r="S79" i="35"/>
  <c r="T79" i="35"/>
  <c r="V79" i="35"/>
  <c r="W79" i="35"/>
  <c r="X79" i="35"/>
  <c r="Y79" i="35"/>
  <c r="Z79" i="35"/>
  <c r="AC79" i="35"/>
  <c r="AD79" i="35"/>
  <c r="AE79" i="35"/>
  <c r="AF79" i="35"/>
  <c r="AK79" i="35"/>
  <c r="AL79" i="35"/>
  <c r="AM79" i="35"/>
  <c r="AN79" i="35"/>
  <c r="AO79" i="35"/>
  <c r="AP79" i="35"/>
  <c r="AQ79" i="35"/>
  <c r="AR79" i="35"/>
  <c r="AS79" i="35"/>
  <c r="AT79" i="35"/>
  <c r="AV79" i="35"/>
  <c r="AW79" i="35"/>
  <c r="AX79" i="35"/>
  <c r="AY79" i="35"/>
  <c r="AZ79" i="35"/>
  <c r="BA79" i="35"/>
  <c r="BB79" i="35"/>
  <c r="BC79" i="35"/>
  <c r="BD79" i="35"/>
  <c r="BE79" i="35"/>
  <c r="BG79" i="35"/>
  <c r="BH79" i="35"/>
  <c r="BI79" i="35"/>
  <c r="BJ79" i="35"/>
  <c r="BK79" i="35"/>
  <c r="BL79" i="35"/>
  <c r="BM79" i="35"/>
  <c r="BN79" i="35"/>
  <c r="BO79" i="35"/>
  <c r="BP79" i="35"/>
  <c r="BR79" i="35"/>
  <c r="BS79" i="35"/>
  <c r="BT79" i="35"/>
  <c r="BU79" i="35"/>
  <c r="BV79" i="35"/>
  <c r="BW79" i="35"/>
  <c r="BX79" i="35"/>
  <c r="BY79" i="35"/>
  <c r="BZ79" i="35"/>
  <c r="CA79" i="35"/>
  <c r="A80" i="35"/>
  <c r="B80" i="35"/>
  <c r="C80" i="35"/>
  <c r="D80" i="35"/>
  <c r="E80" i="35"/>
  <c r="F80" i="35"/>
  <c r="G80" i="35"/>
  <c r="H80" i="35"/>
  <c r="J80" i="35"/>
  <c r="K80" i="35"/>
  <c r="L80" i="35"/>
  <c r="M80" i="35"/>
  <c r="N80" i="35"/>
  <c r="P80" i="35"/>
  <c r="Q80" i="35"/>
  <c r="R80" i="35"/>
  <c r="S80" i="35"/>
  <c r="T80" i="35"/>
  <c r="V80" i="35"/>
  <c r="W80" i="35"/>
  <c r="X80" i="35"/>
  <c r="Y80" i="35"/>
  <c r="Z80" i="35"/>
  <c r="AC80" i="35"/>
  <c r="AD80" i="35"/>
  <c r="AE80" i="35"/>
  <c r="AF80" i="35"/>
  <c r="AK80" i="35"/>
  <c r="AL80" i="35"/>
  <c r="AM80" i="35"/>
  <c r="AN80" i="35"/>
  <c r="AO80" i="35"/>
  <c r="AP80" i="35"/>
  <c r="AQ80" i="35"/>
  <c r="AR80" i="35"/>
  <c r="AS80" i="35"/>
  <c r="AT80" i="35"/>
  <c r="AV80" i="35"/>
  <c r="AW80" i="35"/>
  <c r="AX80" i="35"/>
  <c r="AY80" i="35"/>
  <c r="AZ80" i="35"/>
  <c r="BA80" i="35"/>
  <c r="BB80" i="35"/>
  <c r="BC80" i="35"/>
  <c r="BD80" i="35"/>
  <c r="BE80" i="35"/>
  <c r="BG80" i="35"/>
  <c r="BH80" i="35"/>
  <c r="BI80" i="35"/>
  <c r="BJ80" i="35"/>
  <c r="BK80" i="35"/>
  <c r="BL80" i="35"/>
  <c r="BM80" i="35"/>
  <c r="BN80" i="35"/>
  <c r="BO80" i="35"/>
  <c r="BP80" i="35"/>
  <c r="BR80" i="35"/>
  <c r="BS80" i="35"/>
  <c r="BT80" i="35"/>
  <c r="BU80" i="35"/>
  <c r="BV80" i="35"/>
  <c r="BW80" i="35"/>
  <c r="BX80" i="35"/>
  <c r="BY80" i="35"/>
  <c r="BZ80" i="35"/>
  <c r="CA80" i="35"/>
  <c r="A81" i="35"/>
  <c r="B81" i="35"/>
  <c r="C81" i="35"/>
  <c r="D81" i="35"/>
  <c r="E81" i="35"/>
  <c r="F81" i="35"/>
  <c r="G81" i="35"/>
  <c r="H81" i="35"/>
  <c r="J81" i="35"/>
  <c r="K81" i="35"/>
  <c r="L81" i="35"/>
  <c r="M81" i="35"/>
  <c r="N81" i="35"/>
  <c r="P81" i="35"/>
  <c r="Q81" i="35"/>
  <c r="R81" i="35"/>
  <c r="S81" i="35"/>
  <c r="T81" i="35"/>
  <c r="V81" i="35"/>
  <c r="W81" i="35"/>
  <c r="X81" i="35"/>
  <c r="Y81" i="35"/>
  <c r="Z81" i="35"/>
  <c r="AC81" i="35"/>
  <c r="AD81" i="35"/>
  <c r="AE81" i="35"/>
  <c r="AF81" i="35"/>
  <c r="AK81" i="35"/>
  <c r="AL81" i="35"/>
  <c r="AM81" i="35"/>
  <c r="AN81" i="35"/>
  <c r="AO81" i="35"/>
  <c r="AP81" i="35"/>
  <c r="AQ81" i="35"/>
  <c r="AR81" i="35"/>
  <c r="AS81" i="35"/>
  <c r="AT81" i="35"/>
  <c r="AV81" i="35"/>
  <c r="AW81" i="35"/>
  <c r="AX81" i="35"/>
  <c r="AY81" i="35"/>
  <c r="AZ81" i="35"/>
  <c r="BA81" i="35"/>
  <c r="BB81" i="35"/>
  <c r="BC81" i="35"/>
  <c r="BD81" i="35"/>
  <c r="BE81" i="35"/>
  <c r="BG81" i="35"/>
  <c r="BH81" i="35"/>
  <c r="BI81" i="35"/>
  <c r="BJ81" i="35"/>
  <c r="BK81" i="35"/>
  <c r="BL81" i="35"/>
  <c r="BM81" i="35"/>
  <c r="BN81" i="35"/>
  <c r="BO81" i="35"/>
  <c r="BP81" i="35"/>
  <c r="BR81" i="35"/>
  <c r="BS81" i="35"/>
  <c r="BT81" i="35"/>
  <c r="BU81" i="35"/>
  <c r="BV81" i="35"/>
  <c r="BW81" i="35"/>
  <c r="BX81" i="35"/>
  <c r="BY81" i="35"/>
  <c r="BZ81" i="35"/>
  <c r="CA81" i="35"/>
  <c r="A82" i="35"/>
  <c r="B82" i="35"/>
  <c r="C82" i="35"/>
  <c r="D82" i="35"/>
  <c r="E82" i="35"/>
  <c r="F82" i="35"/>
  <c r="G82" i="35"/>
  <c r="H82" i="35"/>
  <c r="J82" i="35"/>
  <c r="K82" i="35"/>
  <c r="L82" i="35"/>
  <c r="M82" i="35"/>
  <c r="N82" i="35"/>
  <c r="P82" i="35"/>
  <c r="Q82" i="35"/>
  <c r="R82" i="35"/>
  <c r="S82" i="35"/>
  <c r="T82" i="35"/>
  <c r="V82" i="35"/>
  <c r="W82" i="35"/>
  <c r="X82" i="35"/>
  <c r="Y82" i="35"/>
  <c r="Z82" i="35"/>
  <c r="AC82" i="35"/>
  <c r="AD82" i="35"/>
  <c r="AE82" i="35"/>
  <c r="AF82" i="35"/>
  <c r="AK82" i="35"/>
  <c r="AL82" i="35"/>
  <c r="AM82" i="35"/>
  <c r="AN82" i="35"/>
  <c r="AO82" i="35"/>
  <c r="AP82" i="35"/>
  <c r="AQ82" i="35"/>
  <c r="AR82" i="35"/>
  <c r="AS82" i="35"/>
  <c r="AT82" i="35"/>
  <c r="AV82" i="35"/>
  <c r="AW82" i="35"/>
  <c r="AX82" i="35"/>
  <c r="AY82" i="35"/>
  <c r="AZ82" i="35"/>
  <c r="BA82" i="35"/>
  <c r="BB82" i="35"/>
  <c r="BC82" i="35"/>
  <c r="BD82" i="35"/>
  <c r="BE82" i="35"/>
  <c r="BG82" i="35"/>
  <c r="BH82" i="35"/>
  <c r="BI82" i="35"/>
  <c r="BJ82" i="35"/>
  <c r="BK82" i="35"/>
  <c r="BL82" i="35"/>
  <c r="BM82" i="35"/>
  <c r="BN82" i="35"/>
  <c r="BO82" i="35"/>
  <c r="BP82" i="35"/>
  <c r="BR82" i="35"/>
  <c r="BS82" i="35"/>
  <c r="BT82" i="35"/>
  <c r="BU82" i="35"/>
  <c r="BV82" i="35"/>
  <c r="BW82" i="35"/>
  <c r="BX82" i="35"/>
  <c r="BY82" i="35"/>
  <c r="BZ82" i="35"/>
  <c r="CA82" i="35"/>
  <c r="A83" i="35"/>
  <c r="B83" i="35"/>
  <c r="C83" i="35"/>
  <c r="D83" i="35"/>
  <c r="E83" i="35"/>
  <c r="F83" i="35"/>
  <c r="G83" i="35"/>
  <c r="H83" i="35"/>
  <c r="J83" i="35"/>
  <c r="K83" i="35"/>
  <c r="L83" i="35"/>
  <c r="M83" i="35"/>
  <c r="N83" i="35"/>
  <c r="P83" i="35"/>
  <c r="Q83" i="35"/>
  <c r="R83" i="35"/>
  <c r="S83" i="35"/>
  <c r="T83" i="35"/>
  <c r="V83" i="35"/>
  <c r="W83" i="35"/>
  <c r="X83" i="35"/>
  <c r="Y83" i="35"/>
  <c r="Z83" i="35"/>
  <c r="AC83" i="35"/>
  <c r="AD83" i="35"/>
  <c r="AE83" i="35"/>
  <c r="AF83" i="35"/>
  <c r="AK83" i="35"/>
  <c r="AL83" i="35"/>
  <c r="AM83" i="35"/>
  <c r="AN83" i="35"/>
  <c r="AO83" i="35"/>
  <c r="AP83" i="35"/>
  <c r="AQ83" i="35"/>
  <c r="AR83" i="35"/>
  <c r="AS83" i="35"/>
  <c r="AT83" i="35"/>
  <c r="AV83" i="35"/>
  <c r="AW83" i="35"/>
  <c r="AX83" i="35"/>
  <c r="AY83" i="35"/>
  <c r="AZ83" i="35"/>
  <c r="BA83" i="35"/>
  <c r="BB83" i="35"/>
  <c r="BC83" i="35"/>
  <c r="BD83" i="35"/>
  <c r="BE83" i="35"/>
  <c r="BG83" i="35"/>
  <c r="BH83" i="35"/>
  <c r="BI83" i="35"/>
  <c r="BJ83" i="35"/>
  <c r="BK83" i="35"/>
  <c r="BL83" i="35"/>
  <c r="BM83" i="35"/>
  <c r="BN83" i="35"/>
  <c r="BO83" i="35"/>
  <c r="BP83" i="35"/>
  <c r="BR83" i="35"/>
  <c r="BS83" i="35"/>
  <c r="BT83" i="35"/>
  <c r="BU83" i="35"/>
  <c r="BV83" i="35"/>
  <c r="BW83" i="35"/>
  <c r="BX83" i="35"/>
  <c r="BY83" i="35"/>
  <c r="BZ83" i="35"/>
  <c r="CA83" i="35"/>
  <c r="A84" i="35"/>
  <c r="B84" i="35"/>
  <c r="C84" i="35"/>
  <c r="D84" i="35"/>
  <c r="E84" i="35"/>
  <c r="F84" i="35"/>
  <c r="G84" i="35"/>
  <c r="H84" i="35"/>
  <c r="J84" i="35"/>
  <c r="K84" i="35"/>
  <c r="L84" i="35"/>
  <c r="M84" i="35"/>
  <c r="N84" i="35"/>
  <c r="P84" i="35"/>
  <c r="Q84" i="35"/>
  <c r="R84" i="35"/>
  <c r="S84" i="35"/>
  <c r="T84" i="35"/>
  <c r="V84" i="35"/>
  <c r="W84" i="35"/>
  <c r="X84" i="35"/>
  <c r="Y84" i="35"/>
  <c r="Z84" i="35"/>
  <c r="AC84" i="35"/>
  <c r="AD84" i="35"/>
  <c r="AE84" i="35"/>
  <c r="AF84" i="35"/>
  <c r="AK84" i="35"/>
  <c r="AL84" i="35"/>
  <c r="AM84" i="35"/>
  <c r="AN84" i="35"/>
  <c r="AO84" i="35"/>
  <c r="AP84" i="35"/>
  <c r="AQ84" i="35"/>
  <c r="AR84" i="35"/>
  <c r="AS84" i="35"/>
  <c r="AT84" i="35"/>
  <c r="AV84" i="35"/>
  <c r="AW84" i="35"/>
  <c r="AX84" i="35"/>
  <c r="AY84" i="35"/>
  <c r="AZ84" i="35"/>
  <c r="BA84" i="35"/>
  <c r="BB84" i="35"/>
  <c r="BC84" i="35"/>
  <c r="BD84" i="35"/>
  <c r="BE84" i="35"/>
  <c r="BG84" i="35"/>
  <c r="BH84" i="35"/>
  <c r="BI84" i="35"/>
  <c r="BJ84" i="35"/>
  <c r="BK84" i="35"/>
  <c r="BL84" i="35"/>
  <c r="BM84" i="35"/>
  <c r="BN84" i="35"/>
  <c r="BO84" i="35"/>
  <c r="BP84" i="35"/>
  <c r="BR84" i="35"/>
  <c r="BS84" i="35"/>
  <c r="BT84" i="35"/>
  <c r="BU84" i="35"/>
  <c r="BV84" i="35"/>
  <c r="BW84" i="35"/>
  <c r="BX84" i="35"/>
  <c r="BY84" i="35"/>
  <c r="BZ84" i="35"/>
  <c r="CA84" i="35"/>
  <c r="A85" i="35"/>
  <c r="B85" i="35"/>
  <c r="C85" i="35"/>
  <c r="D85" i="35"/>
  <c r="E85" i="35"/>
  <c r="F85" i="35"/>
  <c r="G85" i="35"/>
  <c r="H85" i="35"/>
  <c r="J85" i="35"/>
  <c r="K85" i="35"/>
  <c r="L85" i="35"/>
  <c r="M85" i="35"/>
  <c r="N85" i="35"/>
  <c r="P85" i="35"/>
  <c r="Q85" i="35"/>
  <c r="R85" i="35"/>
  <c r="S85" i="35"/>
  <c r="T85" i="35"/>
  <c r="V85" i="35"/>
  <c r="W85" i="35"/>
  <c r="X85" i="35"/>
  <c r="Y85" i="35"/>
  <c r="Z85" i="35"/>
  <c r="AC85" i="35"/>
  <c r="AD85" i="35"/>
  <c r="AE85" i="35"/>
  <c r="AF85" i="35"/>
  <c r="AK85" i="35"/>
  <c r="AL85" i="35"/>
  <c r="AM85" i="35"/>
  <c r="AN85" i="35"/>
  <c r="AO85" i="35"/>
  <c r="AP85" i="35"/>
  <c r="AQ85" i="35"/>
  <c r="AR85" i="35"/>
  <c r="AS85" i="35"/>
  <c r="AT85" i="35"/>
  <c r="AV85" i="35"/>
  <c r="AW85" i="35"/>
  <c r="AX85" i="35"/>
  <c r="AY85" i="35"/>
  <c r="AZ85" i="35"/>
  <c r="BA85" i="35"/>
  <c r="BB85" i="35"/>
  <c r="BC85" i="35"/>
  <c r="BD85" i="35"/>
  <c r="BE85" i="35"/>
  <c r="BG85" i="35"/>
  <c r="BH85" i="35"/>
  <c r="BI85" i="35"/>
  <c r="BJ85" i="35"/>
  <c r="BK85" i="35"/>
  <c r="BL85" i="35"/>
  <c r="BM85" i="35"/>
  <c r="BN85" i="35"/>
  <c r="BO85" i="35"/>
  <c r="BP85" i="35"/>
  <c r="BR85" i="35"/>
  <c r="BS85" i="35"/>
  <c r="BT85" i="35"/>
  <c r="BU85" i="35"/>
  <c r="BV85" i="35"/>
  <c r="BW85" i="35"/>
  <c r="BX85" i="35"/>
  <c r="BY85" i="35"/>
  <c r="BZ85" i="35"/>
  <c r="CA85" i="35"/>
  <c r="A86" i="35"/>
  <c r="B86" i="35"/>
  <c r="C86" i="35"/>
  <c r="D86" i="35"/>
  <c r="E86" i="35"/>
  <c r="F86" i="35"/>
  <c r="G86" i="35"/>
  <c r="H86" i="35"/>
  <c r="J86" i="35"/>
  <c r="K86" i="35"/>
  <c r="L86" i="35"/>
  <c r="M86" i="35"/>
  <c r="N86" i="35"/>
  <c r="P86" i="35"/>
  <c r="Q86" i="35"/>
  <c r="R86" i="35"/>
  <c r="S86" i="35"/>
  <c r="T86" i="35"/>
  <c r="V86" i="35"/>
  <c r="W86" i="35"/>
  <c r="X86" i="35"/>
  <c r="Y86" i="35"/>
  <c r="Z86" i="35"/>
  <c r="AC86" i="35"/>
  <c r="AD86" i="35"/>
  <c r="AE86" i="35"/>
  <c r="AF86" i="35"/>
  <c r="AK86" i="35"/>
  <c r="AL86" i="35"/>
  <c r="AM86" i="35"/>
  <c r="AN86" i="35"/>
  <c r="AO86" i="35"/>
  <c r="AP86" i="35"/>
  <c r="AQ86" i="35"/>
  <c r="AR86" i="35"/>
  <c r="AS86" i="35"/>
  <c r="AT86" i="35"/>
  <c r="AV86" i="35"/>
  <c r="AW86" i="35"/>
  <c r="AX86" i="35"/>
  <c r="AY86" i="35"/>
  <c r="AZ86" i="35"/>
  <c r="BA86" i="35"/>
  <c r="BB86" i="35"/>
  <c r="BC86" i="35"/>
  <c r="BD86" i="35"/>
  <c r="BE86" i="35"/>
  <c r="BG86" i="35"/>
  <c r="BH86" i="35"/>
  <c r="BI86" i="35"/>
  <c r="BJ86" i="35"/>
  <c r="BK86" i="35"/>
  <c r="BL86" i="35"/>
  <c r="BM86" i="35"/>
  <c r="BN86" i="35"/>
  <c r="BO86" i="35"/>
  <c r="BP86" i="35"/>
  <c r="BR86" i="35"/>
  <c r="BS86" i="35"/>
  <c r="BT86" i="35"/>
  <c r="BU86" i="35"/>
  <c r="BV86" i="35"/>
  <c r="BW86" i="35"/>
  <c r="BX86" i="35"/>
  <c r="BY86" i="35"/>
  <c r="BZ86" i="35"/>
  <c r="CA86" i="35"/>
  <c r="A87" i="35"/>
  <c r="B87" i="35"/>
  <c r="C87" i="35"/>
  <c r="D87" i="35"/>
  <c r="E87" i="35"/>
  <c r="F87" i="35"/>
  <c r="G87" i="35"/>
  <c r="H87" i="35"/>
  <c r="J87" i="35"/>
  <c r="K87" i="35"/>
  <c r="L87" i="35"/>
  <c r="M87" i="35"/>
  <c r="N87" i="35"/>
  <c r="P87" i="35"/>
  <c r="Q87" i="35"/>
  <c r="R87" i="35"/>
  <c r="S87" i="35"/>
  <c r="T87" i="35"/>
  <c r="V87" i="35"/>
  <c r="W87" i="35"/>
  <c r="X87" i="35"/>
  <c r="Y87" i="35"/>
  <c r="Z87" i="35"/>
  <c r="AC87" i="35"/>
  <c r="AD87" i="35"/>
  <c r="AE87" i="35"/>
  <c r="AF87" i="35"/>
  <c r="AK87" i="35"/>
  <c r="AL87" i="35"/>
  <c r="AM87" i="35"/>
  <c r="AN87" i="35"/>
  <c r="AO87" i="35"/>
  <c r="AP87" i="35"/>
  <c r="AQ87" i="35"/>
  <c r="AR87" i="35"/>
  <c r="AS87" i="35"/>
  <c r="AT87" i="35"/>
  <c r="AV87" i="35"/>
  <c r="AW87" i="35"/>
  <c r="AX87" i="35"/>
  <c r="AY87" i="35"/>
  <c r="AZ87" i="35"/>
  <c r="BA87" i="35"/>
  <c r="BB87" i="35"/>
  <c r="BC87" i="35"/>
  <c r="BD87" i="35"/>
  <c r="BE87" i="35"/>
  <c r="BG87" i="35"/>
  <c r="BH87" i="35"/>
  <c r="BI87" i="35"/>
  <c r="BJ87" i="35"/>
  <c r="BK87" i="35"/>
  <c r="BL87" i="35"/>
  <c r="BM87" i="35"/>
  <c r="BN87" i="35"/>
  <c r="BO87" i="35"/>
  <c r="BP87" i="35"/>
  <c r="BR87" i="35"/>
  <c r="BS87" i="35"/>
  <c r="BT87" i="35"/>
  <c r="BU87" i="35"/>
  <c r="BV87" i="35"/>
  <c r="BW87" i="35"/>
  <c r="BX87" i="35"/>
  <c r="BY87" i="35"/>
  <c r="BZ87" i="35"/>
  <c r="CA87" i="35"/>
  <c r="A88" i="35"/>
  <c r="B88" i="35"/>
  <c r="C88" i="35"/>
  <c r="D88" i="35"/>
  <c r="E88" i="35"/>
  <c r="F88" i="35"/>
  <c r="G88" i="35"/>
  <c r="H88" i="35"/>
  <c r="J88" i="35"/>
  <c r="K88" i="35"/>
  <c r="L88" i="35"/>
  <c r="M88" i="35"/>
  <c r="N88" i="35"/>
  <c r="P88" i="35"/>
  <c r="Q88" i="35"/>
  <c r="R88" i="35"/>
  <c r="S88" i="35"/>
  <c r="T88" i="35"/>
  <c r="V88" i="35"/>
  <c r="W88" i="35"/>
  <c r="X88" i="35"/>
  <c r="Y88" i="35"/>
  <c r="Z88" i="35"/>
  <c r="AC88" i="35"/>
  <c r="AD88" i="35"/>
  <c r="AE88" i="35"/>
  <c r="AF88" i="35"/>
  <c r="AK88" i="35"/>
  <c r="AL88" i="35"/>
  <c r="AM88" i="35"/>
  <c r="AN88" i="35"/>
  <c r="AO88" i="35"/>
  <c r="AP88" i="35"/>
  <c r="AQ88" i="35"/>
  <c r="AR88" i="35"/>
  <c r="AS88" i="35"/>
  <c r="AT88" i="35"/>
  <c r="AV88" i="35"/>
  <c r="AW88" i="35"/>
  <c r="AX88" i="35"/>
  <c r="AY88" i="35"/>
  <c r="AZ88" i="35"/>
  <c r="BA88" i="35"/>
  <c r="BB88" i="35"/>
  <c r="BC88" i="35"/>
  <c r="BD88" i="35"/>
  <c r="BE88" i="35"/>
  <c r="BG88" i="35"/>
  <c r="BH88" i="35"/>
  <c r="BI88" i="35"/>
  <c r="BJ88" i="35"/>
  <c r="BK88" i="35"/>
  <c r="BL88" i="35"/>
  <c r="BM88" i="35"/>
  <c r="BN88" i="35"/>
  <c r="BO88" i="35"/>
  <c r="BP88" i="35"/>
  <c r="BR88" i="35"/>
  <c r="BS88" i="35"/>
  <c r="BT88" i="35"/>
  <c r="BU88" i="35"/>
  <c r="BV88" i="35"/>
  <c r="BW88" i="35"/>
  <c r="BX88" i="35"/>
  <c r="BY88" i="35"/>
  <c r="BZ88" i="35"/>
  <c r="CA88" i="35"/>
  <c r="A89" i="35"/>
  <c r="B89" i="35"/>
  <c r="C89" i="35"/>
  <c r="D89" i="35"/>
  <c r="E89" i="35"/>
  <c r="F89" i="35"/>
  <c r="G89" i="35"/>
  <c r="H89" i="35"/>
  <c r="J89" i="35"/>
  <c r="K89" i="35"/>
  <c r="L89" i="35"/>
  <c r="M89" i="35"/>
  <c r="N89" i="35"/>
  <c r="P89" i="35"/>
  <c r="Q89" i="35"/>
  <c r="R89" i="35"/>
  <c r="S89" i="35"/>
  <c r="T89" i="35"/>
  <c r="V89" i="35"/>
  <c r="W89" i="35"/>
  <c r="X89" i="35"/>
  <c r="Y89" i="35"/>
  <c r="Z89" i="35"/>
  <c r="AC89" i="35"/>
  <c r="AD89" i="35"/>
  <c r="AE89" i="35"/>
  <c r="AF89" i="35"/>
  <c r="AK89" i="35"/>
  <c r="AL89" i="35"/>
  <c r="AM89" i="35"/>
  <c r="AN89" i="35"/>
  <c r="AO89" i="35"/>
  <c r="AP89" i="35"/>
  <c r="AQ89" i="35"/>
  <c r="AR89" i="35"/>
  <c r="AS89" i="35"/>
  <c r="AT89" i="35"/>
  <c r="AV89" i="35"/>
  <c r="AW89" i="35"/>
  <c r="AX89" i="35"/>
  <c r="AY89" i="35"/>
  <c r="AZ89" i="35"/>
  <c r="BA89" i="35"/>
  <c r="BB89" i="35"/>
  <c r="BC89" i="35"/>
  <c r="BD89" i="35"/>
  <c r="BE89" i="35"/>
  <c r="BG89" i="35"/>
  <c r="BH89" i="35"/>
  <c r="BI89" i="35"/>
  <c r="BJ89" i="35"/>
  <c r="BK89" i="35"/>
  <c r="BL89" i="35"/>
  <c r="BM89" i="35"/>
  <c r="BN89" i="35"/>
  <c r="BO89" i="35"/>
  <c r="BP89" i="35"/>
  <c r="BR89" i="35"/>
  <c r="BS89" i="35"/>
  <c r="BT89" i="35"/>
  <c r="BU89" i="35"/>
  <c r="BV89" i="35"/>
  <c r="BW89" i="35"/>
  <c r="BX89" i="35"/>
  <c r="BY89" i="35"/>
  <c r="BZ89" i="35"/>
  <c r="CA89" i="35"/>
  <c r="A90" i="35"/>
  <c r="B90" i="35"/>
  <c r="C90" i="35"/>
  <c r="D90" i="35"/>
  <c r="E90" i="35"/>
  <c r="F90" i="35"/>
  <c r="G90" i="35"/>
  <c r="H90" i="35"/>
  <c r="J90" i="35"/>
  <c r="K90" i="35"/>
  <c r="L90" i="35"/>
  <c r="M90" i="35"/>
  <c r="N90" i="35"/>
  <c r="P90" i="35"/>
  <c r="Q90" i="35"/>
  <c r="R90" i="35"/>
  <c r="S90" i="35"/>
  <c r="T90" i="35"/>
  <c r="V90" i="35"/>
  <c r="W90" i="35"/>
  <c r="X90" i="35"/>
  <c r="Y90" i="35"/>
  <c r="Z90" i="35"/>
  <c r="AC90" i="35"/>
  <c r="AD90" i="35"/>
  <c r="AE90" i="35"/>
  <c r="AF90" i="35"/>
  <c r="AK90" i="35"/>
  <c r="AL90" i="35"/>
  <c r="AM90" i="35"/>
  <c r="AN90" i="35"/>
  <c r="AO90" i="35"/>
  <c r="AP90" i="35"/>
  <c r="AQ90" i="35"/>
  <c r="AR90" i="35"/>
  <c r="AS90" i="35"/>
  <c r="AT90" i="35"/>
  <c r="AV90" i="35"/>
  <c r="AW90" i="35"/>
  <c r="AX90" i="35"/>
  <c r="AY90" i="35"/>
  <c r="AZ90" i="35"/>
  <c r="BA90" i="35"/>
  <c r="BB90" i="35"/>
  <c r="BC90" i="35"/>
  <c r="BD90" i="35"/>
  <c r="BE90" i="35"/>
  <c r="BG90" i="35"/>
  <c r="BH90" i="35"/>
  <c r="BI90" i="35"/>
  <c r="BJ90" i="35"/>
  <c r="BK90" i="35"/>
  <c r="BL90" i="35"/>
  <c r="BM90" i="35"/>
  <c r="BN90" i="35"/>
  <c r="BO90" i="35"/>
  <c r="BP90" i="35"/>
  <c r="BR90" i="35"/>
  <c r="BS90" i="35"/>
  <c r="BT90" i="35"/>
  <c r="BU90" i="35"/>
  <c r="BV90" i="35"/>
  <c r="BW90" i="35"/>
  <c r="BX90" i="35"/>
  <c r="BY90" i="35"/>
  <c r="BZ90" i="35"/>
  <c r="CA90" i="35"/>
  <c r="A91" i="35"/>
  <c r="B91" i="35"/>
  <c r="C91" i="35"/>
  <c r="D91" i="35"/>
  <c r="E91" i="35"/>
  <c r="F91" i="35"/>
  <c r="G91" i="35"/>
  <c r="H91" i="35"/>
  <c r="J91" i="35"/>
  <c r="K91" i="35"/>
  <c r="L91" i="35"/>
  <c r="M91" i="35"/>
  <c r="N91" i="35"/>
  <c r="P91" i="35"/>
  <c r="Q91" i="35"/>
  <c r="R91" i="35"/>
  <c r="S91" i="35"/>
  <c r="T91" i="35"/>
  <c r="V91" i="35"/>
  <c r="W91" i="35"/>
  <c r="X91" i="35"/>
  <c r="Y91" i="35"/>
  <c r="Z91" i="35"/>
  <c r="AC91" i="35"/>
  <c r="AD91" i="35"/>
  <c r="AE91" i="35"/>
  <c r="AF91" i="35"/>
  <c r="AK91" i="35"/>
  <c r="AL91" i="35"/>
  <c r="AM91" i="35"/>
  <c r="AN91" i="35"/>
  <c r="AO91" i="35"/>
  <c r="AP91" i="35"/>
  <c r="AQ91" i="35"/>
  <c r="AR91" i="35"/>
  <c r="AS91" i="35"/>
  <c r="AT91" i="35"/>
  <c r="AV91" i="35"/>
  <c r="AW91" i="35"/>
  <c r="AX91" i="35"/>
  <c r="AY91" i="35"/>
  <c r="AZ91" i="35"/>
  <c r="BA91" i="35"/>
  <c r="BB91" i="35"/>
  <c r="BC91" i="35"/>
  <c r="BD91" i="35"/>
  <c r="BE91" i="35"/>
  <c r="BG91" i="35"/>
  <c r="BH91" i="35"/>
  <c r="BI91" i="35"/>
  <c r="BJ91" i="35"/>
  <c r="BK91" i="35"/>
  <c r="BL91" i="35"/>
  <c r="BM91" i="35"/>
  <c r="BN91" i="35"/>
  <c r="BO91" i="35"/>
  <c r="BP91" i="35"/>
  <c r="BR91" i="35"/>
  <c r="BS91" i="35"/>
  <c r="BT91" i="35"/>
  <c r="BU91" i="35"/>
  <c r="BV91" i="35"/>
  <c r="BW91" i="35"/>
  <c r="BX91" i="35"/>
  <c r="BY91" i="35"/>
  <c r="BZ91" i="35"/>
  <c r="CA91" i="35"/>
  <c r="A92" i="35"/>
  <c r="B92" i="35"/>
  <c r="C92" i="35"/>
  <c r="D92" i="35"/>
  <c r="E92" i="35"/>
  <c r="F92" i="35"/>
  <c r="G92" i="35"/>
  <c r="H92" i="35"/>
  <c r="J92" i="35"/>
  <c r="K92" i="35"/>
  <c r="L92" i="35"/>
  <c r="M92" i="35"/>
  <c r="N92" i="35"/>
  <c r="P92" i="35"/>
  <c r="Q92" i="35"/>
  <c r="R92" i="35"/>
  <c r="S92" i="35"/>
  <c r="T92" i="35"/>
  <c r="V92" i="35"/>
  <c r="W92" i="35"/>
  <c r="X92" i="35"/>
  <c r="Y92" i="35"/>
  <c r="Z92" i="35"/>
  <c r="AC92" i="35"/>
  <c r="AD92" i="35"/>
  <c r="AE92" i="35"/>
  <c r="AF92" i="35"/>
  <c r="AK92" i="35"/>
  <c r="AL92" i="35"/>
  <c r="AM92" i="35"/>
  <c r="AN92" i="35"/>
  <c r="AO92" i="35"/>
  <c r="AP92" i="35"/>
  <c r="AQ92" i="35"/>
  <c r="AR92" i="35"/>
  <c r="AS92" i="35"/>
  <c r="AT92" i="35"/>
  <c r="AV92" i="35"/>
  <c r="AW92" i="35"/>
  <c r="AX92" i="35"/>
  <c r="AY92" i="35"/>
  <c r="AZ92" i="35"/>
  <c r="BA92" i="35"/>
  <c r="BB92" i="35"/>
  <c r="BC92" i="35"/>
  <c r="BD92" i="35"/>
  <c r="BE92" i="35"/>
  <c r="BG92" i="35"/>
  <c r="BH92" i="35"/>
  <c r="BI92" i="35"/>
  <c r="BJ92" i="35"/>
  <c r="BK92" i="35"/>
  <c r="BL92" i="35"/>
  <c r="BM92" i="35"/>
  <c r="BN92" i="35"/>
  <c r="BO92" i="35"/>
  <c r="BP92" i="35"/>
  <c r="BR92" i="35"/>
  <c r="BS92" i="35"/>
  <c r="BT92" i="35"/>
  <c r="BU92" i="35"/>
  <c r="BV92" i="35"/>
  <c r="BW92" i="35"/>
  <c r="BX92" i="35"/>
  <c r="BY92" i="35"/>
  <c r="BZ92" i="35"/>
  <c r="CA92" i="35"/>
  <c r="A93" i="35"/>
  <c r="B93" i="35"/>
  <c r="C93" i="35"/>
  <c r="D93" i="35"/>
  <c r="E93" i="35"/>
  <c r="F93" i="35"/>
  <c r="G93" i="35"/>
  <c r="H93" i="35"/>
  <c r="J93" i="35"/>
  <c r="K93" i="35"/>
  <c r="L93" i="35"/>
  <c r="M93" i="35"/>
  <c r="N93" i="35"/>
  <c r="P93" i="35"/>
  <c r="Q93" i="35"/>
  <c r="R93" i="35"/>
  <c r="S93" i="35"/>
  <c r="T93" i="35"/>
  <c r="V93" i="35"/>
  <c r="W93" i="35"/>
  <c r="X93" i="35"/>
  <c r="Y93" i="35"/>
  <c r="Z93" i="35"/>
  <c r="AC93" i="35"/>
  <c r="AD93" i="35"/>
  <c r="AE93" i="35"/>
  <c r="AF93" i="35"/>
  <c r="AK93" i="35"/>
  <c r="AL93" i="35"/>
  <c r="AM93" i="35"/>
  <c r="AN93" i="35"/>
  <c r="AO93" i="35"/>
  <c r="AP93" i="35"/>
  <c r="AQ93" i="35"/>
  <c r="AR93" i="35"/>
  <c r="AS93" i="35"/>
  <c r="AT93" i="35"/>
  <c r="AV93" i="35"/>
  <c r="AW93" i="35"/>
  <c r="AX93" i="35"/>
  <c r="AY93" i="35"/>
  <c r="AZ93" i="35"/>
  <c r="BA93" i="35"/>
  <c r="BB93" i="35"/>
  <c r="BC93" i="35"/>
  <c r="BD93" i="35"/>
  <c r="BE93" i="35"/>
  <c r="BG93" i="35"/>
  <c r="BH93" i="35"/>
  <c r="BI93" i="35"/>
  <c r="BJ93" i="35"/>
  <c r="BK93" i="35"/>
  <c r="BL93" i="35"/>
  <c r="BM93" i="35"/>
  <c r="BN93" i="35"/>
  <c r="BO93" i="35"/>
  <c r="BP93" i="35"/>
  <c r="BR93" i="35"/>
  <c r="BS93" i="35"/>
  <c r="BT93" i="35"/>
  <c r="BU93" i="35"/>
  <c r="BV93" i="35"/>
  <c r="BW93" i="35"/>
  <c r="BX93" i="35"/>
  <c r="BY93" i="35"/>
  <c r="BZ93" i="35"/>
  <c r="CA93" i="35"/>
  <c r="A94" i="35"/>
  <c r="B94" i="35"/>
  <c r="C94" i="35"/>
  <c r="D94" i="35"/>
  <c r="E94" i="35"/>
  <c r="F94" i="35"/>
  <c r="G94" i="35"/>
  <c r="H94" i="35"/>
  <c r="J94" i="35"/>
  <c r="K94" i="35"/>
  <c r="L94" i="35"/>
  <c r="M94" i="35"/>
  <c r="N94" i="35"/>
  <c r="P94" i="35"/>
  <c r="Q94" i="35"/>
  <c r="R94" i="35"/>
  <c r="S94" i="35"/>
  <c r="T94" i="35"/>
  <c r="V94" i="35"/>
  <c r="W94" i="35"/>
  <c r="X94" i="35"/>
  <c r="Y94" i="35"/>
  <c r="Z94" i="35"/>
  <c r="AC94" i="35"/>
  <c r="AD94" i="35"/>
  <c r="AE94" i="35"/>
  <c r="AF94" i="35"/>
  <c r="AK94" i="35"/>
  <c r="AL94" i="35"/>
  <c r="AM94" i="35"/>
  <c r="AN94" i="35"/>
  <c r="AO94" i="35"/>
  <c r="AP94" i="35"/>
  <c r="AQ94" i="35"/>
  <c r="AR94" i="35"/>
  <c r="AS94" i="35"/>
  <c r="AT94" i="35"/>
  <c r="AV94" i="35"/>
  <c r="AW94" i="35"/>
  <c r="AX94" i="35"/>
  <c r="AY94" i="35"/>
  <c r="AZ94" i="35"/>
  <c r="BA94" i="35"/>
  <c r="BB94" i="35"/>
  <c r="BC94" i="35"/>
  <c r="BD94" i="35"/>
  <c r="BE94" i="35"/>
  <c r="BG94" i="35"/>
  <c r="BH94" i="35"/>
  <c r="BI94" i="35"/>
  <c r="BJ94" i="35"/>
  <c r="BK94" i="35"/>
  <c r="BL94" i="35"/>
  <c r="BM94" i="35"/>
  <c r="BN94" i="35"/>
  <c r="BO94" i="35"/>
  <c r="BP94" i="35"/>
  <c r="BR94" i="35"/>
  <c r="BS94" i="35"/>
  <c r="BT94" i="35"/>
  <c r="BU94" i="35"/>
  <c r="BV94" i="35"/>
  <c r="BW94" i="35"/>
  <c r="BX94" i="35"/>
  <c r="BY94" i="35"/>
  <c r="BZ94" i="35"/>
  <c r="CA94" i="35"/>
  <c r="A95" i="35"/>
  <c r="B95" i="35"/>
  <c r="C95" i="35"/>
  <c r="D95" i="35"/>
  <c r="E95" i="35"/>
  <c r="F95" i="35"/>
  <c r="G95" i="35"/>
  <c r="H95" i="35"/>
  <c r="J95" i="35"/>
  <c r="K95" i="35"/>
  <c r="L95" i="35"/>
  <c r="M95" i="35"/>
  <c r="N95" i="35"/>
  <c r="P95" i="35"/>
  <c r="Q95" i="35"/>
  <c r="R95" i="35"/>
  <c r="S95" i="35"/>
  <c r="T95" i="35"/>
  <c r="V95" i="35"/>
  <c r="W95" i="35"/>
  <c r="X95" i="35"/>
  <c r="Y95" i="35"/>
  <c r="Z95" i="35"/>
  <c r="AC95" i="35"/>
  <c r="AD95" i="35"/>
  <c r="AE95" i="35"/>
  <c r="AF95" i="35"/>
  <c r="AK95" i="35"/>
  <c r="AL95" i="35"/>
  <c r="AM95" i="35"/>
  <c r="AN95" i="35"/>
  <c r="AO95" i="35"/>
  <c r="AP95" i="35"/>
  <c r="AQ95" i="35"/>
  <c r="AR95" i="35"/>
  <c r="AS95" i="35"/>
  <c r="AT95" i="35"/>
  <c r="AV95" i="35"/>
  <c r="AW95" i="35"/>
  <c r="AX95" i="35"/>
  <c r="AY95" i="35"/>
  <c r="AZ95" i="35"/>
  <c r="BA95" i="35"/>
  <c r="BB95" i="35"/>
  <c r="BC95" i="35"/>
  <c r="BD95" i="35"/>
  <c r="BE95" i="35"/>
  <c r="BG95" i="35"/>
  <c r="BH95" i="35"/>
  <c r="BI95" i="35"/>
  <c r="BJ95" i="35"/>
  <c r="BK95" i="35"/>
  <c r="BL95" i="35"/>
  <c r="BM95" i="35"/>
  <c r="BN95" i="35"/>
  <c r="BO95" i="35"/>
  <c r="BP95" i="35"/>
  <c r="BR95" i="35"/>
  <c r="BS95" i="35"/>
  <c r="BT95" i="35"/>
  <c r="BU95" i="35"/>
  <c r="BV95" i="35"/>
  <c r="BW95" i="35"/>
  <c r="BX95" i="35"/>
  <c r="BY95" i="35"/>
  <c r="BZ95" i="35"/>
  <c r="CA95" i="35"/>
  <c r="A96" i="35"/>
  <c r="B96" i="35"/>
  <c r="C96" i="35"/>
  <c r="D96" i="35"/>
  <c r="E96" i="35"/>
  <c r="F96" i="35"/>
  <c r="G96" i="35"/>
  <c r="H96" i="35"/>
  <c r="J96" i="35"/>
  <c r="K96" i="35"/>
  <c r="L96" i="35"/>
  <c r="M96" i="35"/>
  <c r="N96" i="35"/>
  <c r="P96" i="35"/>
  <c r="Q96" i="35"/>
  <c r="R96" i="35"/>
  <c r="S96" i="35"/>
  <c r="T96" i="35"/>
  <c r="V96" i="35"/>
  <c r="W96" i="35"/>
  <c r="X96" i="35"/>
  <c r="Y96" i="35"/>
  <c r="Z96" i="35"/>
  <c r="AC96" i="35"/>
  <c r="AD96" i="35"/>
  <c r="AE96" i="35"/>
  <c r="AF96" i="35"/>
  <c r="AK96" i="35"/>
  <c r="AL96" i="35"/>
  <c r="AM96" i="35"/>
  <c r="AN96" i="35"/>
  <c r="AO96" i="35"/>
  <c r="AP96" i="35"/>
  <c r="AQ96" i="35"/>
  <c r="AR96" i="35"/>
  <c r="AS96" i="35"/>
  <c r="AT96" i="35"/>
  <c r="AV96" i="35"/>
  <c r="AW96" i="35"/>
  <c r="AX96" i="35"/>
  <c r="AY96" i="35"/>
  <c r="AZ96" i="35"/>
  <c r="BA96" i="35"/>
  <c r="BB96" i="35"/>
  <c r="BC96" i="35"/>
  <c r="BD96" i="35"/>
  <c r="BE96" i="35"/>
  <c r="BG96" i="35"/>
  <c r="BH96" i="35"/>
  <c r="BI96" i="35"/>
  <c r="BJ96" i="35"/>
  <c r="BK96" i="35"/>
  <c r="BL96" i="35"/>
  <c r="BM96" i="35"/>
  <c r="BN96" i="35"/>
  <c r="BO96" i="35"/>
  <c r="BP96" i="35"/>
  <c r="BR96" i="35"/>
  <c r="BS96" i="35"/>
  <c r="BT96" i="35"/>
  <c r="BU96" i="35"/>
  <c r="BV96" i="35"/>
  <c r="BW96" i="35"/>
  <c r="BX96" i="35"/>
  <c r="BY96" i="35"/>
  <c r="BZ96" i="35"/>
  <c r="CA96" i="35"/>
  <c r="A97" i="35"/>
  <c r="B97" i="35"/>
  <c r="C97" i="35"/>
  <c r="D97" i="35"/>
  <c r="E97" i="35"/>
  <c r="F97" i="35"/>
  <c r="G97" i="35"/>
  <c r="H97" i="35"/>
  <c r="J97" i="35"/>
  <c r="K97" i="35"/>
  <c r="L97" i="35"/>
  <c r="M97" i="35"/>
  <c r="N97" i="35"/>
  <c r="P97" i="35"/>
  <c r="Q97" i="35"/>
  <c r="R97" i="35"/>
  <c r="S97" i="35"/>
  <c r="T97" i="35"/>
  <c r="V97" i="35"/>
  <c r="W97" i="35"/>
  <c r="X97" i="35"/>
  <c r="Y97" i="35"/>
  <c r="Z97" i="35"/>
  <c r="AC97" i="35"/>
  <c r="AD97" i="35"/>
  <c r="AE97" i="35"/>
  <c r="AF97" i="35"/>
  <c r="AK97" i="35"/>
  <c r="AL97" i="35"/>
  <c r="AM97" i="35"/>
  <c r="AN97" i="35"/>
  <c r="AO97" i="35"/>
  <c r="AP97" i="35"/>
  <c r="AQ97" i="35"/>
  <c r="AR97" i="35"/>
  <c r="AS97" i="35"/>
  <c r="AT97" i="35"/>
  <c r="AV97" i="35"/>
  <c r="AW97" i="35"/>
  <c r="AX97" i="35"/>
  <c r="AY97" i="35"/>
  <c r="AZ97" i="35"/>
  <c r="BA97" i="35"/>
  <c r="BB97" i="35"/>
  <c r="BC97" i="35"/>
  <c r="BD97" i="35"/>
  <c r="BE97" i="35"/>
  <c r="BG97" i="35"/>
  <c r="BH97" i="35"/>
  <c r="BI97" i="35"/>
  <c r="BJ97" i="35"/>
  <c r="BK97" i="35"/>
  <c r="BL97" i="35"/>
  <c r="BM97" i="35"/>
  <c r="BN97" i="35"/>
  <c r="BO97" i="35"/>
  <c r="BP97" i="35"/>
  <c r="BR97" i="35"/>
  <c r="BS97" i="35"/>
  <c r="BT97" i="35"/>
  <c r="BU97" i="35"/>
  <c r="BV97" i="35"/>
  <c r="BW97" i="35"/>
  <c r="BX97" i="35"/>
  <c r="BY97" i="35"/>
  <c r="BZ97" i="35"/>
  <c r="CA97" i="35"/>
  <c r="A98" i="35"/>
  <c r="B98" i="35"/>
  <c r="C98" i="35"/>
  <c r="D98" i="35"/>
  <c r="E98" i="35"/>
  <c r="F98" i="35"/>
  <c r="G98" i="35"/>
  <c r="H98" i="35"/>
  <c r="J98" i="35"/>
  <c r="K98" i="35"/>
  <c r="L98" i="35"/>
  <c r="M98" i="35"/>
  <c r="N98" i="35"/>
  <c r="P98" i="35"/>
  <c r="Q98" i="35"/>
  <c r="R98" i="35"/>
  <c r="S98" i="35"/>
  <c r="T98" i="35"/>
  <c r="V98" i="35"/>
  <c r="W98" i="35"/>
  <c r="X98" i="35"/>
  <c r="Y98" i="35"/>
  <c r="Z98" i="35"/>
  <c r="AC98" i="35"/>
  <c r="AD98" i="35"/>
  <c r="AE98" i="35"/>
  <c r="AF98" i="35"/>
  <c r="AK98" i="35"/>
  <c r="AL98" i="35"/>
  <c r="AM98" i="35"/>
  <c r="AN98" i="35"/>
  <c r="AO98" i="35"/>
  <c r="AP98" i="35"/>
  <c r="AQ98" i="35"/>
  <c r="AR98" i="35"/>
  <c r="AS98" i="35"/>
  <c r="AT98" i="35"/>
  <c r="AV98" i="35"/>
  <c r="AW98" i="35"/>
  <c r="AX98" i="35"/>
  <c r="AY98" i="35"/>
  <c r="AZ98" i="35"/>
  <c r="BA98" i="35"/>
  <c r="BB98" i="35"/>
  <c r="BC98" i="35"/>
  <c r="BD98" i="35"/>
  <c r="BE98" i="35"/>
  <c r="BG98" i="35"/>
  <c r="BH98" i="35"/>
  <c r="BI98" i="35"/>
  <c r="BJ98" i="35"/>
  <c r="BK98" i="35"/>
  <c r="BL98" i="35"/>
  <c r="BM98" i="35"/>
  <c r="BN98" i="35"/>
  <c r="BO98" i="35"/>
  <c r="BP98" i="35"/>
  <c r="BR98" i="35"/>
  <c r="BS98" i="35"/>
  <c r="BT98" i="35"/>
  <c r="BU98" i="35"/>
  <c r="BV98" i="35"/>
  <c r="BW98" i="35"/>
  <c r="BX98" i="35"/>
  <c r="BY98" i="35"/>
  <c r="BZ98" i="35"/>
  <c r="CA98" i="35"/>
  <c r="A99" i="35"/>
  <c r="B99" i="35"/>
  <c r="C99" i="35"/>
  <c r="D99" i="35"/>
  <c r="E99" i="35"/>
  <c r="F99" i="35"/>
  <c r="G99" i="35"/>
  <c r="H99" i="35"/>
  <c r="J99" i="35"/>
  <c r="K99" i="35"/>
  <c r="L99" i="35"/>
  <c r="M99" i="35"/>
  <c r="N99" i="35"/>
  <c r="P99" i="35"/>
  <c r="Q99" i="35"/>
  <c r="R99" i="35"/>
  <c r="S99" i="35"/>
  <c r="T99" i="35"/>
  <c r="V99" i="35"/>
  <c r="W99" i="35"/>
  <c r="X99" i="35"/>
  <c r="Y99" i="35"/>
  <c r="Z99" i="35"/>
  <c r="AC99" i="35"/>
  <c r="AD99" i="35"/>
  <c r="AE99" i="35"/>
  <c r="AF99" i="35"/>
  <c r="AK99" i="35"/>
  <c r="AL99" i="35"/>
  <c r="AM99" i="35"/>
  <c r="AN99" i="35"/>
  <c r="AO99" i="35"/>
  <c r="AP99" i="35"/>
  <c r="AQ99" i="35"/>
  <c r="AR99" i="35"/>
  <c r="AS99" i="35"/>
  <c r="AT99" i="35"/>
  <c r="AV99" i="35"/>
  <c r="AW99" i="35"/>
  <c r="AX99" i="35"/>
  <c r="AY99" i="35"/>
  <c r="AZ99" i="35"/>
  <c r="BA99" i="35"/>
  <c r="BB99" i="35"/>
  <c r="BC99" i="35"/>
  <c r="BD99" i="35"/>
  <c r="BE99" i="35"/>
  <c r="BG99" i="35"/>
  <c r="BH99" i="35"/>
  <c r="BI99" i="35"/>
  <c r="BJ99" i="35"/>
  <c r="BK99" i="35"/>
  <c r="BL99" i="35"/>
  <c r="BM99" i="35"/>
  <c r="BN99" i="35"/>
  <c r="BO99" i="35"/>
  <c r="BP99" i="35"/>
  <c r="BR99" i="35"/>
  <c r="BS99" i="35"/>
  <c r="BT99" i="35"/>
  <c r="BU99" i="35"/>
  <c r="BV99" i="35"/>
  <c r="BW99" i="35"/>
  <c r="BX99" i="35"/>
  <c r="BY99" i="35"/>
  <c r="BZ99" i="35"/>
  <c r="CA99" i="35"/>
  <c r="A100" i="35"/>
  <c r="B100" i="35"/>
  <c r="C100" i="35"/>
  <c r="D100" i="35"/>
  <c r="E100" i="35"/>
  <c r="F100" i="35"/>
  <c r="G100" i="35"/>
  <c r="H100" i="35"/>
  <c r="J100" i="35"/>
  <c r="K100" i="35"/>
  <c r="L100" i="35"/>
  <c r="M100" i="35"/>
  <c r="N100" i="35"/>
  <c r="P100" i="35"/>
  <c r="Q100" i="35"/>
  <c r="R100" i="35"/>
  <c r="S100" i="35"/>
  <c r="T100" i="35"/>
  <c r="V100" i="35"/>
  <c r="W100" i="35"/>
  <c r="X100" i="35"/>
  <c r="Y100" i="35"/>
  <c r="Z100" i="35"/>
  <c r="AC100" i="35"/>
  <c r="AD100" i="35"/>
  <c r="AE100" i="35"/>
  <c r="AF100" i="35"/>
  <c r="AK100" i="35"/>
  <c r="AL100" i="35"/>
  <c r="AM100" i="35"/>
  <c r="AN100" i="35"/>
  <c r="AO100" i="35"/>
  <c r="AP100" i="35"/>
  <c r="AQ100" i="35"/>
  <c r="AR100" i="35"/>
  <c r="AS100" i="35"/>
  <c r="AT100" i="35"/>
  <c r="AV100" i="35"/>
  <c r="AW100" i="35"/>
  <c r="AX100" i="35"/>
  <c r="AY100" i="35"/>
  <c r="AZ100" i="35"/>
  <c r="BA100" i="35"/>
  <c r="BB100" i="35"/>
  <c r="BC100" i="35"/>
  <c r="BD100" i="35"/>
  <c r="BE100" i="35"/>
  <c r="BG100" i="35"/>
  <c r="BH100" i="35"/>
  <c r="BI100" i="35"/>
  <c r="BJ100" i="35"/>
  <c r="BK100" i="35"/>
  <c r="BL100" i="35"/>
  <c r="BM100" i="35"/>
  <c r="BN100" i="35"/>
  <c r="BO100" i="35"/>
  <c r="BP100" i="35"/>
  <c r="BR100" i="35"/>
  <c r="BS100" i="35"/>
  <c r="BT100" i="35"/>
  <c r="BU100" i="35"/>
  <c r="BV100" i="35"/>
  <c r="BW100" i="35"/>
  <c r="BX100" i="35"/>
  <c r="BY100" i="35"/>
  <c r="BZ100" i="35"/>
  <c r="CA100" i="35"/>
  <c r="A101" i="35"/>
  <c r="B101" i="35"/>
  <c r="C101" i="35"/>
  <c r="D101" i="35"/>
  <c r="E101" i="35"/>
  <c r="F101" i="35"/>
  <c r="G101" i="35"/>
  <c r="H101" i="35"/>
  <c r="J101" i="35"/>
  <c r="K101" i="35"/>
  <c r="L101" i="35"/>
  <c r="M101" i="35"/>
  <c r="N101" i="35"/>
  <c r="P101" i="35"/>
  <c r="Q101" i="35"/>
  <c r="R101" i="35"/>
  <c r="S101" i="35"/>
  <c r="T101" i="35"/>
  <c r="V101" i="35"/>
  <c r="W101" i="35"/>
  <c r="X101" i="35"/>
  <c r="Y101" i="35"/>
  <c r="Z101" i="35"/>
  <c r="AC101" i="35"/>
  <c r="AD101" i="35"/>
  <c r="AE101" i="35"/>
  <c r="AF101" i="35"/>
  <c r="AK101" i="35"/>
  <c r="AL101" i="35"/>
  <c r="AM101" i="35"/>
  <c r="AN101" i="35"/>
  <c r="AO101" i="35"/>
  <c r="AP101" i="35"/>
  <c r="AQ101" i="35"/>
  <c r="AR101" i="35"/>
  <c r="AS101" i="35"/>
  <c r="AT101" i="35"/>
  <c r="AV101" i="35"/>
  <c r="AW101" i="35"/>
  <c r="AX101" i="35"/>
  <c r="AY101" i="35"/>
  <c r="AZ101" i="35"/>
  <c r="BA101" i="35"/>
  <c r="BB101" i="35"/>
  <c r="BC101" i="35"/>
  <c r="BD101" i="35"/>
  <c r="BE101" i="35"/>
  <c r="BG101" i="35"/>
  <c r="BH101" i="35"/>
  <c r="BI101" i="35"/>
  <c r="BJ101" i="35"/>
  <c r="BK101" i="35"/>
  <c r="BL101" i="35"/>
  <c r="BM101" i="35"/>
  <c r="BN101" i="35"/>
  <c r="BO101" i="35"/>
  <c r="BP101" i="35"/>
  <c r="BR101" i="35"/>
  <c r="BS101" i="35"/>
  <c r="BT101" i="35"/>
  <c r="BU101" i="35"/>
  <c r="BV101" i="35"/>
  <c r="BW101" i="35"/>
  <c r="BX101" i="35"/>
  <c r="BY101" i="35"/>
  <c r="BZ101" i="35"/>
  <c r="CA101" i="35"/>
  <c r="A102" i="35"/>
  <c r="B102" i="35"/>
  <c r="C102" i="35"/>
  <c r="D102" i="35"/>
  <c r="E102" i="35"/>
  <c r="F102" i="35"/>
  <c r="G102" i="35"/>
  <c r="H102" i="35"/>
  <c r="J102" i="35"/>
  <c r="K102" i="35"/>
  <c r="L102" i="35"/>
  <c r="M102" i="35"/>
  <c r="N102" i="35"/>
  <c r="P102" i="35"/>
  <c r="Q102" i="35"/>
  <c r="R102" i="35"/>
  <c r="S102" i="35"/>
  <c r="T102" i="35"/>
  <c r="V102" i="35"/>
  <c r="W102" i="35"/>
  <c r="X102" i="35"/>
  <c r="Y102" i="35"/>
  <c r="Z102" i="35"/>
  <c r="AC102" i="35"/>
  <c r="AD102" i="35"/>
  <c r="AE102" i="35"/>
  <c r="AF102" i="35"/>
  <c r="AK102" i="35"/>
  <c r="AL102" i="35"/>
  <c r="AM102" i="35"/>
  <c r="AN102" i="35"/>
  <c r="AO102" i="35"/>
  <c r="AP102" i="35"/>
  <c r="AQ102" i="35"/>
  <c r="AR102" i="35"/>
  <c r="AS102" i="35"/>
  <c r="AT102" i="35"/>
  <c r="AV102" i="35"/>
  <c r="AW102" i="35"/>
  <c r="AX102" i="35"/>
  <c r="AY102" i="35"/>
  <c r="AZ102" i="35"/>
  <c r="BA102" i="35"/>
  <c r="BB102" i="35"/>
  <c r="BC102" i="35"/>
  <c r="BD102" i="35"/>
  <c r="BE102" i="35"/>
  <c r="BG102" i="35"/>
  <c r="BH102" i="35"/>
  <c r="BI102" i="35"/>
  <c r="BJ102" i="35"/>
  <c r="BK102" i="35"/>
  <c r="BL102" i="35"/>
  <c r="BM102" i="35"/>
  <c r="BN102" i="35"/>
  <c r="BO102" i="35"/>
  <c r="BP102" i="35"/>
  <c r="BR102" i="35"/>
  <c r="BS102" i="35"/>
  <c r="BT102" i="35"/>
  <c r="BU102" i="35"/>
  <c r="BV102" i="35"/>
  <c r="BW102" i="35"/>
  <c r="BX102" i="35"/>
  <c r="BY102" i="35"/>
  <c r="BZ102" i="35"/>
  <c r="CA102" i="35"/>
  <c r="A103" i="35"/>
  <c r="B103" i="35"/>
  <c r="C103" i="35"/>
  <c r="D103" i="35"/>
  <c r="E103" i="35"/>
  <c r="F103" i="35"/>
  <c r="G103" i="35"/>
  <c r="H103" i="35"/>
  <c r="J103" i="35"/>
  <c r="K103" i="35"/>
  <c r="L103" i="35"/>
  <c r="M103" i="35"/>
  <c r="N103" i="35"/>
  <c r="P103" i="35"/>
  <c r="Q103" i="35"/>
  <c r="R103" i="35"/>
  <c r="S103" i="35"/>
  <c r="T103" i="35"/>
  <c r="V103" i="35"/>
  <c r="W103" i="35"/>
  <c r="X103" i="35"/>
  <c r="Y103" i="35"/>
  <c r="Z103" i="35"/>
  <c r="AC103" i="35"/>
  <c r="AD103" i="35"/>
  <c r="AE103" i="35"/>
  <c r="AF103" i="35"/>
  <c r="AK103" i="35"/>
  <c r="AL103" i="35"/>
  <c r="AM103" i="35"/>
  <c r="AN103" i="35"/>
  <c r="AO103" i="35"/>
  <c r="AP103" i="35"/>
  <c r="AQ103" i="35"/>
  <c r="AR103" i="35"/>
  <c r="AS103" i="35"/>
  <c r="AT103" i="35"/>
  <c r="AV103" i="35"/>
  <c r="AW103" i="35"/>
  <c r="AX103" i="35"/>
  <c r="AY103" i="35"/>
  <c r="AZ103" i="35"/>
  <c r="BA103" i="35"/>
  <c r="BB103" i="35"/>
  <c r="BC103" i="35"/>
  <c r="BD103" i="35"/>
  <c r="BE103" i="35"/>
  <c r="BG103" i="35"/>
  <c r="BH103" i="35"/>
  <c r="BI103" i="35"/>
  <c r="BJ103" i="35"/>
  <c r="BK103" i="35"/>
  <c r="BL103" i="35"/>
  <c r="BM103" i="35"/>
  <c r="BN103" i="35"/>
  <c r="BO103" i="35"/>
  <c r="BP103" i="35"/>
  <c r="BR103" i="35"/>
  <c r="BS103" i="35"/>
  <c r="BT103" i="35"/>
  <c r="BU103" i="35"/>
  <c r="BV103" i="35"/>
  <c r="BW103" i="35"/>
  <c r="BX103" i="35"/>
  <c r="BY103" i="35"/>
  <c r="BZ103" i="35"/>
  <c r="CA103" i="35"/>
  <c r="A104" i="35"/>
  <c r="B104" i="35"/>
  <c r="C104" i="35"/>
  <c r="D104" i="35"/>
  <c r="E104" i="35"/>
  <c r="F104" i="35"/>
  <c r="G104" i="35"/>
  <c r="H104" i="35"/>
  <c r="J104" i="35"/>
  <c r="K104" i="35"/>
  <c r="L104" i="35"/>
  <c r="M104" i="35"/>
  <c r="N104" i="35"/>
  <c r="P104" i="35"/>
  <c r="Q104" i="35"/>
  <c r="R104" i="35"/>
  <c r="S104" i="35"/>
  <c r="T104" i="35"/>
  <c r="V104" i="35"/>
  <c r="W104" i="35"/>
  <c r="X104" i="35"/>
  <c r="Y104" i="35"/>
  <c r="Z104" i="35"/>
  <c r="AC104" i="35"/>
  <c r="AD104" i="35"/>
  <c r="AE104" i="35"/>
  <c r="AF104" i="35"/>
  <c r="AK104" i="35"/>
  <c r="AL104" i="35"/>
  <c r="AM104" i="35"/>
  <c r="AN104" i="35"/>
  <c r="AO104" i="35"/>
  <c r="AP104" i="35"/>
  <c r="AQ104" i="35"/>
  <c r="AR104" i="35"/>
  <c r="AS104" i="35"/>
  <c r="AT104" i="35"/>
  <c r="AV104" i="35"/>
  <c r="AW104" i="35"/>
  <c r="AX104" i="35"/>
  <c r="AY104" i="35"/>
  <c r="AZ104" i="35"/>
  <c r="BA104" i="35"/>
  <c r="BB104" i="35"/>
  <c r="BC104" i="35"/>
  <c r="BD104" i="35"/>
  <c r="BE104" i="35"/>
  <c r="BG104" i="35"/>
  <c r="BH104" i="35"/>
  <c r="BI104" i="35"/>
  <c r="BJ104" i="35"/>
  <c r="BK104" i="35"/>
  <c r="BL104" i="35"/>
  <c r="BM104" i="35"/>
  <c r="BN104" i="35"/>
  <c r="BO104" i="35"/>
  <c r="BP104" i="35"/>
  <c r="BR104" i="35"/>
  <c r="BS104" i="35"/>
  <c r="BT104" i="35"/>
  <c r="BU104" i="35"/>
  <c r="BV104" i="35"/>
  <c r="BW104" i="35"/>
  <c r="BX104" i="35"/>
  <c r="BY104" i="35"/>
  <c r="BZ104" i="35"/>
  <c r="CA104" i="35"/>
  <c r="A105" i="35"/>
  <c r="B105" i="35"/>
  <c r="C105" i="35"/>
  <c r="D105" i="35"/>
  <c r="E105" i="35"/>
  <c r="F105" i="35"/>
  <c r="G105" i="35"/>
  <c r="H105" i="35"/>
  <c r="J105" i="35"/>
  <c r="K105" i="35"/>
  <c r="L105" i="35"/>
  <c r="M105" i="35"/>
  <c r="N105" i="35"/>
  <c r="P105" i="35"/>
  <c r="Q105" i="35"/>
  <c r="R105" i="35"/>
  <c r="S105" i="35"/>
  <c r="T105" i="35"/>
  <c r="V105" i="35"/>
  <c r="W105" i="35"/>
  <c r="X105" i="35"/>
  <c r="Y105" i="35"/>
  <c r="Z105" i="35"/>
  <c r="AC105" i="35"/>
  <c r="AD105" i="35"/>
  <c r="AE105" i="35"/>
  <c r="AF105" i="35"/>
  <c r="AK105" i="35"/>
  <c r="AL105" i="35"/>
  <c r="AM105" i="35"/>
  <c r="AN105" i="35"/>
  <c r="AO105" i="35"/>
  <c r="AP105" i="35"/>
  <c r="AQ105" i="35"/>
  <c r="AR105" i="35"/>
  <c r="AS105" i="35"/>
  <c r="AT105" i="35"/>
  <c r="AV105" i="35"/>
  <c r="AW105" i="35"/>
  <c r="AX105" i="35"/>
  <c r="AY105" i="35"/>
  <c r="AZ105" i="35"/>
  <c r="BA105" i="35"/>
  <c r="BB105" i="35"/>
  <c r="BC105" i="35"/>
  <c r="BD105" i="35"/>
  <c r="BE105" i="35"/>
  <c r="BG105" i="35"/>
  <c r="BH105" i="35"/>
  <c r="BI105" i="35"/>
  <c r="BJ105" i="35"/>
  <c r="BK105" i="35"/>
  <c r="BL105" i="35"/>
  <c r="BM105" i="35"/>
  <c r="BN105" i="35"/>
  <c r="BO105" i="35"/>
  <c r="BP105" i="35"/>
  <c r="BR105" i="35"/>
  <c r="BS105" i="35"/>
  <c r="BT105" i="35"/>
  <c r="BU105" i="35"/>
  <c r="BV105" i="35"/>
  <c r="BW105" i="35"/>
  <c r="BX105" i="35"/>
  <c r="BY105" i="35"/>
  <c r="BZ105" i="35"/>
  <c r="CA105" i="35"/>
  <c r="A106" i="35"/>
  <c r="B106" i="35"/>
  <c r="C106" i="35"/>
  <c r="D106" i="35"/>
  <c r="E106" i="35"/>
  <c r="F106" i="35"/>
  <c r="G106" i="35"/>
  <c r="H106" i="35"/>
  <c r="J106" i="35"/>
  <c r="K106" i="35"/>
  <c r="L106" i="35"/>
  <c r="M106" i="35"/>
  <c r="N106" i="35"/>
  <c r="P106" i="35"/>
  <c r="Q106" i="35"/>
  <c r="R106" i="35"/>
  <c r="S106" i="35"/>
  <c r="T106" i="35"/>
  <c r="V106" i="35"/>
  <c r="W106" i="35"/>
  <c r="X106" i="35"/>
  <c r="Y106" i="35"/>
  <c r="Z106" i="35"/>
  <c r="AC106" i="35"/>
  <c r="AD106" i="35"/>
  <c r="AE106" i="35"/>
  <c r="AF106" i="35"/>
  <c r="AK106" i="35"/>
  <c r="AL106" i="35"/>
  <c r="AM106" i="35"/>
  <c r="AN106" i="35"/>
  <c r="AO106" i="35"/>
  <c r="AP106" i="35"/>
  <c r="AQ106" i="35"/>
  <c r="AR106" i="35"/>
  <c r="AS106" i="35"/>
  <c r="AT106" i="35"/>
  <c r="AV106" i="35"/>
  <c r="AW106" i="35"/>
  <c r="AX106" i="35"/>
  <c r="AY106" i="35"/>
  <c r="AZ106" i="35"/>
  <c r="BA106" i="35"/>
  <c r="BB106" i="35"/>
  <c r="BC106" i="35"/>
  <c r="BD106" i="35"/>
  <c r="BE106" i="35"/>
  <c r="BG106" i="35"/>
  <c r="BH106" i="35"/>
  <c r="BI106" i="35"/>
  <c r="BJ106" i="35"/>
  <c r="BK106" i="35"/>
  <c r="BL106" i="35"/>
  <c r="BM106" i="35"/>
  <c r="BN106" i="35"/>
  <c r="BO106" i="35"/>
  <c r="BP106" i="35"/>
  <c r="BR106" i="35"/>
  <c r="BS106" i="35"/>
  <c r="BT106" i="35"/>
  <c r="BU106" i="35"/>
  <c r="BV106" i="35"/>
  <c r="BW106" i="35"/>
  <c r="BX106" i="35"/>
  <c r="BY106" i="35"/>
  <c r="BZ106" i="35"/>
  <c r="CA106" i="35"/>
  <c r="A107" i="35"/>
  <c r="B107" i="35"/>
  <c r="C107" i="35"/>
  <c r="D107" i="35"/>
  <c r="E107" i="35"/>
  <c r="F107" i="35"/>
  <c r="G107" i="35"/>
  <c r="H107" i="35"/>
  <c r="J107" i="35"/>
  <c r="K107" i="35"/>
  <c r="L107" i="35"/>
  <c r="M107" i="35"/>
  <c r="N107" i="35"/>
  <c r="P107" i="35"/>
  <c r="Q107" i="35"/>
  <c r="R107" i="35"/>
  <c r="S107" i="35"/>
  <c r="T107" i="35"/>
  <c r="V107" i="35"/>
  <c r="W107" i="35"/>
  <c r="X107" i="35"/>
  <c r="Y107" i="35"/>
  <c r="Z107" i="35"/>
  <c r="AC107" i="35"/>
  <c r="AD107" i="35"/>
  <c r="AE107" i="35"/>
  <c r="AF107" i="35"/>
  <c r="AK107" i="35"/>
  <c r="AL107" i="35"/>
  <c r="AM107" i="35"/>
  <c r="AN107" i="35"/>
  <c r="AO107" i="35"/>
  <c r="AP107" i="35"/>
  <c r="AQ107" i="35"/>
  <c r="AR107" i="35"/>
  <c r="AS107" i="35"/>
  <c r="AT107" i="35"/>
  <c r="AV107" i="35"/>
  <c r="AW107" i="35"/>
  <c r="AX107" i="35"/>
  <c r="AY107" i="35"/>
  <c r="AZ107" i="35"/>
  <c r="BA107" i="35"/>
  <c r="BB107" i="35"/>
  <c r="BC107" i="35"/>
  <c r="BD107" i="35"/>
  <c r="BE107" i="35"/>
  <c r="BG107" i="35"/>
  <c r="BH107" i="35"/>
  <c r="BI107" i="35"/>
  <c r="BJ107" i="35"/>
  <c r="BK107" i="35"/>
  <c r="BL107" i="35"/>
  <c r="BM107" i="35"/>
  <c r="BN107" i="35"/>
  <c r="BO107" i="35"/>
  <c r="BP107" i="35"/>
  <c r="BR107" i="35"/>
  <c r="BS107" i="35"/>
  <c r="BT107" i="35"/>
  <c r="BU107" i="35"/>
  <c r="BV107" i="35"/>
  <c r="BW107" i="35"/>
  <c r="BX107" i="35"/>
  <c r="BY107" i="35"/>
  <c r="BZ107" i="35"/>
  <c r="CA107" i="35"/>
  <c r="A108" i="35"/>
  <c r="B108" i="35"/>
  <c r="C108" i="35"/>
  <c r="D108" i="35"/>
  <c r="E108" i="35"/>
  <c r="F108" i="35"/>
  <c r="G108" i="35"/>
  <c r="H108" i="35"/>
  <c r="J108" i="35"/>
  <c r="K108" i="35"/>
  <c r="L108" i="35"/>
  <c r="M108" i="35"/>
  <c r="N108" i="35"/>
  <c r="P108" i="35"/>
  <c r="Q108" i="35"/>
  <c r="R108" i="35"/>
  <c r="S108" i="35"/>
  <c r="T108" i="35"/>
  <c r="V108" i="35"/>
  <c r="W108" i="35"/>
  <c r="X108" i="35"/>
  <c r="Y108" i="35"/>
  <c r="Z108" i="35"/>
  <c r="AC108" i="35"/>
  <c r="AD108" i="35"/>
  <c r="AE108" i="35"/>
  <c r="AF108" i="35"/>
  <c r="AK108" i="35"/>
  <c r="AL108" i="35"/>
  <c r="AM108" i="35"/>
  <c r="AN108" i="35"/>
  <c r="AO108" i="35"/>
  <c r="AP108" i="35"/>
  <c r="AQ108" i="35"/>
  <c r="AR108" i="35"/>
  <c r="AS108" i="35"/>
  <c r="AT108" i="35"/>
  <c r="AV108" i="35"/>
  <c r="AW108" i="35"/>
  <c r="AX108" i="35"/>
  <c r="AY108" i="35"/>
  <c r="AZ108" i="35"/>
  <c r="BA108" i="35"/>
  <c r="BB108" i="35"/>
  <c r="BC108" i="35"/>
  <c r="BD108" i="35"/>
  <c r="BE108" i="35"/>
  <c r="BG108" i="35"/>
  <c r="BH108" i="35"/>
  <c r="BI108" i="35"/>
  <c r="BJ108" i="35"/>
  <c r="BK108" i="35"/>
  <c r="BL108" i="35"/>
  <c r="BM108" i="35"/>
  <c r="BN108" i="35"/>
  <c r="BO108" i="35"/>
  <c r="BP108" i="35"/>
  <c r="BR108" i="35"/>
  <c r="BS108" i="35"/>
  <c r="BT108" i="35"/>
  <c r="BU108" i="35"/>
  <c r="BV108" i="35"/>
  <c r="BW108" i="35"/>
  <c r="BX108" i="35"/>
  <c r="BY108" i="35"/>
  <c r="BZ108" i="35"/>
  <c r="CA108" i="35"/>
  <c r="A109" i="35"/>
  <c r="B109" i="35"/>
  <c r="C109" i="35"/>
  <c r="D109" i="35"/>
  <c r="E109" i="35"/>
  <c r="F109" i="35"/>
  <c r="G109" i="35"/>
  <c r="H109" i="35"/>
  <c r="J109" i="35"/>
  <c r="K109" i="35"/>
  <c r="L109" i="35"/>
  <c r="M109" i="35"/>
  <c r="N109" i="35"/>
  <c r="P109" i="35"/>
  <c r="Q109" i="35"/>
  <c r="R109" i="35"/>
  <c r="S109" i="35"/>
  <c r="T109" i="35"/>
  <c r="V109" i="35"/>
  <c r="W109" i="35"/>
  <c r="X109" i="35"/>
  <c r="Y109" i="35"/>
  <c r="Z109" i="35"/>
  <c r="AC109" i="35"/>
  <c r="AD109" i="35"/>
  <c r="AE109" i="35"/>
  <c r="AF109" i="35"/>
  <c r="AK109" i="35"/>
  <c r="AL109" i="35"/>
  <c r="AM109" i="35"/>
  <c r="AN109" i="35"/>
  <c r="AO109" i="35"/>
  <c r="AP109" i="35"/>
  <c r="AQ109" i="35"/>
  <c r="AR109" i="35"/>
  <c r="AS109" i="35"/>
  <c r="AT109" i="35"/>
  <c r="AV109" i="35"/>
  <c r="AW109" i="35"/>
  <c r="AX109" i="35"/>
  <c r="AY109" i="35"/>
  <c r="AZ109" i="35"/>
  <c r="BA109" i="35"/>
  <c r="BB109" i="35"/>
  <c r="BC109" i="35"/>
  <c r="BD109" i="35"/>
  <c r="BE109" i="35"/>
  <c r="BG109" i="35"/>
  <c r="BH109" i="35"/>
  <c r="BI109" i="35"/>
  <c r="BJ109" i="35"/>
  <c r="BK109" i="35"/>
  <c r="BL109" i="35"/>
  <c r="BM109" i="35"/>
  <c r="BN109" i="35"/>
  <c r="BO109" i="35"/>
  <c r="BP109" i="35"/>
  <c r="BR109" i="35"/>
  <c r="BS109" i="35"/>
  <c r="BT109" i="35"/>
  <c r="BU109" i="35"/>
  <c r="BV109" i="35"/>
  <c r="BW109" i="35"/>
  <c r="BX109" i="35"/>
  <c r="BY109" i="35"/>
  <c r="BZ109" i="35"/>
  <c r="CA109" i="35"/>
  <c r="A110" i="35"/>
  <c r="B110" i="35"/>
  <c r="C110" i="35"/>
  <c r="D110" i="35"/>
  <c r="E110" i="35"/>
  <c r="F110" i="35"/>
  <c r="G110" i="35"/>
  <c r="H110" i="35"/>
  <c r="J110" i="35"/>
  <c r="K110" i="35"/>
  <c r="L110" i="35"/>
  <c r="M110" i="35"/>
  <c r="N110" i="35"/>
  <c r="P110" i="35"/>
  <c r="Q110" i="35"/>
  <c r="R110" i="35"/>
  <c r="S110" i="35"/>
  <c r="T110" i="35"/>
  <c r="V110" i="35"/>
  <c r="W110" i="35"/>
  <c r="X110" i="35"/>
  <c r="Y110" i="35"/>
  <c r="Z110" i="35"/>
  <c r="AC110" i="35"/>
  <c r="AD110" i="35"/>
  <c r="AE110" i="35"/>
  <c r="AF110" i="35"/>
  <c r="AK110" i="35"/>
  <c r="AL110" i="35"/>
  <c r="AM110" i="35"/>
  <c r="AN110" i="35"/>
  <c r="AO110" i="35"/>
  <c r="AP110" i="35"/>
  <c r="AQ110" i="35"/>
  <c r="AR110" i="35"/>
  <c r="AS110" i="35"/>
  <c r="AT110" i="35"/>
  <c r="AV110" i="35"/>
  <c r="AW110" i="35"/>
  <c r="AX110" i="35"/>
  <c r="AY110" i="35"/>
  <c r="AZ110" i="35"/>
  <c r="BA110" i="35"/>
  <c r="BB110" i="35"/>
  <c r="BC110" i="35"/>
  <c r="BD110" i="35"/>
  <c r="BE110" i="35"/>
  <c r="BG110" i="35"/>
  <c r="BH110" i="35"/>
  <c r="BI110" i="35"/>
  <c r="BJ110" i="35"/>
  <c r="BK110" i="35"/>
  <c r="BL110" i="35"/>
  <c r="BM110" i="35"/>
  <c r="BN110" i="35"/>
  <c r="BO110" i="35"/>
  <c r="BP110" i="35"/>
  <c r="BR110" i="35"/>
  <c r="BS110" i="35"/>
  <c r="BT110" i="35"/>
  <c r="BU110" i="35"/>
  <c r="BV110" i="35"/>
  <c r="BW110" i="35"/>
  <c r="BX110" i="35"/>
  <c r="BY110" i="35"/>
  <c r="BZ110" i="35"/>
  <c r="CA110" i="35"/>
  <c r="A111" i="35"/>
  <c r="B111" i="35"/>
  <c r="C111" i="35"/>
  <c r="D111" i="35"/>
  <c r="E111" i="35"/>
  <c r="F111" i="35"/>
  <c r="G111" i="35"/>
  <c r="H111" i="35"/>
  <c r="J111" i="35"/>
  <c r="K111" i="35"/>
  <c r="L111" i="35"/>
  <c r="M111" i="35"/>
  <c r="N111" i="35"/>
  <c r="P111" i="35"/>
  <c r="Q111" i="35"/>
  <c r="R111" i="35"/>
  <c r="S111" i="35"/>
  <c r="T111" i="35"/>
  <c r="V111" i="35"/>
  <c r="W111" i="35"/>
  <c r="X111" i="35"/>
  <c r="Y111" i="35"/>
  <c r="Z111" i="35"/>
  <c r="AC111" i="35"/>
  <c r="AD111" i="35"/>
  <c r="AE111" i="35"/>
  <c r="AF111" i="35"/>
  <c r="AK111" i="35"/>
  <c r="AL111" i="35"/>
  <c r="AM111" i="35"/>
  <c r="AN111" i="35"/>
  <c r="AO111" i="35"/>
  <c r="AP111" i="35"/>
  <c r="AQ111" i="35"/>
  <c r="AR111" i="35"/>
  <c r="AS111" i="35"/>
  <c r="AT111" i="35"/>
  <c r="AV111" i="35"/>
  <c r="AW111" i="35"/>
  <c r="AX111" i="35"/>
  <c r="AY111" i="35"/>
  <c r="AZ111" i="35"/>
  <c r="BA111" i="35"/>
  <c r="BB111" i="35"/>
  <c r="BC111" i="35"/>
  <c r="BD111" i="35"/>
  <c r="BE111" i="35"/>
  <c r="BG111" i="35"/>
  <c r="BH111" i="35"/>
  <c r="BI111" i="35"/>
  <c r="BJ111" i="35"/>
  <c r="BK111" i="35"/>
  <c r="BL111" i="35"/>
  <c r="BM111" i="35"/>
  <c r="BN111" i="35"/>
  <c r="BO111" i="35"/>
  <c r="BP111" i="35"/>
  <c r="BR111" i="35"/>
  <c r="BS111" i="35"/>
  <c r="BT111" i="35"/>
  <c r="BU111" i="35"/>
  <c r="BV111" i="35"/>
  <c r="BW111" i="35"/>
  <c r="BX111" i="35"/>
  <c r="BY111" i="35"/>
  <c r="BZ111" i="35"/>
  <c r="CA111" i="35"/>
  <c r="A112" i="35"/>
  <c r="B112" i="35"/>
  <c r="C112" i="35"/>
  <c r="D112" i="35"/>
  <c r="E112" i="35"/>
  <c r="F112" i="35"/>
  <c r="G112" i="35"/>
  <c r="H112" i="35"/>
  <c r="J112" i="35"/>
  <c r="K112" i="35"/>
  <c r="L112" i="35"/>
  <c r="M112" i="35"/>
  <c r="N112" i="35"/>
  <c r="P112" i="35"/>
  <c r="Q112" i="35"/>
  <c r="R112" i="35"/>
  <c r="S112" i="35"/>
  <c r="T112" i="35"/>
  <c r="V112" i="35"/>
  <c r="W112" i="35"/>
  <c r="X112" i="35"/>
  <c r="Y112" i="35"/>
  <c r="Z112" i="35"/>
  <c r="AC112" i="35"/>
  <c r="AD112" i="35"/>
  <c r="AE112" i="35"/>
  <c r="AF112" i="35"/>
  <c r="AK112" i="35"/>
  <c r="AL112" i="35"/>
  <c r="AM112" i="35"/>
  <c r="AN112" i="35"/>
  <c r="AO112" i="35"/>
  <c r="AP112" i="35"/>
  <c r="AQ112" i="35"/>
  <c r="AR112" i="35"/>
  <c r="AS112" i="35"/>
  <c r="AT112" i="35"/>
  <c r="AV112" i="35"/>
  <c r="AW112" i="35"/>
  <c r="AX112" i="35"/>
  <c r="AY112" i="35"/>
  <c r="AZ112" i="35"/>
  <c r="BA112" i="35"/>
  <c r="BB112" i="35"/>
  <c r="BC112" i="35"/>
  <c r="BD112" i="35"/>
  <c r="BE112" i="35"/>
  <c r="BG112" i="35"/>
  <c r="BH112" i="35"/>
  <c r="BI112" i="35"/>
  <c r="BJ112" i="35"/>
  <c r="BK112" i="35"/>
  <c r="BL112" i="35"/>
  <c r="BM112" i="35"/>
  <c r="BN112" i="35"/>
  <c r="BO112" i="35"/>
  <c r="BP112" i="35"/>
  <c r="BR112" i="35"/>
  <c r="BS112" i="35"/>
  <c r="BT112" i="35"/>
  <c r="BU112" i="35"/>
  <c r="BV112" i="35"/>
  <c r="BW112" i="35"/>
  <c r="BX112" i="35"/>
  <c r="BY112" i="35"/>
  <c r="BZ112" i="35"/>
  <c r="CA112" i="35"/>
  <c r="A113" i="35"/>
  <c r="B113" i="35"/>
  <c r="C113" i="35"/>
  <c r="D113" i="35"/>
  <c r="E113" i="35"/>
  <c r="F113" i="35"/>
  <c r="G113" i="35"/>
  <c r="H113" i="35"/>
  <c r="J113" i="35"/>
  <c r="K113" i="35"/>
  <c r="L113" i="35"/>
  <c r="M113" i="35"/>
  <c r="N113" i="35"/>
  <c r="P113" i="35"/>
  <c r="Q113" i="35"/>
  <c r="R113" i="35"/>
  <c r="S113" i="35"/>
  <c r="T113" i="35"/>
  <c r="V113" i="35"/>
  <c r="W113" i="35"/>
  <c r="X113" i="35"/>
  <c r="Y113" i="35"/>
  <c r="Z113" i="35"/>
  <c r="AC113" i="35"/>
  <c r="AD113" i="35"/>
  <c r="AE113" i="35"/>
  <c r="AF113" i="35"/>
  <c r="AK113" i="35"/>
  <c r="AL113" i="35"/>
  <c r="AM113" i="35"/>
  <c r="AN113" i="35"/>
  <c r="AO113" i="35"/>
  <c r="AP113" i="35"/>
  <c r="AQ113" i="35"/>
  <c r="AR113" i="35"/>
  <c r="AS113" i="35"/>
  <c r="AT113" i="35"/>
  <c r="AV113" i="35"/>
  <c r="AW113" i="35"/>
  <c r="AX113" i="35"/>
  <c r="AY113" i="35"/>
  <c r="AZ113" i="35"/>
  <c r="BA113" i="35"/>
  <c r="BB113" i="35"/>
  <c r="BC113" i="35"/>
  <c r="BD113" i="35"/>
  <c r="BE113" i="35"/>
  <c r="BG113" i="35"/>
  <c r="BH113" i="35"/>
  <c r="BI113" i="35"/>
  <c r="BJ113" i="35"/>
  <c r="BK113" i="35"/>
  <c r="BL113" i="35"/>
  <c r="BM113" i="35"/>
  <c r="BN113" i="35"/>
  <c r="BO113" i="35"/>
  <c r="BP113" i="35"/>
  <c r="BR113" i="35"/>
  <c r="BS113" i="35"/>
  <c r="BT113" i="35"/>
  <c r="BU113" i="35"/>
  <c r="BV113" i="35"/>
  <c r="BW113" i="35"/>
  <c r="BX113" i="35"/>
  <c r="BY113" i="35"/>
  <c r="BZ113" i="35"/>
  <c r="CA113" i="35"/>
  <c r="A114" i="35"/>
  <c r="B114" i="35"/>
  <c r="C114" i="35"/>
  <c r="D114" i="35"/>
  <c r="E114" i="35"/>
  <c r="F114" i="35"/>
  <c r="G114" i="35"/>
  <c r="H114" i="35"/>
  <c r="J114" i="35"/>
  <c r="K114" i="35"/>
  <c r="L114" i="35"/>
  <c r="M114" i="35"/>
  <c r="N114" i="35"/>
  <c r="P114" i="35"/>
  <c r="Q114" i="35"/>
  <c r="R114" i="35"/>
  <c r="S114" i="35"/>
  <c r="T114" i="35"/>
  <c r="V114" i="35"/>
  <c r="W114" i="35"/>
  <c r="X114" i="35"/>
  <c r="Y114" i="35"/>
  <c r="Z114" i="35"/>
  <c r="AC114" i="35"/>
  <c r="AD114" i="35"/>
  <c r="AE114" i="35"/>
  <c r="AF114" i="35"/>
  <c r="AK114" i="35"/>
  <c r="AL114" i="35"/>
  <c r="AM114" i="35"/>
  <c r="AN114" i="35"/>
  <c r="AO114" i="35"/>
  <c r="AP114" i="35"/>
  <c r="AQ114" i="35"/>
  <c r="AR114" i="35"/>
  <c r="AS114" i="35"/>
  <c r="AT114" i="35"/>
  <c r="AV114" i="35"/>
  <c r="AW114" i="35"/>
  <c r="AX114" i="35"/>
  <c r="AY114" i="35"/>
  <c r="AZ114" i="35"/>
  <c r="BA114" i="35"/>
  <c r="BB114" i="35"/>
  <c r="BC114" i="35"/>
  <c r="BD114" i="35"/>
  <c r="BE114" i="35"/>
  <c r="BG114" i="35"/>
  <c r="BH114" i="35"/>
  <c r="BI114" i="35"/>
  <c r="BJ114" i="35"/>
  <c r="BK114" i="35"/>
  <c r="BL114" i="35"/>
  <c r="BM114" i="35"/>
  <c r="BN114" i="35"/>
  <c r="BO114" i="35"/>
  <c r="BP114" i="35"/>
  <c r="BR114" i="35"/>
  <c r="BS114" i="35"/>
  <c r="BT114" i="35"/>
  <c r="BU114" i="35"/>
  <c r="BV114" i="35"/>
  <c r="BW114" i="35"/>
  <c r="BX114" i="35"/>
  <c r="BY114" i="35"/>
  <c r="BZ114" i="35"/>
  <c r="CA114" i="35"/>
  <c r="A115" i="35"/>
  <c r="B115" i="35"/>
  <c r="C115" i="35"/>
  <c r="D115" i="35"/>
  <c r="E115" i="35"/>
  <c r="F115" i="35"/>
  <c r="G115" i="35"/>
  <c r="H115" i="35"/>
  <c r="J115" i="35"/>
  <c r="K115" i="35"/>
  <c r="L115" i="35"/>
  <c r="M115" i="35"/>
  <c r="N115" i="35"/>
  <c r="P115" i="35"/>
  <c r="Q115" i="35"/>
  <c r="R115" i="35"/>
  <c r="S115" i="35"/>
  <c r="T115" i="35"/>
  <c r="V115" i="35"/>
  <c r="W115" i="35"/>
  <c r="X115" i="35"/>
  <c r="Y115" i="35"/>
  <c r="Z115" i="35"/>
  <c r="AC115" i="35"/>
  <c r="AD115" i="35"/>
  <c r="AE115" i="35"/>
  <c r="AF115" i="35"/>
  <c r="AK115" i="35"/>
  <c r="AL115" i="35"/>
  <c r="AM115" i="35"/>
  <c r="AN115" i="35"/>
  <c r="AO115" i="35"/>
  <c r="AP115" i="35"/>
  <c r="AQ115" i="35"/>
  <c r="AR115" i="35"/>
  <c r="AS115" i="35"/>
  <c r="AT115" i="35"/>
  <c r="AV115" i="35"/>
  <c r="AW115" i="35"/>
  <c r="AX115" i="35"/>
  <c r="AY115" i="35"/>
  <c r="AZ115" i="35"/>
  <c r="BA115" i="35"/>
  <c r="BB115" i="35"/>
  <c r="BC115" i="35"/>
  <c r="BD115" i="35"/>
  <c r="BE115" i="35"/>
  <c r="BG115" i="35"/>
  <c r="BH115" i="35"/>
  <c r="BI115" i="35"/>
  <c r="BJ115" i="35"/>
  <c r="BK115" i="35"/>
  <c r="BL115" i="35"/>
  <c r="BM115" i="35"/>
  <c r="BN115" i="35"/>
  <c r="BO115" i="35"/>
  <c r="BP115" i="35"/>
  <c r="BR115" i="35"/>
  <c r="BS115" i="35"/>
  <c r="BT115" i="35"/>
  <c r="BU115" i="35"/>
  <c r="BV115" i="35"/>
  <c r="BW115" i="35"/>
  <c r="BX115" i="35"/>
  <c r="BY115" i="35"/>
  <c r="BZ115" i="35"/>
  <c r="CA115" i="35"/>
  <c r="A116" i="35"/>
  <c r="B116" i="35"/>
  <c r="C116" i="35"/>
  <c r="D116" i="35"/>
  <c r="E116" i="35"/>
  <c r="F116" i="35"/>
  <c r="G116" i="35"/>
  <c r="H116" i="35"/>
  <c r="J116" i="35"/>
  <c r="K116" i="35"/>
  <c r="L116" i="35"/>
  <c r="M116" i="35"/>
  <c r="N116" i="35"/>
  <c r="P116" i="35"/>
  <c r="Q116" i="35"/>
  <c r="R116" i="35"/>
  <c r="S116" i="35"/>
  <c r="T116" i="35"/>
  <c r="V116" i="35"/>
  <c r="W116" i="35"/>
  <c r="X116" i="35"/>
  <c r="Y116" i="35"/>
  <c r="Z116" i="35"/>
  <c r="AC116" i="35"/>
  <c r="AD116" i="35"/>
  <c r="AE116" i="35"/>
  <c r="AF116" i="35"/>
  <c r="AK116" i="35"/>
  <c r="AL116" i="35"/>
  <c r="AM116" i="35"/>
  <c r="AN116" i="35"/>
  <c r="AO116" i="35"/>
  <c r="AP116" i="35"/>
  <c r="AQ116" i="35"/>
  <c r="AR116" i="35"/>
  <c r="AS116" i="35"/>
  <c r="AT116" i="35"/>
  <c r="AV116" i="35"/>
  <c r="AW116" i="35"/>
  <c r="AX116" i="35"/>
  <c r="AY116" i="35"/>
  <c r="AZ116" i="35"/>
  <c r="BA116" i="35"/>
  <c r="BB116" i="35"/>
  <c r="BC116" i="35"/>
  <c r="BD116" i="35"/>
  <c r="BE116" i="35"/>
  <c r="BG116" i="35"/>
  <c r="BH116" i="35"/>
  <c r="BI116" i="35"/>
  <c r="BJ116" i="35"/>
  <c r="BK116" i="35"/>
  <c r="BL116" i="35"/>
  <c r="BM116" i="35"/>
  <c r="BN116" i="35"/>
  <c r="BO116" i="35"/>
  <c r="BP116" i="35"/>
  <c r="BR116" i="35"/>
  <c r="BS116" i="35"/>
  <c r="BT116" i="35"/>
  <c r="BU116" i="35"/>
  <c r="BV116" i="35"/>
  <c r="BW116" i="35"/>
  <c r="BX116" i="35"/>
  <c r="BY116" i="35"/>
  <c r="BZ116" i="35"/>
  <c r="CA116" i="35"/>
  <c r="A117" i="35"/>
  <c r="B117" i="35"/>
  <c r="C117" i="35"/>
  <c r="D117" i="35"/>
  <c r="E117" i="35"/>
  <c r="F117" i="35"/>
  <c r="G117" i="35"/>
  <c r="H117" i="35"/>
  <c r="J117" i="35"/>
  <c r="K117" i="35"/>
  <c r="L117" i="35"/>
  <c r="M117" i="35"/>
  <c r="N117" i="35"/>
  <c r="P117" i="35"/>
  <c r="Q117" i="35"/>
  <c r="R117" i="35"/>
  <c r="S117" i="35"/>
  <c r="T117" i="35"/>
  <c r="V117" i="35"/>
  <c r="W117" i="35"/>
  <c r="X117" i="35"/>
  <c r="Y117" i="35"/>
  <c r="Z117" i="35"/>
  <c r="AC117" i="35"/>
  <c r="AD117" i="35"/>
  <c r="AE117" i="35"/>
  <c r="AF117" i="35"/>
  <c r="AK117" i="35"/>
  <c r="AL117" i="35"/>
  <c r="AM117" i="35"/>
  <c r="AN117" i="35"/>
  <c r="AO117" i="35"/>
  <c r="AP117" i="35"/>
  <c r="AQ117" i="35"/>
  <c r="AR117" i="35"/>
  <c r="AS117" i="35"/>
  <c r="AT117" i="35"/>
  <c r="AV117" i="35"/>
  <c r="AW117" i="35"/>
  <c r="AX117" i="35"/>
  <c r="AY117" i="35"/>
  <c r="AZ117" i="35"/>
  <c r="BA117" i="35"/>
  <c r="BB117" i="35"/>
  <c r="BC117" i="35"/>
  <c r="BD117" i="35"/>
  <c r="BE117" i="35"/>
  <c r="BG117" i="35"/>
  <c r="BH117" i="35"/>
  <c r="BI117" i="35"/>
  <c r="BJ117" i="35"/>
  <c r="BK117" i="35"/>
  <c r="BL117" i="35"/>
  <c r="BM117" i="35"/>
  <c r="BN117" i="35"/>
  <c r="BO117" i="35"/>
  <c r="BP117" i="35"/>
  <c r="BR117" i="35"/>
  <c r="BS117" i="35"/>
  <c r="BT117" i="35"/>
  <c r="BU117" i="35"/>
  <c r="BV117" i="35"/>
  <c r="BW117" i="35"/>
  <c r="BX117" i="35"/>
  <c r="BY117" i="35"/>
  <c r="BZ117" i="35"/>
  <c r="CA117" i="35"/>
  <c r="A118" i="35"/>
  <c r="B118" i="35"/>
  <c r="C118" i="35"/>
  <c r="D118" i="35"/>
  <c r="E118" i="35"/>
  <c r="F118" i="35"/>
  <c r="G118" i="35"/>
  <c r="H118" i="35"/>
  <c r="J118" i="35"/>
  <c r="K118" i="35"/>
  <c r="L118" i="35"/>
  <c r="M118" i="35"/>
  <c r="N118" i="35"/>
  <c r="P118" i="35"/>
  <c r="Q118" i="35"/>
  <c r="R118" i="35"/>
  <c r="S118" i="35"/>
  <c r="T118" i="35"/>
  <c r="V118" i="35"/>
  <c r="W118" i="35"/>
  <c r="X118" i="35"/>
  <c r="Y118" i="35"/>
  <c r="Z118" i="35"/>
  <c r="AC118" i="35"/>
  <c r="AD118" i="35"/>
  <c r="AE118" i="35"/>
  <c r="AF118" i="35"/>
  <c r="AK118" i="35"/>
  <c r="AL118" i="35"/>
  <c r="AM118" i="35"/>
  <c r="AN118" i="35"/>
  <c r="AO118" i="35"/>
  <c r="AP118" i="35"/>
  <c r="AQ118" i="35"/>
  <c r="AR118" i="35"/>
  <c r="AS118" i="35"/>
  <c r="AT118" i="35"/>
  <c r="AV118" i="35"/>
  <c r="AW118" i="35"/>
  <c r="AX118" i="35"/>
  <c r="AY118" i="35"/>
  <c r="AZ118" i="35"/>
  <c r="BA118" i="35"/>
  <c r="BB118" i="35"/>
  <c r="BC118" i="35"/>
  <c r="BD118" i="35"/>
  <c r="BE118" i="35"/>
  <c r="BG118" i="35"/>
  <c r="BH118" i="35"/>
  <c r="BI118" i="35"/>
  <c r="BJ118" i="35"/>
  <c r="BK118" i="35"/>
  <c r="BL118" i="35"/>
  <c r="BM118" i="35"/>
  <c r="BN118" i="35"/>
  <c r="BO118" i="35"/>
  <c r="BP118" i="35"/>
  <c r="BR118" i="35"/>
  <c r="BS118" i="35"/>
  <c r="BT118" i="35"/>
  <c r="BU118" i="35"/>
  <c r="BV118" i="35"/>
  <c r="BW118" i="35"/>
  <c r="BX118" i="35"/>
  <c r="BY118" i="35"/>
  <c r="BZ118" i="35"/>
  <c r="CA118" i="35"/>
  <c r="A119" i="35"/>
  <c r="B119" i="35"/>
  <c r="C119" i="35"/>
  <c r="D119" i="35"/>
  <c r="E119" i="35"/>
  <c r="F119" i="35"/>
  <c r="G119" i="35"/>
  <c r="H119" i="35"/>
  <c r="J119" i="35"/>
  <c r="K119" i="35"/>
  <c r="L119" i="35"/>
  <c r="M119" i="35"/>
  <c r="N119" i="35"/>
  <c r="P119" i="35"/>
  <c r="Q119" i="35"/>
  <c r="R119" i="35"/>
  <c r="S119" i="35"/>
  <c r="T119" i="35"/>
  <c r="V119" i="35"/>
  <c r="W119" i="35"/>
  <c r="X119" i="35"/>
  <c r="Y119" i="35"/>
  <c r="Z119" i="35"/>
  <c r="AC119" i="35"/>
  <c r="AD119" i="35"/>
  <c r="AE119" i="35"/>
  <c r="AF119" i="35"/>
  <c r="AK119" i="35"/>
  <c r="AL119" i="35"/>
  <c r="AM119" i="35"/>
  <c r="AN119" i="35"/>
  <c r="AO119" i="35"/>
  <c r="AP119" i="35"/>
  <c r="AQ119" i="35"/>
  <c r="AR119" i="35"/>
  <c r="AS119" i="35"/>
  <c r="AT119" i="35"/>
  <c r="AV119" i="35"/>
  <c r="AW119" i="35"/>
  <c r="AX119" i="35"/>
  <c r="AY119" i="35"/>
  <c r="AZ119" i="35"/>
  <c r="BA119" i="35"/>
  <c r="BB119" i="35"/>
  <c r="BC119" i="35"/>
  <c r="BD119" i="35"/>
  <c r="BE119" i="35"/>
  <c r="BG119" i="35"/>
  <c r="BH119" i="35"/>
  <c r="BI119" i="35"/>
  <c r="BJ119" i="35"/>
  <c r="BK119" i="35"/>
  <c r="BL119" i="35"/>
  <c r="BM119" i="35"/>
  <c r="BN119" i="35"/>
  <c r="BO119" i="35"/>
  <c r="BP119" i="35"/>
  <c r="BR119" i="35"/>
  <c r="BS119" i="35"/>
  <c r="BT119" i="35"/>
  <c r="BU119" i="35"/>
  <c r="BV119" i="35"/>
  <c r="BW119" i="35"/>
  <c r="BX119" i="35"/>
  <c r="BY119" i="35"/>
  <c r="BZ119" i="35"/>
  <c r="CA119" i="35"/>
  <c r="A120" i="35"/>
  <c r="B120" i="35"/>
  <c r="C120" i="35"/>
  <c r="D120" i="35"/>
  <c r="E120" i="35"/>
  <c r="F120" i="35"/>
  <c r="G120" i="35"/>
  <c r="H120" i="35"/>
  <c r="J120" i="35"/>
  <c r="K120" i="35"/>
  <c r="L120" i="35"/>
  <c r="M120" i="35"/>
  <c r="N120" i="35"/>
  <c r="P120" i="35"/>
  <c r="Q120" i="35"/>
  <c r="R120" i="35"/>
  <c r="S120" i="35"/>
  <c r="T120" i="35"/>
  <c r="V120" i="35"/>
  <c r="W120" i="35"/>
  <c r="X120" i="35"/>
  <c r="Y120" i="35"/>
  <c r="Z120" i="35"/>
  <c r="AC120" i="35"/>
  <c r="AD120" i="35"/>
  <c r="AE120" i="35"/>
  <c r="AF120" i="35"/>
  <c r="AK120" i="35"/>
  <c r="AL120" i="35"/>
  <c r="AM120" i="35"/>
  <c r="AN120" i="35"/>
  <c r="AO120" i="35"/>
  <c r="AP120" i="35"/>
  <c r="AQ120" i="35"/>
  <c r="AR120" i="35"/>
  <c r="AS120" i="35"/>
  <c r="AT120" i="35"/>
  <c r="AV120" i="35"/>
  <c r="AW120" i="35"/>
  <c r="AX120" i="35"/>
  <c r="AY120" i="35"/>
  <c r="AZ120" i="35"/>
  <c r="BA120" i="35"/>
  <c r="BB120" i="35"/>
  <c r="BC120" i="35"/>
  <c r="BD120" i="35"/>
  <c r="BE120" i="35"/>
  <c r="BG120" i="35"/>
  <c r="BH120" i="35"/>
  <c r="BI120" i="35"/>
  <c r="BJ120" i="35"/>
  <c r="BK120" i="35"/>
  <c r="BL120" i="35"/>
  <c r="BM120" i="35"/>
  <c r="BN120" i="35"/>
  <c r="BO120" i="35"/>
  <c r="BP120" i="35"/>
  <c r="BR120" i="35"/>
  <c r="BS120" i="35"/>
  <c r="BT120" i="35"/>
  <c r="BU120" i="35"/>
  <c r="BV120" i="35"/>
  <c r="BW120" i="35"/>
  <c r="BX120" i="35"/>
  <c r="BY120" i="35"/>
  <c r="BZ120" i="35"/>
  <c r="CA120" i="35"/>
  <c r="A121" i="35"/>
  <c r="B121" i="35"/>
  <c r="C121" i="35"/>
  <c r="D121" i="35"/>
  <c r="E121" i="35"/>
  <c r="F121" i="35"/>
  <c r="G121" i="35"/>
  <c r="H121" i="35"/>
  <c r="J121" i="35"/>
  <c r="K121" i="35"/>
  <c r="L121" i="35"/>
  <c r="M121" i="35"/>
  <c r="N121" i="35"/>
  <c r="P121" i="35"/>
  <c r="Q121" i="35"/>
  <c r="R121" i="35"/>
  <c r="S121" i="35"/>
  <c r="T121" i="35"/>
  <c r="V121" i="35"/>
  <c r="W121" i="35"/>
  <c r="X121" i="35"/>
  <c r="Y121" i="35"/>
  <c r="Z121" i="35"/>
  <c r="AC121" i="35"/>
  <c r="AD121" i="35"/>
  <c r="AE121" i="35"/>
  <c r="AF121" i="35"/>
  <c r="AK121" i="35"/>
  <c r="AL121" i="35"/>
  <c r="AM121" i="35"/>
  <c r="AN121" i="35"/>
  <c r="AO121" i="35"/>
  <c r="AP121" i="35"/>
  <c r="AQ121" i="35"/>
  <c r="AR121" i="35"/>
  <c r="AS121" i="35"/>
  <c r="AT121" i="35"/>
  <c r="AV121" i="35"/>
  <c r="AW121" i="35"/>
  <c r="AX121" i="35"/>
  <c r="AY121" i="35"/>
  <c r="AZ121" i="35"/>
  <c r="BA121" i="35"/>
  <c r="BB121" i="35"/>
  <c r="BC121" i="35"/>
  <c r="BD121" i="35"/>
  <c r="BE121" i="35"/>
  <c r="BG121" i="35"/>
  <c r="BH121" i="35"/>
  <c r="BI121" i="35"/>
  <c r="BJ121" i="35"/>
  <c r="BK121" i="35"/>
  <c r="BL121" i="35"/>
  <c r="BM121" i="35"/>
  <c r="BN121" i="35"/>
  <c r="BO121" i="35"/>
  <c r="BP121" i="35"/>
  <c r="BR121" i="35"/>
  <c r="BS121" i="35"/>
  <c r="BT121" i="35"/>
  <c r="BU121" i="35"/>
  <c r="BV121" i="35"/>
  <c r="BW121" i="35"/>
  <c r="BX121" i="35"/>
  <c r="BY121" i="35"/>
  <c r="BZ121" i="35"/>
  <c r="CA121" i="35"/>
  <c r="A122" i="35"/>
  <c r="B122" i="35"/>
  <c r="C122" i="35"/>
  <c r="D122" i="35"/>
  <c r="E122" i="35"/>
  <c r="F122" i="35"/>
  <c r="G122" i="35"/>
  <c r="H122" i="35"/>
  <c r="J122" i="35"/>
  <c r="K122" i="35"/>
  <c r="L122" i="35"/>
  <c r="M122" i="35"/>
  <c r="N122" i="35"/>
  <c r="P122" i="35"/>
  <c r="Q122" i="35"/>
  <c r="R122" i="35"/>
  <c r="S122" i="35"/>
  <c r="T122" i="35"/>
  <c r="V122" i="35"/>
  <c r="W122" i="35"/>
  <c r="X122" i="35"/>
  <c r="Y122" i="35"/>
  <c r="Z122" i="35"/>
  <c r="AC122" i="35"/>
  <c r="AD122" i="35"/>
  <c r="AE122" i="35"/>
  <c r="AF122" i="35"/>
  <c r="AK122" i="35"/>
  <c r="AL122" i="35"/>
  <c r="AM122" i="35"/>
  <c r="AN122" i="35"/>
  <c r="AO122" i="35"/>
  <c r="AP122" i="35"/>
  <c r="AQ122" i="35"/>
  <c r="AR122" i="35"/>
  <c r="AS122" i="35"/>
  <c r="AT122" i="35"/>
  <c r="AV122" i="35"/>
  <c r="AW122" i="35"/>
  <c r="AX122" i="35"/>
  <c r="AY122" i="35"/>
  <c r="AZ122" i="35"/>
  <c r="BA122" i="35"/>
  <c r="BB122" i="35"/>
  <c r="BC122" i="35"/>
  <c r="BD122" i="35"/>
  <c r="BE122" i="35"/>
  <c r="BG122" i="35"/>
  <c r="BH122" i="35"/>
  <c r="BI122" i="35"/>
  <c r="BJ122" i="35"/>
  <c r="BK122" i="35"/>
  <c r="BL122" i="35"/>
  <c r="BM122" i="35"/>
  <c r="BN122" i="35"/>
  <c r="BO122" i="35"/>
  <c r="BP122" i="35"/>
  <c r="BR122" i="35"/>
  <c r="BS122" i="35"/>
  <c r="BT122" i="35"/>
  <c r="BU122" i="35"/>
  <c r="BV122" i="35"/>
  <c r="BW122" i="35"/>
  <c r="BX122" i="35"/>
  <c r="BY122" i="35"/>
  <c r="BZ122" i="35"/>
  <c r="CA122" i="35"/>
  <c r="A123" i="35"/>
  <c r="B123" i="35"/>
  <c r="C123" i="35"/>
  <c r="D123" i="35"/>
  <c r="E123" i="35"/>
  <c r="F123" i="35"/>
  <c r="G123" i="35"/>
  <c r="H123" i="35"/>
  <c r="J123" i="35"/>
  <c r="K123" i="35"/>
  <c r="L123" i="35"/>
  <c r="M123" i="35"/>
  <c r="N123" i="35"/>
  <c r="P123" i="35"/>
  <c r="Q123" i="35"/>
  <c r="R123" i="35"/>
  <c r="S123" i="35"/>
  <c r="T123" i="35"/>
  <c r="V123" i="35"/>
  <c r="W123" i="35"/>
  <c r="X123" i="35"/>
  <c r="Y123" i="35"/>
  <c r="Z123" i="35"/>
  <c r="AC123" i="35"/>
  <c r="AD123" i="35"/>
  <c r="AE123" i="35"/>
  <c r="AF123" i="35"/>
  <c r="AK123" i="35"/>
  <c r="AL123" i="35"/>
  <c r="AM123" i="35"/>
  <c r="AN123" i="35"/>
  <c r="AO123" i="35"/>
  <c r="AP123" i="35"/>
  <c r="AQ123" i="35"/>
  <c r="AR123" i="35"/>
  <c r="AS123" i="35"/>
  <c r="AT123" i="35"/>
  <c r="AV123" i="35"/>
  <c r="AW123" i="35"/>
  <c r="AX123" i="35"/>
  <c r="AY123" i="35"/>
  <c r="AZ123" i="35"/>
  <c r="BA123" i="35"/>
  <c r="BB123" i="35"/>
  <c r="BC123" i="35"/>
  <c r="BD123" i="35"/>
  <c r="BE123" i="35"/>
  <c r="BG123" i="35"/>
  <c r="BH123" i="35"/>
  <c r="BI123" i="35"/>
  <c r="BJ123" i="35"/>
  <c r="BK123" i="35"/>
  <c r="BL123" i="35"/>
  <c r="BM123" i="35"/>
  <c r="BN123" i="35"/>
  <c r="BO123" i="35"/>
  <c r="BP123" i="35"/>
  <c r="BR123" i="35"/>
  <c r="BS123" i="35"/>
  <c r="BT123" i="35"/>
  <c r="BU123" i="35"/>
  <c r="BV123" i="35"/>
  <c r="BW123" i="35"/>
  <c r="BX123" i="35"/>
  <c r="BY123" i="35"/>
  <c r="BZ123" i="35"/>
  <c r="CA123" i="35"/>
  <c r="A124" i="35"/>
  <c r="B124" i="35"/>
  <c r="C124" i="35"/>
  <c r="D124" i="35"/>
  <c r="E124" i="35"/>
  <c r="F124" i="35"/>
  <c r="G124" i="35"/>
  <c r="H124" i="35"/>
  <c r="J124" i="35"/>
  <c r="K124" i="35"/>
  <c r="L124" i="35"/>
  <c r="M124" i="35"/>
  <c r="N124" i="35"/>
  <c r="P124" i="35"/>
  <c r="Q124" i="35"/>
  <c r="R124" i="35"/>
  <c r="S124" i="35"/>
  <c r="T124" i="35"/>
  <c r="V124" i="35"/>
  <c r="W124" i="35"/>
  <c r="X124" i="35"/>
  <c r="Y124" i="35"/>
  <c r="Z124" i="35"/>
  <c r="AC124" i="35"/>
  <c r="AD124" i="35"/>
  <c r="AE124" i="35"/>
  <c r="AF124" i="35"/>
  <c r="AK124" i="35"/>
  <c r="AL124" i="35"/>
  <c r="AM124" i="35"/>
  <c r="AN124" i="35"/>
  <c r="AO124" i="35"/>
  <c r="AP124" i="35"/>
  <c r="AQ124" i="35"/>
  <c r="AR124" i="35"/>
  <c r="AS124" i="35"/>
  <c r="AT124" i="35"/>
  <c r="AV124" i="35"/>
  <c r="AW124" i="35"/>
  <c r="AX124" i="35"/>
  <c r="AY124" i="35"/>
  <c r="AZ124" i="35"/>
  <c r="BA124" i="35"/>
  <c r="BB124" i="35"/>
  <c r="BC124" i="35"/>
  <c r="BD124" i="35"/>
  <c r="BE124" i="35"/>
  <c r="BG124" i="35"/>
  <c r="BH124" i="35"/>
  <c r="BI124" i="35"/>
  <c r="BJ124" i="35"/>
  <c r="BK124" i="35"/>
  <c r="BL124" i="35"/>
  <c r="BM124" i="35"/>
  <c r="BN124" i="35"/>
  <c r="BO124" i="35"/>
  <c r="BP124" i="35"/>
  <c r="BR124" i="35"/>
  <c r="BS124" i="35"/>
  <c r="BT124" i="35"/>
  <c r="BU124" i="35"/>
  <c r="BV124" i="35"/>
  <c r="BW124" i="35"/>
  <c r="BX124" i="35"/>
  <c r="BY124" i="35"/>
  <c r="BZ124" i="35"/>
  <c r="CA124" i="35"/>
  <c r="A125" i="35"/>
  <c r="B125" i="35"/>
  <c r="C125" i="35"/>
  <c r="D125" i="35"/>
  <c r="E125" i="35"/>
  <c r="F125" i="35"/>
  <c r="G125" i="35"/>
  <c r="H125" i="35"/>
  <c r="J125" i="35"/>
  <c r="K125" i="35"/>
  <c r="L125" i="35"/>
  <c r="M125" i="35"/>
  <c r="N125" i="35"/>
  <c r="P125" i="35"/>
  <c r="Q125" i="35"/>
  <c r="R125" i="35"/>
  <c r="S125" i="35"/>
  <c r="T125" i="35"/>
  <c r="V125" i="35"/>
  <c r="W125" i="35"/>
  <c r="X125" i="35"/>
  <c r="Y125" i="35"/>
  <c r="Z125" i="35"/>
  <c r="AC125" i="35"/>
  <c r="AD125" i="35"/>
  <c r="AE125" i="35"/>
  <c r="AF125" i="35"/>
  <c r="AK125" i="35"/>
  <c r="AL125" i="35"/>
  <c r="AM125" i="35"/>
  <c r="AN125" i="35"/>
  <c r="AO125" i="35"/>
  <c r="AP125" i="35"/>
  <c r="AQ125" i="35"/>
  <c r="AR125" i="35"/>
  <c r="AS125" i="35"/>
  <c r="AT125" i="35"/>
  <c r="AV125" i="35"/>
  <c r="AW125" i="35"/>
  <c r="AX125" i="35"/>
  <c r="AY125" i="35"/>
  <c r="AZ125" i="35"/>
  <c r="BA125" i="35"/>
  <c r="BB125" i="35"/>
  <c r="BC125" i="35"/>
  <c r="BD125" i="35"/>
  <c r="BE125" i="35"/>
  <c r="BG125" i="35"/>
  <c r="BH125" i="35"/>
  <c r="BI125" i="35"/>
  <c r="BJ125" i="35"/>
  <c r="BK125" i="35"/>
  <c r="BL125" i="35"/>
  <c r="BM125" i="35"/>
  <c r="BN125" i="35"/>
  <c r="BO125" i="35"/>
  <c r="BP125" i="35"/>
  <c r="BR125" i="35"/>
  <c r="BS125" i="35"/>
  <c r="BT125" i="35"/>
  <c r="BU125" i="35"/>
  <c r="BV125" i="35"/>
  <c r="BW125" i="35"/>
  <c r="BX125" i="35"/>
  <c r="BY125" i="35"/>
  <c r="BZ125" i="35"/>
  <c r="CA125" i="35"/>
  <c r="A126" i="35"/>
  <c r="B126" i="35"/>
  <c r="C126" i="35"/>
  <c r="D126" i="35"/>
  <c r="E126" i="35"/>
  <c r="F126" i="35"/>
  <c r="G126" i="35"/>
  <c r="H126" i="35"/>
  <c r="J126" i="35"/>
  <c r="K126" i="35"/>
  <c r="L126" i="35"/>
  <c r="M126" i="35"/>
  <c r="N126" i="35"/>
  <c r="P126" i="35"/>
  <c r="Q126" i="35"/>
  <c r="R126" i="35"/>
  <c r="S126" i="35"/>
  <c r="T126" i="35"/>
  <c r="V126" i="35"/>
  <c r="W126" i="35"/>
  <c r="X126" i="35"/>
  <c r="Y126" i="35"/>
  <c r="Z126" i="35"/>
  <c r="AC126" i="35"/>
  <c r="AD126" i="35"/>
  <c r="AE126" i="35"/>
  <c r="AF126" i="35"/>
  <c r="AK126" i="35"/>
  <c r="AL126" i="35"/>
  <c r="AM126" i="35"/>
  <c r="AN126" i="35"/>
  <c r="AO126" i="35"/>
  <c r="AP126" i="35"/>
  <c r="AQ126" i="35"/>
  <c r="AR126" i="35"/>
  <c r="AS126" i="35"/>
  <c r="AT126" i="35"/>
  <c r="AV126" i="35"/>
  <c r="AW126" i="35"/>
  <c r="AX126" i="35"/>
  <c r="AY126" i="35"/>
  <c r="AZ126" i="35"/>
  <c r="BA126" i="35"/>
  <c r="BB126" i="35"/>
  <c r="BC126" i="35"/>
  <c r="BD126" i="35"/>
  <c r="BE126" i="35"/>
  <c r="BG126" i="35"/>
  <c r="BH126" i="35"/>
  <c r="BI126" i="35"/>
  <c r="BJ126" i="35"/>
  <c r="BK126" i="35"/>
  <c r="BL126" i="35"/>
  <c r="BM126" i="35"/>
  <c r="BN126" i="35"/>
  <c r="BO126" i="35"/>
  <c r="BP126" i="35"/>
  <c r="BR126" i="35"/>
  <c r="BS126" i="35"/>
  <c r="BT126" i="35"/>
  <c r="BU126" i="35"/>
  <c r="BV126" i="35"/>
  <c r="BW126" i="35"/>
  <c r="BX126" i="35"/>
  <c r="BY126" i="35"/>
  <c r="BZ126" i="35"/>
  <c r="CA126" i="35"/>
  <c r="A127" i="35"/>
  <c r="B127" i="35"/>
  <c r="C127" i="35"/>
  <c r="D127" i="35"/>
  <c r="E127" i="35"/>
  <c r="F127" i="35"/>
  <c r="G127" i="35"/>
  <c r="H127" i="35"/>
  <c r="J127" i="35"/>
  <c r="K127" i="35"/>
  <c r="L127" i="35"/>
  <c r="M127" i="35"/>
  <c r="N127" i="35"/>
  <c r="P127" i="35"/>
  <c r="Q127" i="35"/>
  <c r="R127" i="35"/>
  <c r="S127" i="35"/>
  <c r="T127" i="35"/>
  <c r="V127" i="35"/>
  <c r="W127" i="35"/>
  <c r="X127" i="35"/>
  <c r="Y127" i="35"/>
  <c r="Z127" i="35"/>
  <c r="AC127" i="35"/>
  <c r="AD127" i="35"/>
  <c r="AE127" i="35"/>
  <c r="AF127" i="35"/>
  <c r="AK127" i="35"/>
  <c r="AL127" i="35"/>
  <c r="AM127" i="35"/>
  <c r="AN127" i="35"/>
  <c r="AO127" i="35"/>
  <c r="AP127" i="35"/>
  <c r="AQ127" i="35"/>
  <c r="AR127" i="35"/>
  <c r="AS127" i="35"/>
  <c r="AT127" i="35"/>
  <c r="AV127" i="35"/>
  <c r="AW127" i="35"/>
  <c r="AX127" i="35"/>
  <c r="AY127" i="35"/>
  <c r="AZ127" i="35"/>
  <c r="BA127" i="35"/>
  <c r="BB127" i="35"/>
  <c r="BC127" i="35"/>
  <c r="BD127" i="35"/>
  <c r="BE127" i="35"/>
  <c r="BG127" i="35"/>
  <c r="BH127" i="35"/>
  <c r="BI127" i="35"/>
  <c r="BJ127" i="35"/>
  <c r="BK127" i="35"/>
  <c r="BL127" i="35"/>
  <c r="BM127" i="35"/>
  <c r="BN127" i="35"/>
  <c r="BO127" i="35"/>
  <c r="BP127" i="35"/>
  <c r="BR127" i="35"/>
  <c r="BS127" i="35"/>
  <c r="BT127" i="35"/>
  <c r="BU127" i="35"/>
  <c r="BV127" i="35"/>
  <c r="BW127" i="35"/>
  <c r="BX127" i="35"/>
  <c r="BY127" i="35"/>
  <c r="BZ127" i="35"/>
  <c r="CA127" i="35"/>
  <c r="A128" i="35"/>
  <c r="B128" i="35"/>
  <c r="C128" i="35"/>
  <c r="D128" i="35"/>
  <c r="E128" i="35"/>
  <c r="F128" i="35"/>
  <c r="G128" i="35"/>
  <c r="H128" i="35"/>
  <c r="J128" i="35"/>
  <c r="K128" i="35"/>
  <c r="L128" i="35"/>
  <c r="M128" i="35"/>
  <c r="N128" i="35"/>
  <c r="P128" i="35"/>
  <c r="Q128" i="35"/>
  <c r="R128" i="35"/>
  <c r="S128" i="35"/>
  <c r="T128" i="35"/>
  <c r="V128" i="35"/>
  <c r="W128" i="35"/>
  <c r="X128" i="35"/>
  <c r="Y128" i="35"/>
  <c r="Z128" i="35"/>
  <c r="AC128" i="35"/>
  <c r="AD128" i="35"/>
  <c r="AE128" i="35"/>
  <c r="AF128" i="35"/>
  <c r="AK128" i="35"/>
  <c r="AL128" i="35"/>
  <c r="AM128" i="35"/>
  <c r="AN128" i="35"/>
  <c r="AO128" i="35"/>
  <c r="AP128" i="35"/>
  <c r="AQ128" i="35"/>
  <c r="AR128" i="35"/>
  <c r="AS128" i="35"/>
  <c r="AT128" i="35"/>
  <c r="AV128" i="35"/>
  <c r="AW128" i="35"/>
  <c r="AX128" i="35"/>
  <c r="AY128" i="35"/>
  <c r="AZ128" i="35"/>
  <c r="BA128" i="35"/>
  <c r="BB128" i="35"/>
  <c r="BC128" i="35"/>
  <c r="BD128" i="35"/>
  <c r="BE128" i="35"/>
  <c r="BG128" i="35"/>
  <c r="BH128" i="35"/>
  <c r="BI128" i="35"/>
  <c r="BJ128" i="35"/>
  <c r="BK128" i="35"/>
  <c r="BL128" i="35"/>
  <c r="BM128" i="35"/>
  <c r="BN128" i="35"/>
  <c r="BO128" i="35"/>
  <c r="BP128" i="35"/>
  <c r="BR128" i="35"/>
  <c r="BS128" i="35"/>
  <c r="BT128" i="35"/>
  <c r="BU128" i="35"/>
  <c r="BV128" i="35"/>
  <c r="BW128" i="35"/>
  <c r="BX128" i="35"/>
  <c r="BY128" i="35"/>
  <c r="BZ128" i="35"/>
  <c r="CA128" i="35"/>
  <c r="A129" i="35"/>
  <c r="B129" i="35"/>
  <c r="C129" i="35"/>
  <c r="D129" i="35"/>
  <c r="E129" i="35"/>
  <c r="F129" i="35"/>
  <c r="G129" i="35"/>
  <c r="H129" i="35"/>
  <c r="J129" i="35"/>
  <c r="K129" i="35"/>
  <c r="L129" i="35"/>
  <c r="M129" i="35"/>
  <c r="N129" i="35"/>
  <c r="P129" i="35"/>
  <c r="Q129" i="35"/>
  <c r="R129" i="35"/>
  <c r="S129" i="35"/>
  <c r="T129" i="35"/>
  <c r="V129" i="35"/>
  <c r="W129" i="35"/>
  <c r="X129" i="35"/>
  <c r="Y129" i="35"/>
  <c r="Z129" i="35"/>
  <c r="AC129" i="35"/>
  <c r="AD129" i="35"/>
  <c r="AE129" i="35"/>
  <c r="AF129" i="35"/>
  <c r="AK129" i="35"/>
  <c r="AL129" i="35"/>
  <c r="AM129" i="35"/>
  <c r="AN129" i="35"/>
  <c r="AO129" i="35"/>
  <c r="AP129" i="35"/>
  <c r="AQ129" i="35"/>
  <c r="AR129" i="35"/>
  <c r="AS129" i="35"/>
  <c r="AT129" i="35"/>
  <c r="AV129" i="35"/>
  <c r="AW129" i="35"/>
  <c r="AX129" i="35"/>
  <c r="AY129" i="35"/>
  <c r="AZ129" i="35"/>
  <c r="BA129" i="35"/>
  <c r="BB129" i="35"/>
  <c r="BC129" i="35"/>
  <c r="BD129" i="35"/>
  <c r="BE129" i="35"/>
  <c r="BG129" i="35"/>
  <c r="BH129" i="35"/>
  <c r="BI129" i="35"/>
  <c r="BJ129" i="35"/>
  <c r="BK129" i="35"/>
  <c r="BL129" i="35"/>
  <c r="BM129" i="35"/>
  <c r="BN129" i="35"/>
  <c r="BO129" i="35"/>
  <c r="BP129" i="35"/>
  <c r="BR129" i="35"/>
  <c r="BS129" i="35"/>
  <c r="BT129" i="35"/>
  <c r="BU129" i="35"/>
  <c r="BV129" i="35"/>
  <c r="BW129" i="35"/>
  <c r="BX129" i="35"/>
  <c r="BY129" i="35"/>
  <c r="BZ129" i="35"/>
  <c r="CA129" i="35"/>
  <c r="A130" i="35"/>
  <c r="B130" i="35"/>
  <c r="C130" i="35"/>
  <c r="D130" i="35"/>
  <c r="E130" i="35"/>
  <c r="F130" i="35"/>
  <c r="G130" i="35"/>
  <c r="H130" i="35"/>
  <c r="J130" i="35"/>
  <c r="K130" i="35"/>
  <c r="L130" i="35"/>
  <c r="M130" i="35"/>
  <c r="N130" i="35"/>
  <c r="P130" i="35"/>
  <c r="Q130" i="35"/>
  <c r="R130" i="35"/>
  <c r="S130" i="35"/>
  <c r="T130" i="35"/>
  <c r="V130" i="35"/>
  <c r="W130" i="35"/>
  <c r="X130" i="35"/>
  <c r="Y130" i="35"/>
  <c r="Z130" i="35"/>
  <c r="AC130" i="35"/>
  <c r="AD130" i="35"/>
  <c r="AE130" i="35"/>
  <c r="AF130" i="35"/>
  <c r="AK130" i="35"/>
  <c r="AL130" i="35"/>
  <c r="AM130" i="35"/>
  <c r="AN130" i="35"/>
  <c r="AO130" i="35"/>
  <c r="AP130" i="35"/>
  <c r="AQ130" i="35"/>
  <c r="AR130" i="35"/>
  <c r="AS130" i="35"/>
  <c r="AT130" i="35"/>
  <c r="AV130" i="35"/>
  <c r="AW130" i="35"/>
  <c r="AX130" i="35"/>
  <c r="AY130" i="35"/>
  <c r="AZ130" i="35"/>
  <c r="BA130" i="35"/>
  <c r="BB130" i="35"/>
  <c r="BC130" i="35"/>
  <c r="BD130" i="35"/>
  <c r="BE130" i="35"/>
  <c r="BG130" i="35"/>
  <c r="BH130" i="35"/>
  <c r="BI130" i="35"/>
  <c r="BJ130" i="35"/>
  <c r="BK130" i="35"/>
  <c r="BL130" i="35"/>
  <c r="BM130" i="35"/>
  <c r="BN130" i="35"/>
  <c r="BO130" i="35"/>
  <c r="BP130" i="35"/>
  <c r="BR130" i="35"/>
  <c r="BS130" i="35"/>
  <c r="BT130" i="35"/>
  <c r="BU130" i="35"/>
  <c r="BV130" i="35"/>
  <c r="BW130" i="35"/>
  <c r="BX130" i="35"/>
  <c r="BY130" i="35"/>
  <c r="BZ130" i="35"/>
  <c r="CA130" i="35"/>
  <c r="A131" i="35"/>
  <c r="B131" i="35"/>
  <c r="C131" i="35"/>
  <c r="D131" i="35"/>
  <c r="E131" i="35"/>
  <c r="F131" i="35"/>
  <c r="G131" i="35"/>
  <c r="H131" i="35"/>
  <c r="J131" i="35"/>
  <c r="K131" i="35"/>
  <c r="L131" i="35"/>
  <c r="M131" i="35"/>
  <c r="N131" i="35"/>
  <c r="P131" i="35"/>
  <c r="Q131" i="35"/>
  <c r="R131" i="35"/>
  <c r="S131" i="35"/>
  <c r="T131" i="35"/>
  <c r="V131" i="35"/>
  <c r="W131" i="35"/>
  <c r="X131" i="35"/>
  <c r="Y131" i="35"/>
  <c r="Z131" i="35"/>
  <c r="AC131" i="35"/>
  <c r="AD131" i="35"/>
  <c r="AE131" i="35"/>
  <c r="AF131" i="35"/>
  <c r="AK131" i="35"/>
  <c r="AL131" i="35"/>
  <c r="AM131" i="35"/>
  <c r="AN131" i="35"/>
  <c r="AO131" i="35"/>
  <c r="AP131" i="35"/>
  <c r="AQ131" i="35"/>
  <c r="AR131" i="35"/>
  <c r="AS131" i="35"/>
  <c r="AT131" i="35"/>
  <c r="AV131" i="35"/>
  <c r="AW131" i="35"/>
  <c r="AX131" i="35"/>
  <c r="AY131" i="35"/>
  <c r="AZ131" i="35"/>
  <c r="BA131" i="35"/>
  <c r="BB131" i="35"/>
  <c r="BC131" i="35"/>
  <c r="BD131" i="35"/>
  <c r="BE131" i="35"/>
  <c r="BG131" i="35"/>
  <c r="BH131" i="35"/>
  <c r="BI131" i="35"/>
  <c r="BJ131" i="35"/>
  <c r="BK131" i="35"/>
  <c r="BL131" i="35"/>
  <c r="BM131" i="35"/>
  <c r="BN131" i="35"/>
  <c r="BO131" i="35"/>
  <c r="BP131" i="35"/>
  <c r="BR131" i="35"/>
  <c r="BS131" i="35"/>
  <c r="BT131" i="35"/>
  <c r="BU131" i="35"/>
  <c r="BV131" i="35"/>
  <c r="BW131" i="35"/>
  <c r="BX131" i="35"/>
  <c r="BY131" i="35"/>
  <c r="BZ131" i="35"/>
  <c r="CA131" i="35"/>
  <c r="A132" i="35"/>
  <c r="B132" i="35"/>
  <c r="C132" i="35"/>
  <c r="D132" i="35"/>
  <c r="E132" i="35"/>
  <c r="F132" i="35"/>
  <c r="G132" i="35"/>
  <c r="H132" i="35"/>
  <c r="J132" i="35"/>
  <c r="K132" i="35"/>
  <c r="L132" i="35"/>
  <c r="M132" i="35"/>
  <c r="N132" i="35"/>
  <c r="P132" i="35"/>
  <c r="Q132" i="35"/>
  <c r="R132" i="35"/>
  <c r="S132" i="35"/>
  <c r="T132" i="35"/>
  <c r="V132" i="35"/>
  <c r="W132" i="35"/>
  <c r="X132" i="35"/>
  <c r="Y132" i="35"/>
  <c r="Z132" i="35"/>
  <c r="AC132" i="35"/>
  <c r="AD132" i="35"/>
  <c r="AE132" i="35"/>
  <c r="AF132" i="35"/>
  <c r="AK132" i="35"/>
  <c r="AL132" i="35"/>
  <c r="AM132" i="35"/>
  <c r="AN132" i="35"/>
  <c r="AO132" i="35"/>
  <c r="AP132" i="35"/>
  <c r="AQ132" i="35"/>
  <c r="AR132" i="35"/>
  <c r="AS132" i="35"/>
  <c r="AT132" i="35"/>
  <c r="AV132" i="35"/>
  <c r="AW132" i="35"/>
  <c r="AX132" i="35"/>
  <c r="AY132" i="35"/>
  <c r="AZ132" i="35"/>
  <c r="BA132" i="35"/>
  <c r="BB132" i="35"/>
  <c r="BC132" i="35"/>
  <c r="BD132" i="35"/>
  <c r="BE132" i="35"/>
  <c r="BG132" i="35"/>
  <c r="BH132" i="35"/>
  <c r="BI132" i="35"/>
  <c r="BJ132" i="35"/>
  <c r="BK132" i="35"/>
  <c r="BL132" i="35"/>
  <c r="BM132" i="35"/>
  <c r="BN132" i="35"/>
  <c r="BO132" i="35"/>
  <c r="BP132" i="35"/>
  <c r="BR132" i="35"/>
  <c r="BS132" i="35"/>
  <c r="BT132" i="35"/>
  <c r="BU132" i="35"/>
  <c r="BV132" i="35"/>
  <c r="BW132" i="35"/>
  <c r="BX132" i="35"/>
  <c r="BY132" i="35"/>
  <c r="BZ132" i="35"/>
  <c r="CA132" i="35"/>
  <c r="A133" i="35"/>
  <c r="B133" i="35"/>
  <c r="C133" i="35"/>
  <c r="D133" i="35"/>
  <c r="E133" i="35"/>
  <c r="F133" i="35"/>
  <c r="G133" i="35"/>
  <c r="H133" i="35"/>
  <c r="J133" i="35"/>
  <c r="K133" i="35"/>
  <c r="L133" i="35"/>
  <c r="M133" i="35"/>
  <c r="N133" i="35"/>
  <c r="P133" i="35"/>
  <c r="Q133" i="35"/>
  <c r="R133" i="35"/>
  <c r="S133" i="35"/>
  <c r="T133" i="35"/>
  <c r="V133" i="35"/>
  <c r="W133" i="35"/>
  <c r="X133" i="35"/>
  <c r="Y133" i="35"/>
  <c r="Z133" i="35"/>
  <c r="AC133" i="35"/>
  <c r="AD133" i="35"/>
  <c r="AE133" i="35"/>
  <c r="AF133" i="35"/>
  <c r="AK133" i="35"/>
  <c r="AL133" i="35"/>
  <c r="AM133" i="35"/>
  <c r="AN133" i="35"/>
  <c r="AO133" i="35"/>
  <c r="AP133" i="35"/>
  <c r="AQ133" i="35"/>
  <c r="AR133" i="35"/>
  <c r="AS133" i="35"/>
  <c r="AT133" i="35"/>
  <c r="AV133" i="35"/>
  <c r="AW133" i="35"/>
  <c r="AX133" i="35"/>
  <c r="AY133" i="35"/>
  <c r="AZ133" i="35"/>
  <c r="BA133" i="35"/>
  <c r="BB133" i="35"/>
  <c r="BC133" i="35"/>
  <c r="BD133" i="35"/>
  <c r="BE133" i="35"/>
  <c r="BG133" i="35"/>
  <c r="BH133" i="35"/>
  <c r="BI133" i="35"/>
  <c r="BJ133" i="35"/>
  <c r="BK133" i="35"/>
  <c r="BL133" i="35"/>
  <c r="BM133" i="35"/>
  <c r="BN133" i="35"/>
  <c r="BO133" i="35"/>
  <c r="BP133" i="35"/>
  <c r="BR133" i="35"/>
  <c r="BS133" i="35"/>
  <c r="BT133" i="35"/>
  <c r="BU133" i="35"/>
  <c r="BV133" i="35"/>
  <c r="BW133" i="35"/>
  <c r="BX133" i="35"/>
  <c r="BY133" i="35"/>
  <c r="BZ133" i="35"/>
  <c r="CA133" i="35"/>
  <c r="A134" i="35"/>
  <c r="B134" i="35"/>
  <c r="C134" i="35"/>
  <c r="D134" i="35"/>
  <c r="E134" i="35"/>
  <c r="F134" i="35"/>
  <c r="G134" i="35"/>
  <c r="H134" i="35"/>
  <c r="J134" i="35"/>
  <c r="K134" i="35"/>
  <c r="L134" i="35"/>
  <c r="M134" i="35"/>
  <c r="N134" i="35"/>
  <c r="P134" i="35"/>
  <c r="Q134" i="35"/>
  <c r="R134" i="35"/>
  <c r="S134" i="35"/>
  <c r="T134" i="35"/>
  <c r="V134" i="35"/>
  <c r="W134" i="35"/>
  <c r="X134" i="35"/>
  <c r="Y134" i="35"/>
  <c r="Z134" i="35"/>
  <c r="AC134" i="35"/>
  <c r="AD134" i="35"/>
  <c r="AE134" i="35"/>
  <c r="AF134" i="35"/>
  <c r="AK134" i="35"/>
  <c r="AL134" i="35"/>
  <c r="AM134" i="35"/>
  <c r="AN134" i="35"/>
  <c r="AO134" i="35"/>
  <c r="AP134" i="35"/>
  <c r="AQ134" i="35"/>
  <c r="AR134" i="35"/>
  <c r="AS134" i="35"/>
  <c r="AT134" i="35"/>
  <c r="AV134" i="35"/>
  <c r="AW134" i="35"/>
  <c r="AX134" i="35"/>
  <c r="AY134" i="35"/>
  <c r="AZ134" i="35"/>
  <c r="BA134" i="35"/>
  <c r="BB134" i="35"/>
  <c r="BC134" i="35"/>
  <c r="BD134" i="35"/>
  <c r="BE134" i="35"/>
  <c r="BG134" i="35"/>
  <c r="BH134" i="35"/>
  <c r="BI134" i="35"/>
  <c r="BJ134" i="35"/>
  <c r="BK134" i="35"/>
  <c r="BL134" i="35"/>
  <c r="BM134" i="35"/>
  <c r="BN134" i="35"/>
  <c r="BO134" i="35"/>
  <c r="BP134" i="35"/>
  <c r="BR134" i="35"/>
  <c r="BS134" i="35"/>
  <c r="BT134" i="35"/>
  <c r="BU134" i="35"/>
  <c r="BV134" i="35"/>
  <c r="BW134" i="35"/>
  <c r="BX134" i="35"/>
  <c r="BY134" i="35"/>
  <c r="BZ134" i="35"/>
  <c r="CA134" i="35"/>
  <c r="A135" i="35"/>
  <c r="B135" i="35"/>
  <c r="C135" i="35"/>
  <c r="D135" i="35"/>
  <c r="E135" i="35"/>
  <c r="F135" i="35"/>
  <c r="G135" i="35"/>
  <c r="H135" i="35"/>
  <c r="J135" i="35"/>
  <c r="K135" i="35"/>
  <c r="L135" i="35"/>
  <c r="M135" i="35"/>
  <c r="N135" i="35"/>
  <c r="P135" i="35"/>
  <c r="Q135" i="35"/>
  <c r="R135" i="35"/>
  <c r="S135" i="35"/>
  <c r="T135" i="35"/>
  <c r="V135" i="35"/>
  <c r="W135" i="35"/>
  <c r="X135" i="35"/>
  <c r="Y135" i="35"/>
  <c r="Z135" i="35"/>
  <c r="AC135" i="35"/>
  <c r="AD135" i="35"/>
  <c r="AE135" i="35"/>
  <c r="AF135" i="35"/>
  <c r="AK135" i="35"/>
  <c r="AL135" i="35"/>
  <c r="AM135" i="35"/>
  <c r="AN135" i="35"/>
  <c r="AO135" i="35"/>
  <c r="AP135" i="35"/>
  <c r="AQ135" i="35"/>
  <c r="AR135" i="35"/>
  <c r="AS135" i="35"/>
  <c r="AT135" i="35"/>
  <c r="AV135" i="35"/>
  <c r="AW135" i="35"/>
  <c r="AX135" i="35"/>
  <c r="AY135" i="35"/>
  <c r="AZ135" i="35"/>
  <c r="BA135" i="35"/>
  <c r="BB135" i="35"/>
  <c r="BC135" i="35"/>
  <c r="BD135" i="35"/>
  <c r="BE135" i="35"/>
  <c r="BG135" i="35"/>
  <c r="BH135" i="35"/>
  <c r="BI135" i="35"/>
  <c r="BJ135" i="35"/>
  <c r="BK135" i="35"/>
  <c r="BL135" i="35"/>
  <c r="BM135" i="35"/>
  <c r="BN135" i="35"/>
  <c r="BO135" i="35"/>
  <c r="BP135" i="35"/>
  <c r="BR135" i="35"/>
  <c r="BS135" i="35"/>
  <c r="BT135" i="35"/>
  <c r="BU135" i="35"/>
  <c r="BV135" i="35"/>
  <c r="BW135" i="35"/>
  <c r="BX135" i="35"/>
  <c r="BY135" i="35"/>
  <c r="BZ135" i="35"/>
  <c r="CA135" i="35"/>
  <c r="A136" i="35"/>
  <c r="B136" i="35"/>
  <c r="C136" i="35"/>
  <c r="D136" i="35"/>
  <c r="E136" i="35"/>
  <c r="F136" i="35"/>
  <c r="G136" i="35"/>
  <c r="H136" i="35"/>
  <c r="J136" i="35"/>
  <c r="K136" i="35"/>
  <c r="L136" i="35"/>
  <c r="M136" i="35"/>
  <c r="N136" i="35"/>
  <c r="P136" i="35"/>
  <c r="Q136" i="35"/>
  <c r="R136" i="35"/>
  <c r="S136" i="35"/>
  <c r="T136" i="35"/>
  <c r="V136" i="35"/>
  <c r="W136" i="35"/>
  <c r="X136" i="35"/>
  <c r="Y136" i="35"/>
  <c r="Z136" i="35"/>
  <c r="AC136" i="35"/>
  <c r="AD136" i="35"/>
  <c r="AE136" i="35"/>
  <c r="AF136" i="35"/>
  <c r="AK136" i="35"/>
  <c r="AL136" i="35"/>
  <c r="AM136" i="35"/>
  <c r="AN136" i="35"/>
  <c r="AO136" i="35"/>
  <c r="AP136" i="35"/>
  <c r="AQ136" i="35"/>
  <c r="AR136" i="35"/>
  <c r="AS136" i="35"/>
  <c r="AT136" i="35"/>
  <c r="AV136" i="35"/>
  <c r="AW136" i="35"/>
  <c r="AX136" i="35"/>
  <c r="AY136" i="35"/>
  <c r="AZ136" i="35"/>
  <c r="BA136" i="35"/>
  <c r="BB136" i="35"/>
  <c r="BC136" i="35"/>
  <c r="BD136" i="35"/>
  <c r="BE136" i="35"/>
  <c r="BG136" i="35"/>
  <c r="BH136" i="35"/>
  <c r="BI136" i="35"/>
  <c r="BJ136" i="35"/>
  <c r="BK136" i="35"/>
  <c r="BL136" i="35"/>
  <c r="BM136" i="35"/>
  <c r="BN136" i="35"/>
  <c r="BO136" i="35"/>
  <c r="BP136" i="35"/>
  <c r="BR136" i="35"/>
  <c r="BS136" i="35"/>
  <c r="BT136" i="35"/>
  <c r="BU136" i="35"/>
  <c r="BV136" i="35"/>
  <c r="BW136" i="35"/>
  <c r="BX136" i="35"/>
  <c r="BY136" i="35"/>
  <c r="BZ136" i="35"/>
  <c r="CA136" i="35"/>
  <c r="A137" i="35"/>
  <c r="B137" i="35"/>
  <c r="C137" i="35"/>
  <c r="D137" i="35"/>
  <c r="E137" i="35"/>
  <c r="F137" i="35"/>
  <c r="G137" i="35"/>
  <c r="H137" i="35"/>
  <c r="J137" i="35"/>
  <c r="K137" i="35"/>
  <c r="L137" i="35"/>
  <c r="M137" i="35"/>
  <c r="N137" i="35"/>
  <c r="P137" i="35"/>
  <c r="Q137" i="35"/>
  <c r="R137" i="35"/>
  <c r="S137" i="35"/>
  <c r="T137" i="35"/>
  <c r="V137" i="35"/>
  <c r="W137" i="35"/>
  <c r="X137" i="35"/>
  <c r="Y137" i="35"/>
  <c r="Z137" i="35"/>
  <c r="AC137" i="35"/>
  <c r="AD137" i="35"/>
  <c r="AE137" i="35"/>
  <c r="AF137" i="35"/>
  <c r="AK137" i="35"/>
  <c r="AL137" i="35"/>
  <c r="AM137" i="35"/>
  <c r="AN137" i="35"/>
  <c r="AO137" i="35"/>
  <c r="AP137" i="35"/>
  <c r="AQ137" i="35"/>
  <c r="AR137" i="35"/>
  <c r="AS137" i="35"/>
  <c r="AT137" i="35"/>
  <c r="AV137" i="35"/>
  <c r="AW137" i="35"/>
  <c r="AX137" i="35"/>
  <c r="AY137" i="35"/>
  <c r="AZ137" i="35"/>
  <c r="BA137" i="35"/>
  <c r="BB137" i="35"/>
  <c r="BC137" i="35"/>
  <c r="BD137" i="35"/>
  <c r="BE137" i="35"/>
  <c r="BG137" i="35"/>
  <c r="BH137" i="35"/>
  <c r="BI137" i="35"/>
  <c r="BJ137" i="35"/>
  <c r="BK137" i="35"/>
  <c r="BL137" i="35"/>
  <c r="BM137" i="35"/>
  <c r="BN137" i="35"/>
  <c r="BO137" i="35"/>
  <c r="BP137" i="35"/>
  <c r="BR137" i="35"/>
  <c r="BS137" i="35"/>
  <c r="BT137" i="35"/>
  <c r="BU137" i="35"/>
  <c r="BV137" i="35"/>
  <c r="BW137" i="35"/>
  <c r="BX137" i="35"/>
  <c r="BY137" i="35"/>
  <c r="BZ137" i="35"/>
  <c r="CA137" i="35"/>
  <c r="A138" i="35"/>
  <c r="B138" i="35"/>
  <c r="C138" i="35"/>
  <c r="D138" i="35"/>
  <c r="E138" i="35"/>
  <c r="F138" i="35"/>
  <c r="G138" i="35"/>
  <c r="H138" i="35"/>
  <c r="J138" i="35"/>
  <c r="K138" i="35"/>
  <c r="L138" i="35"/>
  <c r="M138" i="35"/>
  <c r="N138" i="35"/>
  <c r="P138" i="35"/>
  <c r="Q138" i="35"/>
  <c r="R138" i="35"/>
  <c r="S138" i="35"/>
  <c r="T138" i="35"/>
  <c r="V138" i="35"/>
  <c r="W138" i="35"/>
  <c r="X138" i="35"/>
  <c r="Y138" i="35"/>
  <c r="Z138" i="35"/>
  <c r="AC138" i="35"/>
  <c r="AD138" i="35"/>
  <c r="AE138" i="35"/>
  <c r="AF138" i="35"/>
  <c r="AK138" i="35"/>
  <c r="AL138" i="35"/>
  <c r="AM138" i="35"/>
  <c r="AN138" i="35"/>
  <c r="AO138" i="35"/>
  <c r="AP138" i="35"/>
  <c r="AQ138" i="35"/>
  <c r="AR138" i="35"/>
  <c r="AS138" i="35"/>
  <c r="AT138" i="35"/>
  <c r="AV138" i="35"/>
  <c r="AW138" i="35"/>
  <c r="AX138" i="35"/>
  <c r="AY138" i="35"/>
  <c r="AZ138" i="35"/>
  <c r="BA138" i="35"/>
  <c r="BB138" i="35"/>
  <c r="BC138" i="35"/>
  <c r="BD138" i="35"/>
  <c r="BE138" i="35"/>
  <c r="BG138" i="35"/>
  <c r="BH138" i="35"/>
  <c r="BI138" i="35"/>
  <c r="BJ138" i="35"/>
  <c r="BK138" i="35"/>
  <c r="BL138" i="35"/>
  <c r="BM138" i="35"/>
  <c r="BN138" i="35"/>
  <c r="BO138" i="35"/>
  <c r="BP138" i="35"/>
  <c r="BR138" i="35"/>
  <c r="BS138" i="35"/>
  <c r="BT138" i="35"/>
  <c r="BU138" i="35"/>
  <c r="BV138" i="35"/>
  <c r="BW138" i="35"/>
  <c r="BX138" i="35"/>
  <c r="BY138" i="35"/>
  <c r="BZ138" i="35"/>
  <c r="CA138" i="35"/>
  <c r="A139" i="35"/>
  <c r="B139" i="35"/>
  <c r="C139" i="35"/>
  <c r="D139" i="35"/>
  <c r="E139" i="35"/>
  <c r="F139" i="35"/>
  <c r="G139" i="35"/>
  <c r="H139" i="35"/>
  <c r="J139" i="35"/>
  <c r="K139" i="35"/>
  <c r="L139" i="35"/>
  <c r="M139" i="35"/>
  <c r="N139" i="35"/>
  <c r="P139" i="35"/>
  <c r="Q139" i="35"/>
  <c r="R139" i="35"/>
  <c r="S139" i="35"/>
  <c r="T139" i="35"/>
  <c r="V139" i="35"/>
  <c r="W139" i="35"/>
  <c r="X139" i="35"/>
  <c r="Y139" i="35"/>
  <c r="Z139" i="35"/>
  <c r="AC139" i="35"/>
  <c r="AD139" i="35"/>
  <c r="AE139" i="35"/>
  <c r="AF139" i="35"/>
  <c r="AK139" i="35"/>
  <c r="AL139" i="35"/>
  <c r="AM139" i="35"/>
  <c r="AN139" i="35"/>
  <c r="AO139" i="35"/>
  <c r="AP139" i="35"/>
  <c r="AQ139" i="35"/>
  <c r="AR139" i="35"/>
  <c r="AS139" i="35"/>
  <c r="AT139" i="35"/>
  <c r="AV139" i="35"/>
  <c r="AW139" i="35"/>
  <c r="AX139" i="35"/>
  <c r="AY139" i="35"/>
  <c r="AZ139" i="35"/>
  <c r="BA139" i="35"/>
  <c r="BB139" i="35"/>
  <c r="BC139" i="35"/>
  <c r="BD139" i="35"/>
  <c r="BE139" i="35"/>
  <c r="BG139" i="35"/>
  <c r="BH139" i="35"/>
  <c r="BI139" i="35"/>
  <c r="BJ139" i="35"/>
  <c r="BK139" i="35"/>
  <c r="BL139" i="35"/>
  <c r="BM139" i="35"/>
  <c r="BN139" i="35"/>
  <c r="BO139" i="35"/>
  <c r="BP139" i="35"/>
  <c r="BR139" i="35"/>
  <c r="BS139" i="35"/>
  <c r="BT139" i="35"/>
  <c r="BU139" i="35"/>
  <c r="BV139" i="35"/>
  <c r="BW139" i="35"/>
  <c r="BX139" i="35"/>
  <c r="BY139" i="35"/>
  <c r="BZ139" i="35"/>
  <c r="CA139" i="35"/>
  <c r="A140" i="35"/>
  <c r="B140" i="35"/>
  <c r="C140" i="35"/>
  <c r="D140" i="35"/>
  <c r="E140" i="35"/>
  <c r="F140" i="35"/>
  <c r="G140" i="35"/>
  <c r="H140" i="35"/>
  <c r="J140" i="35"/>
  <c r="K140" i="35"/>
  <c r="L140" i="35"/>
  <c r="M140" i="35"/>
  <c r="N140" i="35"/>
  <c r="P140" i="35"/>
  <c r="Q140" i="35"/>
  <c r="R140" i="35"/>
  <c r="S140" i="35"/>
  <c r="T140" i="35"/>
  <c r="V140" i="35"/>
  <c r="W140" i="35"/>
  <c r="X140" i="35"/>
  <c r="Y140" i="35"/>
  <c r="Z140" i="35"/>
  <c r="AC140" i="35"/>
  <c r="AD140" i="35"/>
  <c r="AE140" i="35"/>
  <c r="AF140" i="35"/>
  <c r="AK140" i="35"/>
  <c r="AL140" i="35"/>
  <c r="AM140" i="35"/>
  <c r="AN140" i="35"/>
  <c r="AO140" i="35"/>
  <c r="AP140" i="35"/>
  <c r="AQ140" i="35"/>
  <c r="AR140" i="35"/>
  <c r="AS140" i="35"/>
  <c r="AT140" i="35"/>
  <c r="AV140" i="35"/>
  <c r="AW140" i="35"/>
  <c r="AX140" i="35"/>
  <c r="AY140" i="35"/>
  <c r="AZ140" i="35"/>
  <c r="BA140" i="35"/>
  <c r="BB140" i="35"/>
  <c r="BC140" i="35"/>
  <c r="BD140" i="35"/>
  <c r="BE140" i="35"/>
  <c r="BG140" i="35"/>
  <c r="BH140" i="35"/>
  <c r="BI140" i="35"/>
  <c r="BJ140" i="35"/>
  <c r="BK140" i="35"/>
  <c r="BL140" i="35"/>
  <c r="BM140" i="35"/>
  <c r="BN140" i="35"/>
  <c r="BO140" i="35"/>
  <c r="BP140" i="35"/>
  <c r="BR140" i="35"/>
  <c r="BS140" i="35"/>
  <c r="BT140" i="35"/>
  <c r="BU140" i="35"/>
  <c r="BV140" i="35"/>
  <c r="BW140" i="35"/>
  <c r="BX140" i="35"/>
  <c r="BY140" i="35"/>
  <c r="BZ140" i="35"/>
  <c r="CA140" i="35"/>
  <c r="A141" i="35"/>
  <c r="B141" i="35"/>
  <c r="C141" i="35"/>
  <c r="D141" i="35"/>
  <c r="E141" i="35"/>
  <c r="F141" i="35"/>
  <c r="G141" i="35"/>
  <c r="H141" i="35"/>
  <c r="J141" i="35"/>
  <c r="K141" i="35"/>
  <c r="L141" i="35"/>
  <c r="M141" i="35"/>
  <c r="N141" i="35"/>
  <c r="P141" i="35"/>
  <c r="Q141" i="35"/>
  <c r="R141" i="35"/>
  <c r="S141" i="35"/>
  <c r="T141" i="35"/>
  <c r="V141" i="35"/>
  <c r="W141" i="35"/>
  <c r="X141" i="35"/>
  <c r="Y141" i="35"/>
  <c r="Z141" i="35"/>
  <c r="AC141" i="35"/>
  <c r="AD141" i="35"/>
  <c r="AE141" i="35"/>
  <c r="AF141" i="35"/>
  <c r="AK141" i="35"/>
  <c r="AL141" i="35"/>
  <c r="AM141" i="35"/>
  <c r="AN141" i="35"/>
  <c r="AO141" i="35"/>
  <c r="AP141" i="35"/>
  <c r="AQ141" i="35"/>
  <c r="AR141" i="35"/>
  <c r="AS141" i="35"/>
  <c r="AT141" i="35"/>
  <c r="AV141" i="35"/>
  <c r="AW141" i="35"/>
  <c r="AX141" i="35"/>
  <c r="AY141" i="35"/>
  <c r="AZ141" i="35"/>
  <c r="BA141" i="35"/>
  <c r="BB141" i="35"/>
  <c r="BC141" i="35"/>
  <c r="BD141" i="35"/>
  <c r="BE141" i="35"/>
  <c r="BG141" i="35"/>
  <c r="BH141" i="35"/>
  <c r="BI141" i="35"/>
  <c r="BJ141" i="35"/>
  <c r="BK141" i="35"/>
  <c r="BL141" i="35"/>
  <c r="BM141" i="35"/>
  <c r="BN141" i="35"/>
  <c r="BO141" i="35"/>
  <c r="BP141" i="35"/>
  <c r="BR141" i="35"/>
  <c r="BS141" i="35"/>
  <c r="BT141" i="35"/>
  <c r="BU141" i="35"/>
  <c r="BV141" i="35"/>
  <c r="BW141" i="35"/>
  <c r="BX141" i="35"/>
  <c r="BY141" i="35"/>
  <c r="BZ141" i="35"/>
  <c r="CA141" i="35"/>
  <c r="A142" i="35"/>
  <c r="B142" i="35"/>
  <c r="C142" i="35"/>
  <c r="D142" i="35"/>
  <c r="E142" i="35"/>
  <c r="F142" i="35"/>
  <c r="G142" i="35"/>
  <c r="H142" i="35"/>
  <c r="J142" i="35"/>
  <c r="K142" i="35"/>
  <c r="L142" i="35"/>
  <c r="M142" i="35"/>
  <c r="N142" i="35"/>
  <c r="P142" i="35"/>
  <c r="Q142" i="35"/>
  <c r="R142" i="35"/>
  <c r="S142" i="35"/>
  <c r="T142" i="35"/>
  <c r="V142" i="35"/>
  <c r="W142" i="35"/>
  <c r="X142" i="35"/>
  <c r="Y142" i="35"/>
  <c r="Z142" i="35"/>
  <c r="AC142" i="35"/>
  <c r="AD142" i="35"/>
  <c r="AE142" i="35"/>
  <c r="AF142" i="35"/>
  <c r="AK142" i="35"/>
  <c r="AL142" i="35"/>
  <c r="AM142" i="35"/>
  <c r="AN142" i="35"/>
  <c r="AO142" i="35"/>
  <c r="AP142" i="35"/>
  <c r="AQ142" i="35"/>
  <c r="AR142" i="35"/>
  <c r="AS142" i="35"/>
  <c r="AT142" i="35"/>
  <c r="AV142" i="35"/>
  <c r="AW142" i="35"/>
  <c r="AX142" i="35"/>
  <c r="AY142" i="35"/>
  <c r="AZ142" i="35"/>
  <c r="BA142" i="35"/>
  <c r="BB142" i="35"/>
  <c r="BC142" i="35"/>
  <c r="BD142" i="35"/>
  <c r="BE142" i="35"/>
  <c r="BG142" i="35"/>
  <c r="BH142" i="35"/>
  <c r="BI142" i="35"/>
  <c r="BJ142" i="35"/>
  <c r="BK142" i="35"/>
  <c r="BL142" i="35"/>
  <c r="BM142" i="35"/>
  <c r="BN142" i="35"/>
  <c r="BO142" i="35"/>
  <c r="BP142" i="35"/>
  <c r="BR142" i="35"/>
  <c r="BS142" i="35"/>
  <c r="BT142" i="35"/>
  <c r="BU142" i="35"/>
  <c r="BV142" i="35"/>
  <c r="BW142" i="35"/>
  <c r="BX142" i="35"/>
  <c r="BY142" i="35"/>
  <c r="BZ142" i="35"/>
  <c r="CA142" i="35"/>
  <c r="A143" i="35"/>
  <c r="B143" i="35"/>
  <c r="C143" i="35"/>
  <c r="D143" i="35"/>
  <c r="E143" i="35"/>
  <c r="F143" i="35"/>
  <c r="G143" i="35"/>
  <c r="H143" i="35"/>
  <c r="J143" i="35"/>
  <c r="K143" i="35"/>
  <c r="L143" i="35"/>
  <c r="M143" i="35"/>
  <c r="N143" i="35"/>
  <c r="P143" i="35"/>
  <c r="Q143" i="35"/>
  <c r="R143" i="35"/>
  <c r="S143" i="35"/>
  <c r="T143" i="35"/>
  <c r="V143" i="35"/>
  <c r="W143" i="35"/>
  <c r="X143" i="35"/>
  <c r="Y143" i="35"/>
  <c r="Z143" i="35"/>
  <c r="AC143" i="35"/>
  <c r="AD143" i="35"/>
  <c r="AE143" i="35"/>
  <c r="AF143" i="35"/>
  <c r="AK143" i="35"/>
  <c r="AL143" i="35"/>
  <c r="AM143" i="35"/>
  <c r="AN143" i="35"/>
  <c r="AO143" i="35"/>
  <c r="AP143" i="35"/>
  <c r="AQ143" i="35"/>
  <c r="AR143" i="35"/>
  <c r="AS143" i="35"/>
  <c r="AT143" i="35"/>
  <c r="AV143" i="35"/>
  <c r="AW143" i="35"/>
  <c r="AX143" i="35"/>
  <c r="AY143" i="35"/>
  <c r="AZ143" i="35"/>
  <c r="BA143" i="35"/>
  <c r="BB143" i="35"/>
  <c r="BC143" i="35"/>
  <c r="BD143" i="35"/>
  <c r="BE143" i="35"/>
  <c r="BG143" i="35"/>
  <c r="BH143" i="35"/>
  <c r="BI143" i="35"/>
  <c r="BJ143" i="35"/>
  <c r="BK143" i="35"/>
  <c r="BL143" i="35"/>
  <c r="BM143" i="35"/>
  <c r="BN143" i="35"/>
  <c r="BO143" i="35"/>
  <c r="BP143" i="35"/>
  <c r="BR143" i="35"/>
  <c r="BS143" i="35"/>
  <c r="BT143" i="35"/>
  <c r="BU143" i="35"/>
  <c r="BV143" i="35"/>
  <c r="BW143" i="35"/>
  <c r="BX143" i="35"/>
  <c r="BY143" i="35"/>
  <c r="BZ143" i="35"/>
  <c r="CA143" i="35"/>
  <c r="A144" i="35"/>
  <c r="B144" i="35"/>
  <c r="C144" i="35"/>
  <c r="D144" i="35"/>
  <c r="E144" i="35"/>
  <c r="F144" i="35"/>
  <c r="G144" i="35"/>
  <c r="H144" i="35"/>
  <c r="J144" i="35"/>
  <c r="K144" i="35"/>
  <c r="L144" i="35"/>
  <c r="M144" i="35"/>
  <c r="N144" i="35"/>
  <c r="P144" i="35"/>
  <c r="Q144" i="35"/>
  <c r="R144" i="35"/>
  <c r="S144" i="35"/>
  <c r="T144" i="35"/>
  <c r="V144" i="35"/>
  <c r="W144" i="35"/>
  <c r="X144" i="35"/>
  <c r="Y144" i="35"/>
  <c r="Z144" i="35"/>
  <c r="AC144" i="35"/>
  <c r="AD144" i="35"/>
  <c r="AE144" i="35"/>
  <c r="AF144" i="35"/>
  <c r="AK144" i="35"/>
  <c r="AL144" i="35"/>
  <c r="AM144" i="35"/>
  <c r="AN144" i="35"/>
  <c r="AO144" i="35"/>
  <c r="AP144" i="35"/>
  <c r="AQ144" i="35"/>
  <c r="AR144" i="35"/>
  <c r="AS144" i="35"/>
  <c r="AT144" i="35"/>
  <c r="AV144" i="35"/>
  <c r="AW144" i="35"/>
  <c r="AX144" i="35"/>
  <c r="AY144" i="35"/>
  <c r="AZ144" i="35"/>
  <c r="BA144" i="35"/>
  <c r="BB144" i="35"/>
  <c r="BC144" i="35"/>
  <c r="BD144" i="35"/>
  <c r="BE144" i="35"/>
  <c r="BG144" i="35"/>
  <c r="BH144" i="35"/>
  <c r="BI144" i="35"/>
  <c r="BJ144" i="35"/>
  <c r="BK144" i="35"/>
  <c r="BL144" i="35"/>
  <c r="BM144" i="35"/>
  <c r="BN144" i="35"/>
  <c r="BO144" i="35"/>
  <c r="BP144" i="35"/>
  <c r="BR144" i="35"/>
  <c r="BS144" i="35"/>
  <c r="BT144" i="35"/>
  <c r="BU144" i="35"/>
  <c r="BV144" i="35"/>
  <c r="BW144" i="35"/>
  <c r="BX144" i="35"/>
  <c r="BY144" i="35"/>
  <c r="BZ144" i="35"/>
  <c r="CA144" i="35"/>
  <c r="A145" i="35"/>
  <c r="B145" i="35"/>
  <c r="C145" i="35"/>
  <c r="D145" i="35"/>
  <c r="E145" i="35"/>
  <c r="F145" i="35"/>
  <c r="G145" i="35"/>
  <c r="H145" i="35"/>
  <c r="J145" i="35"/>
  <c r="K145" i="35"/>
  <c r="L145" i="35"/>
  <c r="M145" i="35"/>
  <c r="N145" i="35"/>
  <c r="P145" i="35"/>
  <c r="Q145" i="35"/>
  <c r="R145" i="35"/>
  <c r="S145" i="35"/>
  <c r="T145" i="35"/>
  <c r="V145" i="35"/>
  <c r="W145" i="35"/>
  <c r="X145" i="35"/>
  <c r="Y145" i="35"/>
  <c r="Z145" i="35"/>
  <c r="AC145" i="35"/>
  <c r="AD145" i="35"/>
  <c r="AE145" i="35"/>
  <c r="AF145" i="35"/>
  <c r="AK145" i="35"/>
  <c r="AL145" i="35"/>
  <c r="AM145" i="35"/>
  <c r="AN145" i="35"/>
  <c r="AO145" i="35"/>
  <c r="AP145" i="35"/>
  <c r="AQ145" i="35"/>
  <c r="AR145" i="35"/>
  <c r="AS145" i="35"/>
  <c r="AT145" i="35"/>
  <c r="AV145" i="35"/>
  <c r="AW145" i="35"/>
  <c r="AX145" i="35"/>
  <c r="AY145" i="35"/>
  <c r="AZ145" i="35"/>
  <c r="BA145" i="35"/>
  <c r="BB145" i="35"/>
  <c r="BC145" i="35"/>
  <c r="BD145" i="35"/>
  <c r="BE145" i="35"/>
  <c r="BG145" i="35"/>
  <c r="BH145" i="35"/>
  <c r="BI145" i="35"/>
  <c r="BJ145" i="35"/>
  <c r="BK145" i="35"/>
  <c r="BL145" i="35"/>
  <c r="BM145" i="35"/>
  <c r="BN145" i="35"/>
  <c r="BO145" i="35"/>
  <c r="BP145" i="35"/>
  <c r="BR145" i="35"/>
  <c r="BS145" i="35"/>
  <c r="BT145" i="35"/>
  <c r="BU145" i="35"/>
  <c r="BV145" i="35"/>
  <c r="BW145" i="35"/>
  <c r="BX145" i="35"/>
  <c r="BY145" i="35"/>
  <c r="BZ145" i="35"/>
  <c r="CA145" i="35"/>
  <c r="A146" i="35"/>
  <c r="B146" i="35"/>
  <c r="C146" i="35"/>
  <c r="D146" i="35"/>
  <c r="E146" i="35"/>
  <c r="F146" i="35"/>
  <c r="G146" i="35"/>
  <c r="H146" i="35"/>
  <c r="J146" i="35"/>
  <c r="K146" i="35"/>
  <c r="L146" i="35"/>
  <c r="M146" i="35"/>
  <c r="N146" i="35"/>
  <c r="P146" i="35"/>
  <c r="Q146" i="35"/>
  <c r="R146" i="35"/>
  <c r="S146" i="35"/>
  <c r="T146" i="35"/>
  <c r="V146" i="35"/>
  <c r="W146" i="35"/>
  <c r="X146" i="35"/>
  <c r="Y146" i="35"/>
  <c r="Z146" i="35"/>
  <c r="AC146" i="35"/>
  <c r="AD146" i="35"/>
  <c r="AE146" i="35"/>
  <c r="AF146" i="35"/>
  <c r="AK146" i="35"/>
  <c r="AL146" i="35"/>
  <c r="AM146" i="35"/>
  <c r="AN146" i="35"/>
  <c r="AO146" i="35"/>
  <c r="AP146" i="35"/>
  <c r="AQ146" i="35"/>
  <c r="AR146" i="35"/>
  <c r="AS146" i="35"/>
  <c r="AT146" i="35"/>
  <c r="AV146" i="35"/>
  <c r="AW146" i="35"/>
  <c r="AX146" i="35"/>
  <c r="AY146" i="35"/>
  <c r="AZ146" i="35"/>
  <c r="BA146" i="35"/>
  <c r="BB146" i="35"/>
  <c r="BC146" i="35"/>
  <c r="BD146" i="35"/>
  <c r="BE146" i="35"/>
  <c r="BG146" i="35"/>
  <c r="BH146" i="35"/>
  <c r="BI146" i="35"/>
  <c r="BJ146" i="35"/>
  <c r="BK146" i="35"/>
  <c r="BL146" i="35"/>
  <c r="BM146" i="35"/>
  <c r="BN146" i="35"/>
  <c r="BO146" i="35"/>
  <c r="BP146" i="35"/>
  <c r="BR146" i="35"/>
  <c r="BS146" i="35"/>
  <c r="BT146" i="35"/>
  <c r="BU146" i="35"/>
  <c r="BV146" i="35"/>
  <c r="BW146" i="35"/>
  <c r="BX146" i="35"/>
  <c r="BY146" i="35"/>
  <c r="BZ146" i="35"/>
  <c r="CA146" i="35"/>
  <c r="A147" i="35"/>
  <c r="B147" i="35"/>
  <c r="C147" i="35"/>
  <c r="D147" i="35"/>
  <c r="E147" i="35"/>
  <c r="F147" i="35"/>
  <c r="G147" i="35"/>
  <c r="H147" i="35"/>
  <c r="J147" i="35"/>
  <c r="K147" i="35"/>
  <c r="L147" i="35"/>
  <c r="M147" i="35"/>
  <c r="N147" i="35"/>
  <c r="P147" i="35"/>
  <c r="Q147" i="35"/>
  <c r="R147" i="35"/>
  <c r="S147" i="35"/>
  <c r="T147" i="35"/>
  <c r="V147" i="35"/>
  <c r="W147" i="35"/>
  <c r="X147" i="35"/>
  <c r="Y147" i="35"/>
  <c r="Z147" i="35"/>
  <c r="AC147" i="35"/>
  <c r="AD147" i="35"/>
  <c r="AE147" i="35"/>
  <c r="AF147" i="35"/>
  <c r="AK147" i="35"/>
  <c r="AL147" i="35"/>
  <c r="AM147" i="35"/>
  <c r="AN147" i="35"/>
  <c r="AO147" i="35"/>
  <c r="AP147" i="35"/>
  <c r="AQ147" i="35"/>
  <c r="AR147" i="35"/>
  <c r="AS147" i="35"/>
  <c r="AT147" i="35"/>
  <c r="AV147" i="35"/>
  <c r="AW147" i="35"/>
  <c r="AX147" i="35"/>
  <c r="AY147" i="35"/>
  <c r="AZ147" i="35"/>
  <c r="BA147" i="35"/>
  <c r="BB147" i="35"/>
  <c r="BC147" i="35"/>
  <c r="BD147" i="35"/>
  <c r="BE147" i="35"/>
  <c r="BG147" i="35"/>
  <c r="BH147" i="35"/>
  <c r="BI147" i="35"/>
  <c r="BJ147" i="35"/>
  <c r="BK147" i="35"/>
  <c r="BL147" i="35"/>
  <c r="BM147" i="35"/>
  <c r="BN147" i="35"/>
  <c r="BO147" i="35"/>
  <c r="BP147" i="35"/>
  <c r="BR147" i="35"/>
  <c r="BS147" i="35"/>
  <c r="BT147" i="35"/>
  <c r="BU147" i="35"/>
  <c r="BV147" i="35"/>
  <c r="BW147" i="35"/>
  <c r="BX147" i="35"/>
  <c r="BY147" i="35"/>
  <c r="BZ147" i="35"/>
  <c r="CA147" i="35"/>
  <c r="A148" i="35"/>
  <c r="B148" i="35"/>
  <c r="C148" i="35"/>
  <c r="D148" i="35"/>
  <c r="E148" i="35"/>
  <c r="F148" i="35"/>
  <c r="G148" i="35"/>
  <c r="H148" i="35"/>
  <c r="J148" i="35"/>
  <c r="K148" i="35"/>
  <c r="L148" i="35"/>
  <c r="M148" i="35"/>
  <c r="N148" i="35"/>
  <c r="P148" i="35"/>
  <c r="Q148" i="35"/>
  <c r="R148" i="35"/>
  <c r="S148" i="35"/>
  <c r="T148" i="35"/>
  <c r="V148" i="35"/>
  <c r="W148" i="35"/>
  <c r="X148" i="35"/>
  <c r="Y148" i="35"/>
  <c r="Z148" i="35"/>
  <c r="AC148" i="35"/>
  <c r="AD148" i="35"/>
  <c r="AE148" i="35"/>
  <c r="AF148" i="35"/>
  <c r="AK148" i="35"/>
  <c r="AL148" i="35"/>
  <c r="AM148" i="35"/>
  <c r="AN148" i="35"/>
  <c r="AO148" i="35"/>
  <c r="AP148" i="35"/>
  <c r="AQ148" i="35"/>
  <c r="AR148" i="35"/>
  <c r="AS148" i="35"/>
  <c r="AT148" i="35"/>
  <c r="AV148" i="35"/>
  <c r="AW148" i="35"/>
  <c r="AX148" i="35"/>
  <c r="AY148" i="35"/>
  <c r="AZ148" i="35"/>
  <c r="BA148" i="35"/>
  <c r="BB148" i="35"/>
  <c r="BC148" i="35"/>
  <c r="BD148" i="35"/>
  <c r="BE148" i="35"/>
  <c r="BG148" i="35"/>
  <c r="BH148" i="35"/>
  <c r="BI148" i="35"/>
  <c r="BJ148" i="35"/>
  <c r="BK148" i="35"/>
  <c r="BL148" i="35"/>
  <c r="BM148" i="35"/>
  <c r="BN148" i="35"/>
  <c r="BO148" i="35"/>
  <c r="BP148" i="35"/>
  <c r="BR148" i="35"/>
  <c r="BS148" i="35"/>
  <c r="BT148" i="35"/>
  <c r="BU148" i="35"/>
  <c r="BV148" i="35"/>
  <c r="BW148" i="35"/>
  <c r="BX148" i="35"/>
  <c r="BY148" i="35"/>
  <c r="BZ148" i="35"/>
  <c r="CA148" i="35"/>
  <c r="A149" i="35"/>
  <c r="B149" i="35"/>
  <c r="C149" i="35"/>
  <c r="D149" i="35"/>
  <c r="E149" i="35"/>
  <c r="F149" i="35"/>
  <c r="G149" i="35"/>
  <c r="H149" i="35"/>
  <c r="J149" i="35"/>
  <c r="K149" i="35"/>
  <c r="L149" i="35"/>
  <c r="M149" i="35"/>
  <c r="N149" i="35"/>
  <c r="P149" i="35"/>
  <c r="Q149" i="35"/>
  <c r="R149" i="35"/>
  <c r="S149" i="35"/>
  <c r="T149" i="35"/>
  <c r="V149" i="35"/>
  <c r="W149" i="35"/>
  <c r="X149" i="35"/>
  <c r="Y149" i="35"/>
  <c r="Z149" i="35"/>
  <c r="AC149" i="35"/>
  <c r="AD149" i="35"/>
  <c r="AE149" i="35"/>
  <c r="AF149" i="35"/>
  <c r="AK149" i="35"/>
  <c r="AL149" i="35"/>
  <c r="AM149" i="35"/>
  <c r="AN149" i="35"/>
  <c r="AO149" i="35"/>
  <c r="AP149" i="35"/>
  <c r="AQ149" i="35"/>
  <c r="AR149" i="35"/>
  <c r="AS149" i="35"/>
  <c r="AT149" i="35"/>
  <c r="AV149" i="35"/>
  <c r="AW149" i="35"/>
  <c r="AX149" i="35"/>
  <c r="AY149" i="35"/>
  <c r="AZ149" i="35"/>
  <c r="BA149" i="35"/>
  <c r="BB149" i="35"/>
  <c r="BC149" i="35"/>
  <c r="BD149" i="35"/>
  <c r="BE149" i="35"/>
  <c r="BG149" i="35"/>
  <c r="BH149" i="35"/>
  <c r="BI149" i="35"/>
  <c r="BJ149" i="35"/>
  <c r="BK149" i="35"/>
  <c r="BL149" i="35"/>
  <c r="BM149" i="35"/>
  <c r="BN149" i="35"/>
  <c r="BO149" i="35"/>
  <c r="BP149" i="35"/>
  <c r="BR149" i="35"/>
  <c r="BS149" i="35"/>
  <c r="BT149" i="35"/>
  <c r="BU149" i="35"/>
  <c r="BV149" i="35"/>
  <c r="BW149" i="35"/>
  <c r="BX149" i="35"/>
  <c r="BY149" i="35"/>
  <c r="BZ149" i="35"/>
  <c r="CA149" i="35"/>
  <c r="A150" i="35"/>
  <c r="E1" i="40"/>
  <c r="B4" i="40"/>
  <c r="C4" i="40"/>
  <c r="D4" i="40"/>
  <c r="E4" i="40"/>
  <c r="J5" i="40"/>
  <c r="K5" i="40"/>
  <c r="BC5" i="40"/>
  <c r="J6" i="40"/>
  <c r="K6" i="40"/>
  <c r="J7" i="40"/>
  <c r="K7" i="40"/>
  <c r="BH7" i="40"/>
  <c r="B8" i="40"/>
  <c r="C8" i="40"/>
  <c r="D8" i="40"/>
  <c r="E8" i="40"/>
  <c r="J8" i="40"/>
  <c r="K8" i="40"/>
  <c r="BH8" i="40"/>
  <c r="B9" i="40"/>
  <c r="C9" i="40"/>
  <c r="D9" i="40"/>
  <c r="E9" i="40"/>
  <c r="J9" i="40"/>
  <c r="K9" i="40"/>
  <c r="BH9" i="40"/>
  <c r="J10" i="40"/>
  <c r="K10" i="40"/>
  <c r="AY10" i="40"/>
  <c r="BH10" i="40"/>
  <c r="J11" i="40"/>
  <c r="K11" i="40"/>
  <c r="AY11" i="40"/>
  <c r="J12" i="40"/>
  <c r="K12" i="40"/>
  <c r="AY12" i="40"/>
  <c r="AY13" i="40"/>
  <c r="B15" i="40"/>
  <c r="C15" i="40"/>
  <c r="D15" i="40"/>
  <c r="E15" i="40"/>
  <c r="AY15" i="40"/>
  <c r="B16" i="40"/>
  <c r="C16" i="40"/>
  <c r="D16" i="40"/>
  <c r="E16" i="40"/>
  <c r="AY16" i="40"/>
  <c r="BI16" i="40"/>
  <c r="B17" i="40"/>
  <c r="C17" i="40"/>
  <c r="D17" i="40"/>
  <c r="E17" i="40"/>
  <c r="AY17" i="40"/>
  <c r="AW18" i="40"/>
  <c r="AT20" i="40"/>
  <c r="C23" i="40"/>
  <c r="D23" i="40"/>
  <c r="E23" i="40"/>
  <c r="F23" i="40"/>
  <c r="G23" i="40"/>
  <c r="H23" i="40"/>
  <c r="K23" i="40"/>
  <c r="L23" i="40"/>
  <c r="N23" i="40"/>
  <c r="O23" i="40"/>
  <c r="P23" i="40"/>
  <c r="Q23" i="40"/>
  <c r="AS23" i="40"/>
  <c r="AT23" i="40"/>
  <c r="AY23" i="40"/>
  <c r="AZ23" i="40"/>
  <c r="BE23" i="40"/>
  <c r="BI23" i="40"/>
  <c r="BK23" i="40"/>
  <c r="CD23" i="40"/>
  <c r="A24" i="40"/>
  <c r="C24" i="40"/>
  <c r="D24" i="40"/>
  <c r="E24" i="40"/>
  <c r="F24" i="40"/>
  <c r="G24" i="40"/>
  <c r="H24" i="40"/>
  <c r="K24" i="40"/>
  <c r="L24" i="40"/>
  <c r="N24" i="40"/>
  <c r="O24" i="40"/>
  <c r="P24" i="40"/>
  <c r="Q24" i="40"/>
  <c r="AS24" i="40"/>
  <c r="AT24" i="40"/>
  <c r="AY24" i="40"/>
  <c r="BD24" i="40"/>
  <c r="BE24" i="40"/>
  <c r="BK24" i="40"/>
  <c r="CD24" i="40"/>
  <c r="A25" i="40"/>
  <c r="C25" i="40"/>
  <c r="D25" i="40"/>
  <c r="E25" i="40"/>
  <c r="F25" i="40"/>
  <c r="G25" i="40"/>
  <c r="H25" i="40"/>
  <c r="K25" i="40"/>
  <c r="L25" i="40"/>
  <c r="N25" i="40"/>
  <c r="O25" i="40"/>
  <c r="P25" i="40"/>
  <c r="Q25" i="40"/>
  <c r="AS25" i="40"/>
  <c r="AT25" i="40"/>
  <c r="AY25" i="40"/>
  <c r="BD25" i="40"/>
  <c r="BE25" i="40"/>
  <c r="BK25" i="40"/>
  <c r="CD25" i="40"/>
  <c r="A26" i="40"/>
  <c r="C26" i="40"/>
  <c r="D26" i="40"/>
  <c r="E26" i="40"/>
  <c r="F26" i="40"/>
  <c r="G26" i="40"/>
  <c r="H26" i="40"/>
  <c r="K26" i="40"/>
  <c r="L26" i="40"/>
  <c r="N26" i="40"/>
  <c r="O26" i="40"/>
  <c r="P26" i="40"/>
  <c r="Q26" i="40"/>
  <c r="AS26" i="40"/>
  <c r="AT26" i="40"/>
  <c r="AY26" i="40"/>
  <c r="BD26" i="40"/>
  <c r="BE26" i="40"/>
  <c r="BK26" i="40"/>
  <c r="CD26" i="40"/>
  <c r="A27" i="40"/>
  <c r="C27" i="40"/>
  <c r="D27" i="40"/>
  <c r="E27" i="40"/>
  <c r="F27" i="40"/>
  <c r="G27" i="40"/>
  <c r="H27" i="40"/>
  <c r="K27" i="40"/>
  <c r="L27" i="40"/>
  <c r="N27" i="40"/>
  <c r="O27" i="40"/>
  <c r="P27" i="40"/>
  <c r="Q27" i="40"/>
  <c r="AS27" i="40"/>
  <c r="AT27" i="40"/>
  <c r="AY27" i="40"/>
  <c r="BD27" i="40"/>
  <c r="BE27" i="40"/>
  <c r="BK27" i="40"/>
  <c r="CD27" i="40"/>
  <c r="A28" i="40"/>
  <c r="C28" i="40"/>
  <c r="D28" i="40"/>
  <c r="E28" i="40"/>
  <c r="F28" i="40"/>
  <c r="G28" i="40"/>
  <c r="H28" i="40"/>
  <c r="K28" i="40"/>
  <c r="L28" i="40"/>
  <c r="N28" i="40"/>
  <c r="O28" i="40"/>
  <c r="P28" i="40"/>
  <c r="Q28" i="40"/>
  <c r="AS28" i="40"/>
  <c r="AT28" i="40"/>
  <c r="AY28" i="40"/>
  <c r="BD28" i="40"/>
  <c r="BE28" i="40"/>
  <c r="BK28" i="40"/>
  <c r="CD28" i="40"/>
  <c r="A29" i="40"/>
  <c r="C29" i="40"/>
  <c r="D29" i="40"/>
  <c r="E29" i="40"/>
  <c r="F29" i="40"/>
  <c r="G29" i="40"/>
  <c r="H29" i="40"/>
  <c r="K29" i="40"/>
  <c r="L29" i="40"/>
  <c r="N29" i="40"/>
  <c r="O29" i="40"/>
  <c r="P29" i="40"/>
  <c r="Q29" i="40"/>
  <c r="AS29" i="40"/>
  <c r="AT29" i="40"/>
  <c r="AY29" i="40"/>
  <c r="BD29" i="40"/>
  <c r="BE29" i="40"/>
  <c r="BK29" i="40"/>
  <c r="CD29" i="40"/>
  <c r="A30" i="40"/>
  <c r="C30" i="40"/>
  <c r="D30" i="40"/>
  <c r="E30" i="40"/>
  <c r="F30" i="40"/>
  <c r="G30" i="40"/>
  <c r="H30" i="40"/>
  <c r="K30" i="40"/>
  <c r="L30" i="40"/>
  <c r="N30" i="40"/>
  <c r="O30" i="40"/>
  <c r="P30" i="40"/>
  <c r="Q30" i="40"/>
  <c r="AS30" i="40"/>
  <c r="AT30" i="40"/>
  <c r="AY30" i="40"/>
  <c r="BD30" i="40"/>
  <c r="BE30" i="40"/>
  <c r="BK30" i="40"/>
  <c r="CD30" i="40"/>
  <c r="A31" i="40"/>
  <c r="C31" i="40"/>
  <c r="D31" i="40"/>
  <c r="E31" i="40"/>
  <c r="F31" i="40"/>
  <c r="G31" i="40"/>
  <c r="H31" i="40"/>
  <c r="K31" i="40"/>
  <c r="L31" i="40"/>
  <c r="N31" i="40"/>
  <c r="O31" i="40"/>
  <c r="P31" i="40"/>
  <c r="Q31" i="40"/>
  <c r="AS31" i="40"/>
  <c r="AT31" i="40"/>
  <c r="AY31" i="40"/>
  <c r="BD31" i="40"/>
  <c r="BE31" i="40"/>
  <c r="BK31" i="40"/>
  <c r="CD31" i="40"/>
  <c r="A32" i="40"/>
  <c r="C32" i="40"/>
  <c r="D32" i="40"/>
  <c r="E32" i="40"/>
  <c r="F32" i="40"/>
  <c r="G32" i="40"/>
  <c r="H32" i="40"/>
  <c r="K32" i="40"/>
  <c r="L32" i="40"/>
  <c r="N32" i="40"/>
  <c r="O32" i="40"/>
  <c r="P32" i="40"/>
  <c r="Q32" i="40"/>
  <c r="AS32" i="40"/>
  <c r="AT32" i="40"/>
  <c r="AY32" i="40"/>
  <c r="BD32" i="40"/>
  <c r="BE32" i="40"/>
  <c r="BK32" i="40"/>
  <c r="CD32" i="40"/>
  <c r="A33" i="40"/>
  <c r="C33" i="40"/>
  <c r="D33" i="40"/>
  <c r="E33" i="40"/>
  <c r="F33" i="40"/>
  <c r="G33" i="40"/>
  <c r="H33" i="40"/>
  <c r="K33" i="40"/>
  <c r="L33" i="40"/>
  <c r="N33" i="40"/>
  <c r="O33" i="40"/>
  <c r="P33" i="40"/>
  <c r="Q33" i="40"/>
  <c r="AS33" i="40"/>
  <c r="AT33" i="40"/>
  <c r="AY33" i="40"/>
  <c r="BD33" i="40"/>
  <c r="BE33" i="40"/>
  <c r="BK33" i="40"/>
  <c r="CD33" i="40"/>
  <c r="A34" i="40"/>
  <c r="C34" i="40"/>
  <c r="D34" i="40"/>
  <c r="E34" i="40"/>
  <c r="F34" i="40"/>
  <c r="G34" i="40"/>
  <c r="H34" i="40"/>
  <c r="K34" i="40"/>
  <c r="L34" i="40"/>
  <c r="N34" i="40"/>
  <c r="O34" i="40"/>
  <c r="P34" i="40"/>
  <c r="Q34" i="40"/>
  <c r="AS34" i="40"/>
  <c r="BD34" i="40"/>
  <c r="BE34" i="40"/>
  <c r="BK34" i="40"/>
  <c r="CD34" i="40"/>
  <c r="A35" i="40"/>
  <c r="C35" i="40"/>
  <c r="D35" i="40"/>
  <c r="E35" i="40"/>
  <c r="F35" i="40"/>
  <c r="G35" i="40"/>
  <c r="H35" i="40"/>
  <c r="K35" i="40"/>
  <c r="L35" i="40"/>
  <c r="N35" i="40"/>
  <c r="O35" i="40"/>
  <c r="P35" i="40"/>
  <c r="Q35" i="40"/>
  <c r="AS35" i="40"/>
  <c r="BD35" i="40"/>
  <c r="BE35" i="40"/>
  <c r="BK35" i="40"/>
  <c r="CD35" i="40"/>
  <c r="A36" i="40"/>
  <c r="C36" i="40"/>
  <c r="D36" i="40"/>
  <c r="E36" i="40"/>
  <c r="F36" i="40"/>
  <c r="G36" i="40"/>
  <c r="H36" i="40"/>
  <c r="K36" i="40"/>
  <c r="L36" i="40"/>
  <c r="N36" i="40"/>
  <c r="O36" i="40"/>
  <c r="P36" i="40"/>
  <c r="Q36" i="40"/>
  <c r="AS36" i="40"/>
  <c r="BD36" i="40"/>
  <c r="BE36" i="40"/>
  <c r="CD36" i="40"/>
  <c r="A37" i="40"/>
  <c r="C37" i="40"/>
  <c r="D37" i="40"/>
  <c r="E37" i="40"/>
  <c r="F37" i="40"/>
  <c r="G37" i="40"/>
  <c r="H37" i="40"/>
  <c r="K37" i="40"/>
  <c r="L37" i="40"/>
  <c r="N37" i="40"/>
  <c r="O37" i="40"/>
  <c r="P37" i="40"/>
  <c r="Q37" i="40"/>
  <c r="AS37" i="40"/>
  <c r="BD37" i="40"/>
  <c r="BE37" i="40"/>
  <c r="CD37" i="40"/>
  <c r="A38" i="40"/>
  <c r="C38" i="40"/>
  <c r="D38" i="40"/>
  <c r="E38" i="40"/>
  <c r="F38" i="40"/>
  <c r="G38" i="40"/>
  <c r="H38" i="40"/>
  <c r="K38" i="40"/>
  <c r="L38" i="40"/>
  <c r="N38" i="40"/>
  <c r="O38" i="40"/>
  <c r="P38" i="40"/>
  <c r="Q38" i="40"/>
  <c r="AS38" i="40"/>
  <c r="BD38" i="40"/>
  <c r="BE38" i="40"/>
  <c r="CD38" i="40"/>
  <c r="A39" i="40"/>
  <c r="C39" i="40"/>
  <c r="D39" i="40"/>
  <c r="E39" i="40"/>
  <c r="F39" i="40"/>
  <c r="G39" i="40"/>
  <c r="H39" i="40"/>
  <c r="K39" i="40"/>
  <c r="L39" i="40"/>
  <c r="N39" i="40"/>
  <c r="O39" i="40"/>
  <c r="P39" i="40"/>
  <c r="Q39" i="40"/>
  <c r="AS39" i="40"/>
  <c r="BD39" i="40"/>
  <c r="BE39" i="40"/>
  <c r="CD39" i="40"/>
  <c r="A40" i="40"/>
  <c r="C40" i="40"/>
  <c r="D40" i="40"/>
  <c r="E40" i="40"/>
  <c r="F40" i="40"/>
  <c r="G40" i="40"/>
  <c r="H40" i="40"/>
  <c r="K40" i="40"/>
  <c r="L40" i="40"/>
  <c r="N40" i="40"/>
  <c r="O40" i="40"/>
  <c r="P40" i="40"/>
  <c r="Q40" i="40"/>
  <c r="AS40" i="40"/>
  <c r="BD40" i="40"/>
  <c r="BE40" i="40"/>
  <c r="CD40" i="40"/>
  <c r="A41" i="40"/>
  <c r="C41" i="40"/>
  <c r="D41" i="40"/>
  <c r="E41" i="40"/>
  <c r="F41" i="40"/>
  <c r="G41" i="40"/>
  <c r="H41" i="40"/>
  <c r="K41" i="40"/>
  <c r="L41" i="40"/>
  <c r="N41" i="40"/>
  <c r="O41" i="40"/>
  <c r="P41" i="40"/>
  <c r="Q41" i="40"/>
  <c r="AS41" i="40"/>
  <c r="BD41" i="40"/>
  <c r="BE41" i="40"/>
  <c r="CD41" i="40"/>
  <c r="A42" i="40"/>
  <c r="C42" i="40"/>
  <c r="D42" i="40"/>
  <c r="E42" i="40"/>
  <c r="F42" i="40"/>
  <c r="G42" i="40"/>
  <c r="H42" i="40"/>
  <c r="K42" i="40"/>
  <c r="L42" i="40"/>
  <c r="N42" i="40"/>
  <c r="O42" i="40"/>
  <c r="P42" i="40"/>
  <c r="Q42" i="40"/>
  <c r="AS42" i="40"/>
  <c r="BD42" i="40"/>
  <c r="BE42" i="40"/>
  <c r="CD42" i="40"/>
  <c r="A43" i="40"/>
  <c r="C43" i="40"/>
  <c r="D43" i="40"/>
  <c r="E43" i="40"/>
  <c r="F43" i="40"/>
  <c r="G43" i="40"/>
  <c r="H43" i="40"/>
  <c r="K43" i="40"/>
  <c r="L43" i="40"/>
  <c r="N43" i="40"/>
  <c r="O43" i="40"/>
  <c r="P43" i="40"/>
  <c r="Q43" i="40"/>
  <c r="AS43" i="40"/>
  <c r="BD43" i="40"/>
  <c r="BE43" i="40"/>
  <c r="CD43" i="40"/>
  <c r="A44" i="40"/>
  <c r="C44" i="40"/>
  <c r="D44" i="40"/>
  <c r="E44" i="40"/>
  <c r="F44" i="40"/>
  <c r="G44" i="40"/>
  <c r="H44" i="40"/>
  <c r="K44" i="40"/>
  <c r="L44" i="40"/>
  <c r="N44" i="40"/>
  <c r="O44" i="40"/>
  <c r="P44" i="40"/>
  <c r="Q44" i="40"/>
  <c r="AS44" i="40"/>
  <c r="BD44" i="40"/>
  <c r="BE44" i="40"/>
  <c r="CD44" i="40"/>
  <c r="A45" i="40"/>
  <c r="C45" i="40"/>
  <c r="D45" i="40"/>
  <c r="E45" i="40"/>
  <c r="F45" i="40"/>
  <c r="G45" i="40"/>
  <c r="H45" i="40"/>
  <c r="K45" i="40"/>
  <c r="L45" i="40"/>
  <c r="N45" i="40"/>
  <c r="O45" i="40"/>
  <c r="P45" i="40"/>
  <c r="Q45" i="40"/>
  <c r="AS45" i="40"/>
  <c r="BD45" i="40"/>
  <c r="BE45" i="40"/>
  <c r="CD45" i="40"/>
  <c r="A46" i="40"/>
  <c r="C46" i="40"/>
  <c r="D46" i="40"/>
  <c r="E46" i="40"/>
  <c r="F46" i="40"/>
  <c r="G46" i="40"/>
  <c r="H46" i="40"/>
  <c r="K46" i="40"/>
  <c r="L46" i="40"/>
  <c r="N46" i="40"/>
  <c r="O46" i="40"/>
  <c r="P46" i="40"/>
  <c r="Q46" i="40"/>
  <c r="AS46" i="40"/>
  <c r="BD46" i="40"/>
  <c r="BE46" i="40"/>
  <c r="CD46" i="40"/>
  <c r="A47" i="40"/>
  <c r="C47" i="40"/>
  <c r="D47" i="40"/>
  <c r="E47" i="40"/>
  <c r="F47" i="40"/>
  <c r="G47" i="40"/>
  <c r="H47" i="40"/>
  <c r="K47" i="40"/>
  <c r="L47" i="40"/>
  <c r="N47" i="40"/>
  <c r="O47" i="40"/>
  <c r="P47" i="40"/>
  <c r="Q47" i="40"/>
  <c r="AS47" i="40"/>
  <c r="BD47" i="40"/>
  <c r="BE47" i="40"/>
  <c r="CD47" i="40"/>
  <c r="A48" i="40"/>
  <c r="C48" i="40"/>
  <c r="D48" i="40"/>
  <c r="E48" i="40"/>
  <c r="F48" i="40"/>
  <c r="G48" i="40"/>
  <c r="H48" i="40"/>
  <c r="K48" i="40"/>
  <c r="L48" i="40"/>
  <c r="N48" i="40"/>
  <c r="O48" i="40"/>
  <c r="P48" i="40"/>
  <c r="Q48" i="40"/>
  <c r="AS48" i="40"/>
  <c r="BD48" i="40"/>
  <c r="BE48" i="40"/>
  <c r="CD48" i="40"/>
  <c r="A49" i="40"/>
  <c r="B49" i="40"/>
  <c r="C49" i="40"/>
  <c r="D49" i="40"/>
  <c r="E49" i="40"/>
  <c r="F49" i="40"/>
  <c r="G49" i="40"/>
  <c r="H49" i="40"/>
  <c r="K49" i="40"/>
  <c r="L49" i="40"/>
  <c r="N49" i="40"/>
  <c r="O49" i="40"/>
  <c r="P49" i="40"/>
  <c r="Q49" i="40"/>
  <c r="AS49" i="40"/>
  <c r="BD49" i="40"/>
  <c r="BE49" i="40"/>
  <c r="CD49" i="40"/>
  <c r="A50" i="40"/>
  <c r="B50" i="40"/>
  <c r="C50" i="40"/>
  <c r="D50" i="40"/>
  <c r="E50" i="40"/>
  <c r="F50" i="40"/>
  <c r="G50" i="40"/>
  <c r="H50" i="40"/>
  <c r="K50" i="40"/>
  <c r="L50" i="40"/>
  <c r="N50" i="40"/>
  <c r="O50" i="40"/>
  <c r="P50" i="40"/>
  <c r="Q50" i="40"/>
  <c r="AS50" i="40"/>
  <c r="BD50" i="40"/>
  <c r="BE50" i="40"/>
  <c r="CD50" i="40"/>
  <c r="A51" i="40"/>
  <c r="B51" i="40"/>
  <c r="C51" i="40"/>
  <c r="D51" i="40"/>
  <c r="E51" i="40"/>
  <c r="F51" i="40"/>
  <c r="G51" i="40"/>
  <c r="H51" i="40"/>
  <c r="K51" i="40"/>
  <c r="L51" i="40"/>
  <c r="N51" i="40"/>
  <c r="O51" i="40"/>
  <c r="P51" i="40"/>
  <c r="Q51" i="40"/>
  <c r="AS51" i="40"/>
  <c r="BD51" i="40"/>
  <c r="BE51" i="40"/>
  <c r="CD51" i="40"/>
  <c r="A52" i="40"/>
  <c r="B52" i="40"/>
  <c r="C52" i="40"/>
  <c r="D52" i="40"/>
  <c r="E52" i="40"/>
  <c r="F52" i="40"/>
  <c r="G52" i="40"/>
  <c r="H52" i="40"/>
  <c r="K52" i="40"/>
  <c r="L52" i="40"/>
  <c r="N52" i="40"/>
  <c r="O52" i="40"/>
  <c r="P52" i="40"/>
  <c r="Q52" i="40"/>
  <c r="AS52" i="40"/>
  <c r="BD52" i="40"/>
  <c r="BE52" i="40"/>
  <c r="CD52" i="40"/>
  <c r="A53" i="40"/>
  <c r="B53" i="40"/>
  <c r="C53" i="40"/>
  <c r="D53" i="40"/>
  <c r="E53" i="40"/>
  <c r="F53" i="40"/>
  <c r="G53" i="40"/>
  <c r="H53" i="40"/>
  <c r="K53" i="40"/>
  <c r="L53" i="40"/>
  <c r="N53" i="40"/>
  <c r="O53" i="40"/>
  <c r="P53" i="40"/>
  <c r="Q53" i="40"/>
  <c r="AS53" i="40"/>
  <c r="BD53" i="40"/>
  <c r="BE53" i="40"/>
  <c r="CD53" i="40"/>
  <c r="A54" i="40"/>
  <c r="B54" i="40"/>
  <c r="C54" i="40"/>
  <c r="D54" i="40"/>
  <c r="E54" i="40"/>
  <c r="F54" i="40"/>
  <c r="G54" i="40"/>
  <c r="H54" i="40"/>
  <c r="K54" i="40"/>
  <c r="N54" i="40"/>
  <c r="O54" i="40"/>
  <c r="P54" i="40"/>
  <c r="Q54" i="40"/>
  <c r="AS54" i="40"/>
  <c r="BD54" i="40"/>
  <c r="BE54" i="40"/>
  <c r="CD54" i="40"/>
  <c r="A55" i="40"/>
  <c r="B55" i="40"/>
  <c r="C55" i="40"/>
  <c r="D55" i="40"/>
  <c r="E55" i="40"/>
  <c r="F55" i="40"/>
  <c r="G55" i="40"/>
  <c r="H55" i="40"/>
  <c r="K55" i="40"/>
  <c r="N55" i="40"/>
  <c r="O55" i="40"/>
  <c r="P55" i="40"/>
  <c r="Q55" i="40"/>
  <c r="AS55" i="40"/>
  <c r="BD55" i="40"/>
  <c r="BE55" i="40"/>
  <c r="CD55" i="40"/>
  <c r="A56" i="40"/>
  <c r="B56" i="40"/>
  <c r="C56" i="40"/>
  <c r="D56" i="40"/>
  <c r="E56" i="40"/>
  <c r="F56" i="40"/>
  <c r="G56" i="40"/>
  <c r="H56" i="40"/>
  <c r="K56" i="40"/>
  <c r="N56" i="40"/>
  <c r="O56" i="40"/>
  <c r="P56" i="40"/>
  <c r="AS56" i="40"/>
  <c r="BD56" i="40"/>
  <c r="BE56" i="40"/>
  <c r="CD56" i="40"/>
  <c r="A57" i="40"/>
  <c r="B57" i="40"/>
  <c r="C57" i="40"/>
  <c r="D57" i="40"/>
  <c r="E57" i="40"/>
  <c r="F57" i="40"/>
  <c r="G57" i="40"/>
  <c r="H57" i="40"/>
  <c r="K57" i="40"/>
  <c r="N57" i="40"/>
  <c r="O57" i="40"/>
  <c r="P57" i="40"/>
  <c r="AS57" i="40"/>
  <c r="BD57" i="40"/>
  <c r="BE57" i="40"/>
  <c r="CD57" i="40"/>
  <c r="A58" i="40"/>
  <c r="B58" i="40"/>
  <c r="C58" i="40"/>
  <c r="D58" i="40"/>
  <c r="E58" i="40"/>
  <c r="F58" i="40"/>
  <c r="G58" i="40"/>
  <c r="H58" i="40"/>
  <c r="K58" i="40"/>
  <c r="N58" i="40"/>
  <c r="O58" i="40"/>
  <c r="P58" i="40"/>
  <c r="AS58" i="40"/>
  <c r="BD58" i="40"/>
  <c r="BE58" i="40"/>
  <c r="CD58" i="40"/>
  <c r="A59" i="40"/>
  <c r="B59" i="40"/>
  <c r="D59" i="40"/>
  <c r="E59" i="40"/>
  <c r="F59" i="40"/>
  <c r="G59" i="40"/>
  <c r="H59" i="40"/>
  <c r="K59" i="40"/>
  <c r="N59" i="40"/>
  <c r="O59" i="40"/>
  <c r="P59" i="40"/>
  <c r="AS59" i="40"/>
  <c r="BD59" i="40"/>
  <c r="BE59" i="40"/>
  <c r="A60" i="40"/>
  <c r="B60" i="40"/>
  <c r="D60" i="40"/>
  <c r="E60" i="40"/>
  <c r="F60" i="40"/>
  <c r="G60" i="40"/>
  <c r="H60" i="40"/>
  <c r="K60" i="40"/>
  <c r="N60" i="40"/>
  <c r="O60" i="40"/>
  <c r="P60" i="40"/>
  <c r="AS60" i="40"/>
  <c r="A61" i="40"/>
  <c r="B61" i="40"/>
  <c r="D61" i="40"/>
  <c r="E61" i="40"/>
  <c r="F61" i="40"/>
  <c r="G61" i="40"/>
  <c r="H61" i="40"/>
  <c r="K61" i="40"/>
  <c r="N61" i="40"/>
  <c r="O61" i="40"/>
  <c r="P61" i="40"/>
  <c r="A62" i="40"/>
  <c r="B62" i="40"/>
  <c r="D62" i="40"/>
  <c r="E62" i="40"/>
  <c r="F62" i="40"/>
  <c r="G62" i="40"/>
  <c r="H62" i="40"/>
  <c r="K62" i="40"/>
  <c r="N62" i="40"/>
  <c r="O62" i="40"/>
  <c r="P62" i="40"/>
  <c r="A63" i="40"/>
  <c r="B63" i="40"/>
  <c r="D63" i="40"/>
  <c r="E63" i="40"/>
  <c r="F63" i="40"/>
  <c r="G63" i="40"/>
  <c r="H63" i="40"/>
  <c r="K63" i="40"/>
  <c r="N63" i="40"/>
  <c r="O63" i="40"/>
  <c r="P63" i="40"/>
  <c r="A64" i="40"/>
  <c r="B64" i="40"/>
  <c r="D64" i="40"/>
  <c r="E64" i="40"/>
  <c r="F64" i="40"/>
  <c r="G64" i="40"/>
  <c r="H64" i="40"/>
  <c r="K64" i="40"/>
  <c r="N64" i="40"/>
  <c r="O64" i="40"/>
  <c r="P64" i="40"/>
  <c r="A65" i="40"/>
  <c r="B65" i="40"/>
  <c r="D65" i="40"/>
  <c r="E65" i="40"/>
  <c r="F65" i="40"/>
  <c r="G65" i="40"/>
  <c r="H65" i="40"/>
  <c r="K65" i="40"/>
  <c r="N65" i="40"/>
  <c r="O65" i="40"/>
  <c r="P65" i="40"/>
  <c r="A66" i="40"/>
  <c r="B66" i="40"/>
  <c r="D66" i="40"/>
  <c r="E66" i="40"/>
  <c r="F66" i="40"/>
  <c r="G66" i="40"/>
  <c r="H66" i="40"/>
  <c r="K66" i="40"/>
  <c r="N66" i="40"/>
  <c r="O66" i="40"/>
  <c r="P66" i="40"/>
  <c r="A67" i="40"/>
  <c r="B67" i="40"/>
  <c r="D67" i="40"/>
  <c r="E67" i="40"/>
  <c r="F67" i="40"/>
  <c r="G67" i="40"/>
  <c r="H67" i="40"/>
  <c r="K67" i="40"/>
  <c r="N67" i="40"/>
  <c r="O67" i="40"/>
  <c r="P67" i="40"/>
  <c r="A68" i="40"/>
  <c r="B68" i="40"/>
  <c r="D68" i="40"/>
  <c r="E68" i="40"/>
  <c r="F68" i="40"/>
  <c r="G68" i="40"/>
  <c r="H68" i="40"/>
  <c r="K68" i="40"/>
  <c r="N68" i="40"/>
  <c r="O68" i="40"/>
  <c r="P68" i="40"/>
  <c r="A69" i="40"/>
  <c r="B69" i="40"/>
  <c r="D69" i="40"/>
  <c r="E69" i="40"/>
  <c r="F69" i="40"/>
  <c r="G69" i="40"/>
  <c r="H69" i="40"/>
  <c r="K69" i="40"/>
  <c r="N69" i="40"/>
  <c r="O69" i="40"/>
  <c r="P69" i="40"/>
  <c r="A70" i="40"/>
  <c r="B70" i="40"/>
  <c r="D70" i="40"/>
  <c r="E70" i="40"/>
  <c r="F70" i="40"/>
  <c r="G70" i="40"/>
  <c r="H70" i="40"/>
  <c r="K70" i="40"/>
  <c r="N70" i="40"/>
  <c r="O70" i="40"/>
  <c r="P70" i="40"/>
  <c r="A71" i="40"/>
  <c r="B71" i="40"/>
  <c r="D71" i="40"/>
  <c r="E71" i="40"/>
  <c r="F71" i="40"/>
  <c r="G71" i="40"/>
  <c r="H71" i="40"/>
  <c r="K71" i="40"/>
  <c r="N71" i="40"/>
  <c r="O71" i="40"/>
  <c r="P71" i="40"/>
  <c r="A72" i="40"/>
  <c r="B72" i="40"/>
  <c r="D72" i="40"/>
  <c r="E72" i="40"/>
  <c r="F72" i="40"/>
  <c r="G72" i="40"/>
  <c r="H72" i="40"/>
  <c r="K72" i="40"/>
  <c r="N72" i="40"/>
  <c r="O72" i="40"/>
  <c r="P72" i="40"/>
  <c r="A73" i="40"/>
  <c r="B73" i="40"/>
  <c r="D73" i="40"/>
  <c r="E73" i="40"/>
  <c r="F73" i="40"/>
  <c r="G73" i="40"/>
  <c r="H73" i="40"/>
  <c r="K73" i="40"/>
  <c r="N73" i="40"/>
  <c r="O73" i="40"/>
  <c r="P73" i="40"/>
  <c r="A74" i="40"/>
  <c r="B74" i="40"/>
  <c r="D74" i="40"/>
  <c r="E74" i="40"/>
  <c r="F74" i="40"/>
  <c r="G74" i="40"/>
  <c r="H74" i="40"/>
  <c r="K74" i="40"/>
  <c r="N74" i="40"/>
  <c r="O74" i="40"/>
  <c r="P74" i="40"/>
  <c r="A75" i="40"/>
  <c r="B75" i="40"/>
  <c r="D75" i="40"/>
  <c r="E75" i="40"/>
  <c r="F75" i="40"/>
  <c r="G75" i="40"/>
  <c r="H75" i="40"/>
  <c r="K75" i="40"/>
  <c r="N75" i="40"/>
  <c r="O75" i="40"/>
  <c r="P75" i="40"/>
  <c r="A76" i="40"/>
  <c r="B76" i="40"/>
  <c r="D76" i="40"/>
  <c r="E76" i="40"/>
  <c r="F76" i="40"/>
  <c r="G76" i="40"/>
  <c r="H76" i="40"/>
  <c r="K76" i="40"/>
  <c r="N76" i="40"/>
  <c r="O76" i="40"/>
  <c r="P76" i="40"/>
  <c r="A77" i="40"/>
  <c r="B77" i="40"/>
  <c r="D77" i="40"/>
  <c r="E77" i="40"/>
  <c r="F77" i="40"/>
  <c r="G77" i="40"/>
  <c r="H77" i="40"/>
  <c r="K77" i="40"/>
  <c r="N77" i="40"/>
  <c r="O77" i="40"/>
  <c r="P77" i="40"/>
  <c r="A78" i="40"/>
  <c r="B78" i="40"/>
  <c r="D78" i="40"/>
  <c r="E78" i="40"/>
  <c r="F78" i="40"/>
  <c r="G78" i="40"/>
  <c r="H78" i="40"/>
  <c r="K78" i="40"/>
  <c r="N78" i="40"/>
  <c r="O78" i="40"/>
  <c r="P78" i="40"/>
  <c r="A79" i="40"/>
  <c r="B79" i="40"/>
  <c r="D79" i="40"/>
  <c r="E79" i="40"/>
  <c r="F79" i="40"/>
  <c r="G79" i="40"/>
  <c r="H79" i="40"/>
  <c r="K79" i="40"/>
  <c r="N79" i="40"/>
  <c r="O79" i="40"/>
  <c r="P79" i="40"/>
  <c r="A80" i="40"/>
  <c r="B80" i="40"/>
  <c r="D80" i="40"/>
  <c r="E80" i="40"/>
  <c r="F80" i="40"/>
  <c r="G80" i="40"/>
  <c r="H80" i="40"/>
  <c r="K80" i="40"/>
  <c r="N80" i="40"/>
  <c r="O80" i="40"/>
  <c r="P80" i="40"/>
  <c r="A81" i="40"/>
  <c r="B81" i="40"/>
  <c r="D81" i="40"/>
  <c r="E81" i="40"/>
  <c r="F81" i="40"/>
  <c r="G81" i="40"/>
  <c r="H81" i="40"/>
  <c r="K81" i="40"/>
  <c r="N81" i="40"/>
  <c r="O81" i="40"/>
  <c r="P81" i="40"/>
  <c r="A82" i="40"/>
  <c r="B82" i="40"/>
  <c r="D82" i="40"/>
  <c r="E82" i="40"/>
  <c r="F82" i="40"/>
  <c r="G82" i="40"/>
  <c r="H82" i="40"/>
  <c r="K82" i="40"/>
  <c r="N82" i="40"/>
  <c r="O82" i="40"/>
  <c r="P82" i="40"/>
  <c r="A83" i="40"/>
  <c r="B83" i="40"/>
  <c r="D83" i="40"/>
  <c r="E83" i="40"/>
  <c r="F83" i="40"/>
  <c r="G83" i="40"/>
  <c r="H83" i="40"/>
  <c r="K83" i="40"/>
  <c r="N83" i="40"/>
  <c r="O83" i="40"/>
  <c r="P83" i="40"/>
  <c r="A84" i="40"/>
  <c r="B84" i="40"/>
  <c r="D84" i="40"/>
  <c r="E84" i="40"/>
  <c r="F84" i="40"/>
  <c r="G84" i="40"/>
  <c r="H84" i="40"/>
  <c r="K84" i="40"/>
  <c r="N84" i="40"/>
  <c r="O84" i="40"/>
  <c r="P84" i="40"/>
  <c r="A85" i="40"/>
  <c r="B85" i="40"/>
  <c r="D85" i="40"/>
  <c r="E85" i="40"/>
  <c r="F85" i="40"/>
  <c r="G85" i="40"/>
  <c r="H85" i="40"/>
  <c r="K85" i="40"/>
  <c r="N85" i="40"/>
  <c r="O85" i="40"/>
  <c r="P85" i="40"/>
  <c r="A86" i="40"/>
  <c r="B86" i="40"/>
  <c r="D86" i="40"/>
  <c r="E86" i="40"/>
  <c r="F86" i="40"/>
  <c r="G86" i="40"/>
  <c r="H86" i="40"/>
  <c r="K86" i="40"/>
  <c r="N86" i="40"/>
  <c r="O86" i="40"/>
  <c r="P86" i="40"/>
  <c r="A87" i="40"/>
  <c r="B87" i="40"/>
  <c r="D87" i="40"/>
  <c r="E87" i="40"/>
  <c r="F87" i="40"/>
  <c r="G87" i="40"/>
  <c r="H87" i="40"/>
  <c r="K87" i="40"/>
  <c r="N87" i="40"/>
  <c r="O87" i="40"/>
  <c r="P87" i="40"/>
  <c r="A88" i="40"/>
  <c r="B88" i="40"/>
  <c r="D88" i="40"/>
  <c r="E88" i="40"/>
  <c r="F88" i="40"/>
  <c r="G88" i="40"/>
  <c r="H88" i="40"/>
  <c r="K88" i="40"/>
  <c r="N88" i="40"/>
  <c r="O88" i="40"/>
  <c r="P88" i="40"/>
  <c r="A89" i="40"/>
  <c r="B89" i="40"/>
  <c r="D89" i="40"/>
  <c r="E89" i="40"/>
  <c r="F89" i="40"/>
  <c r="G89" i="40"/>
  <c r="H89" i="40"/>
  <c r="K89" i="40"/>
  <c r="N89" i="40"/>
  <c r="O89" i="40"/>
  <c r="P89" i="40"/>
  <c r="A90" i="40"/>
  <c r="B90" i="40"/>
  <c r="D90" i="40"/>
  <c r="E90" i="40"/>
  <c r="F90" i="40"/>
  <c r="G90" i="40"/>
  <c r="H90" i="40"/>
  <c r="K90" i="40"/>
  <c r="N90" i="40"/>
  <c r="O90" i="40"/>
  <c r="P90" i="40"/>
  <c r="A91" i="40"/>
  <c r="B91" i="40"/>
  <c r="D91" i="40"/>
  <c r="E91" i="40"/>
  <c r="F91" i="40"/>
  <c r="G91" i="40"/>
  <c r="H91" i="40"/>
  <c r="K91" i="40"/>
  <c r="N91" i="40"/>
  <c r="O91" i="40"/>
  <c r="P91" i="40"/>
  <c r="A92" i="40"/>
  <c r="B92" i="40"/>
  <c r="D92" i="40"/>
  <c r="E92" i="40"/>
  <c r="F92" i="40"/>
  <c r="G92" i="40"/>
  <c r="H92" i="40"/>
  <c r="K92" i="40"/>
  <c r="N92" i="40"/>
  <c r="O92" i="40"/>
  <c r="P92" i="40"/>
  <c r="A93" i="40"/>
  <c r="B93" i="40"/>
  <c r="D93" i="40"/>
  <c r="E93" i="40"/>
  <c r="F93" i="40"/>
  <c r="G93" i="40"/>
  <c r="H93" i="40"/>
  <c r="K93" i="40"/>
  <c r="N93" i="40"/>
  <c r="O93" i="40"/>
  <c r="P93" i="40"/>
  <c r="A94" i="40"/>
  <c r="B94" i="40"/>
  <c r="D94" i="40"/>
  <c r="E94" i="40"/>
  <c r="F94" i="40"/>
  <c r="G94" i="40"/>
  <c r="H94" i="40"/>
  <c r="K94" i="40"/>
  <c r="N94" i="40"/>
  <c r="O94" i="40"/>
  <c r="P94" i="40"/>
  <c r="A95" i="40"/>
  <c r="B95" i="40"/>
  <c r="D95" i="40"/>
  <c r="E95" i="40"/>
  <c r="F95" i="40"/>
  <c r="G95" i="40"/>
  <c r="H95" i="40"/>
  <c r="K95" i="40"/>
  <c r="N95" i="40"/>
  <c r="O95" i="40"/>
  <c r="P95" i="40"/>
  <c r="A96" i="40"/>
  <c r="B96" i="40"/>
  <c r="D96" i="40"/>
  <c r="E96" i="40"/>
  <c r="F96" i="40"/>
  <c r="G96" i="40"/>
  <c r="H96" i="40"/>
  <c r="K96" i="40"/>
  <c r="N96" i="40"/>
  <c r="O96" i="40"/>
  <c r="P96" i="40"/>
  <c r="A97" i="40"/>
  <c r="B97" i="40"/>
  <c r="D97" i="40"/>
  <c r="E97" i="40"/>
  <c r="F97" i="40"/>
  <c r="G97" i="40"/>
  <c r="H97" i="40"/>
  <c r="K97" i="40"/>
  <c r="N97" i="40"/>
  <c r="O97" i="40"/>
  <c r="P97" i="40"/>
  <c r="A98" i="40"/>
  <c r="B98" i="40"/>
  <c r="D98" i="40"/>
  <c r="E98" i="40"/>
  <c r="F98" i="40"/>
  <c r="G98" i="40"/>
  <c r="H98" i="40"/>
  <c r="K98" i="40"/>
  <c r="N98" i="40"/>
  <c r="O98" i="40"/>
  <c r="P98" i="40"/>
  <c r="A99" i="40"/>
  <c r="B99" i="40"/>
  <c r="D99" i="40"/>
  <c r="E99" i="40"/>
  <c r="F99" i="40"/>
  <c r="G99" i="40"/>
  <c r="H99" i="40"/>
  <c r="K99" i="40"/>
  <c r="N99" i="40"/>
  <c r="O99" i="40"/>
  <c r="P99" i="40"/>
  <c r="A100" i="40"/>
  <c r="B100" i="40"/>
  <c r="D100" i="40"/>
  <c r="E100" i="40"/>
  <c r="F100" i="40"/>
  <c r="G100" i="40"/>
  <c r="H100" i="40"/>
  <c r="K100" i="40"/>
  <c r="N100" i="40"/>
  <c r="O100" i="40"/>
  <c r="P100" i="40"/>
  <c r="A101" i="40"/>
  <c r="B101" i="40"/>
  <c r="D101" i="40"/>
  <c r="E101" i="40"/>
  <c r="F101" i="40"/>
  <c r="G101" i="40"/>
  <c r="H101" i="40"/>
  <c r="K101" i="40"/>
  <c r="N101" i="40"/>
  <c r="O101" i="40"/>
  <c r="P101" i="40"/>
  <c r="A102" i="40"/>
  <c r="B102" i="40"/>
  <c r="D102" i="40"/>
  <c r="E102" i="40"/>
  <c r="F102" i="40"/>
  <c r="G102" i="40"/>
  <c r="H102" i="40"/>
  <c r="K102" i="40"/>
  <c r="N102" i="40"/>
  <c r="O102" i="40"/>
  <c r="P102" i="40"/>
  <c r="A103" i="40"/>
  <c r="B103" i="40"/>
  <c r="D103" i="40"/>
  <c r="E103" i="40"/>
  <c r="F103" i="40"/>
  <c r="G103" i="40"/>
  <c r="H103" i="40"/>
  <c r="K103" i="40"/>
  <c r="N103" i="40"/>
  <c r="O103" i="40"/>
  <c r="P103" i="40"/>
  <c r="A104" i="40"/>
  <c r="B104" i="40"/>
  <c r="D104" i="40"/>
  <c r="E104" i="40"/>
  <c r="F104" i="40"/>
  <c r="G104" i="40"/>
  <c r="H104" i="40"/>
  <c r="K104" i="40"/>
  <c r="N104" i="40"/>
  <c r="O104" i="40"/>
  <c r="P104" i="40"/>
  <c r="A105" i="40"/>
  <c r="B105" i="40"/>
  <c r="D105" i="40"/>
  <c r="E105" i="40"/>
  <c r="F105" i="40"/>
  <c r="G105" i="40"/>
  <c r="H105" i="40"/>
  <c r="K105" i="40"/>
  <c r="N105" i="40"/>
  <c r="O105" i="40"/>
  <c r="P105" i="40"/>
  <c r="A106" i="40"/>
  <c r="B106" i="40"/>
  <c r="D106" i="40"/>
  <c r="E106" i="40"/>
  <c r="F106" i="40"/>
  <c r="G106" i="40"/>
  <c r="H106" i="40"/>
  <c r="K106" i="40"/>
  <c r="N106" i="40"/>
  <c r="O106" i="40"/>
  <c r="P106" i="40"/>
  <c r="A107" i="40"/>
  <c r="B107" i="40"/>
  <c r="D107" i="40"/>
  <c r="E107" i="40"/>
  <c r="F107" i="40"/>
  <c r="G107" i="40"/>
  <c r="H107" i="40"/>
  <c r="K107" i="40"/>
  <c r="N107" i="40"/>
  <c r="O107" i="40"/>
  <c r="P107" i="40"/>
  <c r="A108" i="40"/>
  <c r="B108" i="40"/>
  <c r="D108" i="40"/>
  <c r="E108" i="40"/>
  <c r="F108" i="40"/>
  <c r="G108" i="40"/>
  <c r="H108" i="40"/>
  <c r="K108" i="40"/>
  <c r="N108" i="40"/>
  <c r="O108" i="40"/>
  <c r="P108" i="40"/>
  <c r="A109" i="40"/>
  <c r="B109" i="40"/>
  <c r="D109" i="40"/>
  <c r="E109" i="40"/>
  <c r="F109" i="40"/>
  <c r="G109" i="40"/>
  <c r="H109" i="40"/>
  <c r="K109" i="40"/>
  <c r="N109" i="40"/>
  <c r="O109" i="40"/>
  <c r="P109" i="40"/>
  <c r="A110" i="40"/>
  <c r="B110" i="40"/>
  <c r="D110" i="40"/>
  <c r="E110" i="40"/>
  <c r="F110" i="40"/>
  <c r="G110" i="40"/>
  <c r="H110" i="40"/>
  <c r="K110" i="40"/>
  <c r="N110" i="40"/>
  <c r="O110" i="40"/>
  <c r="P110" i="40"/>
  <c r="A111" i="40"/>
  <c r="B111" i="40"/>
  <c r="D111" i="40"/>
  <c r="E111" i="40"/>
  <c r="F111" i="40"/>
  <c r="G111" i="40"/>
  <c r="H111" i="40"/>
  <c r="K111" i="40"/>
  <c r="N111" i="40"/>
  <c r="O111" i="40"/>
  <c r="P111" i="40"/>
  <c r="A112" i="40"/>
  <c r="B112" i="40"/>
  <c r="D112" i="40"/>
  <c r="E112" i="40"/>
  <c r="F112" i="40"/>
  <c r="G112" i="40"/>
  <c r="H112" i="40"/>
  <c r="K112" i="40"/>
  <c r="N112" i="40"/>
  <c r="O112" i="40"/>
  <c r="P112" i="40"/>
  <c r="A113" i="40"/>
  <c r="B113" i="40"/>
  <c r="D113" i="40"/>
  <c r="E113" i="40"/>
  <c r="F113" i="40"/>
  <c r="G113" i="40"/>
  <c r="H113" i="40"/>
  <c r="K113" i="40"/>
  <c r="N113" i="40"/>
  <c r="O113" i="40"/>
  <c r="P113" i="40"/>
  <c r="A114" i="40"/>
  <c r="B114" i="40"/>
  <c r="D114" i="40"/>
  <c r="E114" i="40"/>
  <c r="F114" i="40"/>
  <c r="G114" i="40"/>
  <c r="H114" i="40"/>
  <c r="K114" i="40"/>
  <c r="N114" i="40"/>
  <c r="O114" i="40"/>
  <c r="P114" i="40"/>
  <c r="A115" i="40"/>
  <c r="B115" i="40"/>
  <c r="D115" i="40"/>
  <c r="E115" i="40"/>
  <c r="F115" i="40"/>
  <c r="G115" i="40"/>
  <c r="H115" i="40"/>
  <c r="K115" i="40"/>
  <c r="N115" i="40"/>
  <c r="O115" i="40"/>
  <c r="P115" i="40"/>
  <c r="A116" i="40"/>
  <c r="B116" i="40"/>
  <c r="D116" i="40"/>
  <c r="E116" i="40"/>
  <c r="F116" i="40"/>
  <c r="G116" i="40"/>
  <c r="H116" i="40"/>
  <c r="K116" i="40"/>
  <c r="N116" i="40"/>
  <c r="O116" i="40"/>
  <c r="P116" i="40"/>
  <c r="A117" i="40"/>
  <c r="B117" i="40"/>
  <c r="D117" i="40"/>
  <c r="E117" i="40"/>
  <c r="F117" i="40"/>
  <c r="G117" i="40"/>
  <c r="H117" i="40"/>
  <c r="K117" i="40"/>
  <c r="N117" i="40"/>
  <c r="O117" i="40"/>
  <c r="P117" i="40"/>
  <c r="A118" i="40"/>
  <c r="B118" i="40"/>
  <c r="D118" i="40"/>
  <c r="E118" i="40"/>
  <c r="F118" i="40"/>
  <c r="G118" i="40"/>
  <c r="H118" i="40"/>
  <c r="K118" i="40"/>
  <c r="N118" i="40"/>
  <c r="O118" i="40"/>
  <c r="P118" i="40"/>
  <c r="A119" i="40"/>
  <c r="B119" i="40"/>
  <c r="D119" i="40"/>
  <c r="E119" i="40"/>
  <c r="F119" i="40"/>
  <c r="G119" i="40"/>
  <c r="H119" i="40"/>
  <c r="K119" i="40"/>
  <c r="N119" i="40"/>
  <c r="O119" i="40"/>
  <c r="P119" i="40"/>
  <c r="A120" i="40"/>
  <c r="B120" i="40"/>
  <c r="D120" i="40"/>
  <c r="E120" i="40"/>
  <c r="F120" i="40"/>
  <c r="G120" i="40"/>
  <c r="H120" i="40"/>
  <c r="K120" i="40"/>
  <c r="N120" i="40"/>
  <c r="O120" i="40"/>
  <c r="P120" i="40"/>
  <c r="A121" i="40"/>
  <c r="B121" i="40"/>
  <c r="D121" i="40"/>
  <c r="E121" i="40"/>
  <c r="F121" i="40"/>
  <c r="G121" i="40"/>
  <c r="H121" i="40"/>
  <c r="K121" i="40"/>
  <c r="N121" i="40"/>
  <c r="O121" i="40"/>
  <c r="P121" i="40"/>
  <c r="A122" i="40"/>
  <c r="B122" i="40"/>
  <c r="D122" i="40"/>
  <c r="E122" i="40"/>
  <c r="F122" i="40"/>
  <c r="G122" i="40"/>
  <c r="H122" i="40"/>
  <c r="K122" i="40"/>
  <c r="N122" i="40"/>
  <c r="O122" i="40"/>
  <c r="P122" i="40"/>
  <c r="A123" i="40"/>
  <c r="B123" i="40"/>
  <c r="D123" i="40"/>
  <c r="E123" i="40"/>
  <c r="F123" i="40"/>
  <c r="G123" i="40"/>
  <c r="H123" i="40"/>
  <c r="K123" i="40"/>
  <c r="N123" i="40"/>
  <c r="O123" i="40"/>
  <c r="P123" i="40"/>
  <c r="A124" i="40"/>
  <c r="B124" i="40"/>
  <c r="D124" i="40"/>
  <c r="E124" i="40"/>
  <c r="F124" i="40"/>
  <c r="G124" i="40"/>
  <c r="H124" i="40"/>
  <c r="K124" i="40"/>
  <c r="N124" i="40"/>
  <c r="O124" i="40"/>
  <c r="P124" i="40"/>
  <c r="A125" i="40"/>
  <c r="B125" i="40"/>
  <c r="D125" i="40"/>
  <c r="E125" i="40"/>
  <c r="F125" i="40"/>
  <c r="G125" i="40"/>
  <c r="H125" i="40"/>
  <c r="K125" i="40"/>
  <c r="N125" i="40"/>
  <c r="O125" i="40"/>
  <c r="P125" i="40"/>
  <c r="A126" i="40"/>
  <c r="B126" i="40"/>
  <c r="D126" i="40"/>
  <c r="E126" i="40"/>
  <c r="F126" i="40"/>
  <c r="G126" i="40"/>
  <c r="H126" i="40"/>
  <c r="K126" i="40"/>
  <c r="N126" i="40"/>
  <c r="O126" i="40"/>
  <c r="P126" i="40"/>
  <c r="A127" i="40"/>
  <c r="B127" i="40"/>
  <c r="D127" i="40"/>
  <c r="E127" i="40"/>
  <c r="F127" i="40"/>
  <c r="G127" i="40"/>
  <c r="H127" i="40"/>
  <c r="K127" i="40"/>
  <c r="N127" i="40"/>
  <c r="O127" i="40"/>
  <c r="P127" i="40"/>
  <c r="A128" i="40"/>
  <c r="B128" i="40"/>
  <c r="D128" i="40"/>
  <c r="E128" i="40"/>
  <c r="F128" i="40"/>
  <c r="G128" i="40"/>
  <c r="H128" i="40"/>
  <c r="K128" i="40"/>
  <c r="N128" i="40"/>
  <c r="O128" i="40"/>
  <c r="P128" i="40"/>
  <c r="A129" i="40"/>
  <c r="B129" i="40"/>
  <c r="D129" i="40"/>
  <c r="E129" i="40"/>
  <c r="F129" i="40"/>
  <c r="G129" i="40"/>
  <c r="H129" i="40"/>
  <c r="K129" i="40"/>
  <c r="N129" i="40"/>
  <c r="O129" i="40"/>
  <c r="P129" i="40"/>
  <c r="A130" i="40"/>
  <c r="B130" i="40"/>
  <c r="D130" i="40"/>
  <c r="E130" i="40"/>
  <c r="F130" i="40"/>
  <c r="G130" i="40"/>
  <c r="H130" i="40"/>
  <c r="K130" i="40"/>
  <c r="N130" i="40"/>
  <c r="O130" i="40"/>
  <c r="P130" i="40"/>
  <c r="A131" i="40"/>
  <c r="B131" i="40"/>
  <c r="D131" i="40"/>
  <c r="E131" i="40"/>
  <c r="F131" i="40"/>
  <c r="G131" i="40"/>
  <c r="H131" i="40"/>
  <c r="K131" i="40"/>
  <c r="N131" i="40"/>
  <c r="O131" i="40"/>
  <c r="P131" i="40"/>
  <c r="A132" i="40"/>
  <c r="B132" i="40"/>
  <c r="D132" i="40"/>
  <c r="E132" i="40"/>
  <c r="F132" i="40"/>
  <c r="G132" i="40"/>
  <c r="H132" i="40"/>
  <c r="K132" i="40"/>
  <c r="N132" i="40"/>
  <c r="O132" i="40"/>
  <c r="P132" i="40"/>
  <c r="A133" i="40"/>
  <c r="B133" i="40"/>
  <c r="D133" i="40"/>
  <c r="E133" i="40"/>
  <c r="F133" i="40"/>
  <c r="G133" i="40"/>
  <c r="H133" i="40"/>
  <c r="K133" i="40"/>
  <c r="N133" i="40"/>
  <c r="O133" i="40"/>
  <c r="P133" i="40"/>
  <c r="A134" i="40"/>
  <c r="B134" i="40"/>
  <c r="D134" i="40"/>
  <c r="E134" i="40"/>
  <c r="F134" i="40"/>
  <c r="G134" i="40"/>
  <c r="H134" i="40"/>
  <c r="K134" i="40"/>
  <c r="N134" i="40"/>
  <c r="O134" i="40"/>
  <c r="P134" i="40"/>
  <c r="A135" i="40"/>
  <c r="B135" i="40"/>
  <c r="D135" i="40"/>
  <c r="E135" i="40"/>
  <c r="F135" i="40"/>
  <c r="G135" i="40"/>
  <c r="H135" i="40"/>
  <c r="K135" i="40"/>
  <c r="N135" i="40"/>
  <c r="O135" i="40"/>
  <c r="P135" i="40"/>
  <c r="A136" i="40"/>
  <c r="B136" i="40"/>
  <c r="D136" i="40"/>
  <c r="E136" i="40"/>
  <c r="F136" i="40"/>
  <c r="G136" i="40"/>
  <c r="H136" i="40"/>
  <c r="K136" i="40"/>
  <c r="N136" i="40"/>
  <c r="O136" i="40"/>
  <c r="P136" i="40"/>
  <c r="A137" i="40"/>
  <c r="B137" i="40"/>
  <c r="D137" i="40"/>
  <c r="E137" i="40"/>
  <c r="F137" i="40"/>
  <c r="G137" i="40"/>
  <c r="H137" i="40"/>
  <c r="K137" i="40"/>
  <c r="N137" i="40"/>
  <c r="O137" i="40"/>
  <c r="P137" i="40"/>
  <c r="A138" i="40"/>
  <c r="B138" i="40"/>
  <c r="D138" i="40"/>
  <c r="E138" i="40"/>
  <c r="F138" i="40"/>
  <c r="G138" i="40"/>
  <c r="H138" i="40"/>
  <c r="K138" i="40"/>
  <c r="N138" i="40"/>
  <c r="O138" i="40"/>
  <c r="P138" i="40"/>
  <c r="A139" i="40"/>
  <c r="B139" i="40"/>
  <c r="D139" i="40"/>
  <c r="E139" i="40"/>
  <c r="F139" i="40"/>
  <c r="G139" i="40"/>
  <c r="H139" i="40"/>
  <c r="K139" i="40"/>
  <c r="N139" i="40"/>
  <c r="O139" i="40"/>
  <c r="P139" i="40"/>
  <c r="A140" i="40"/>
  <c r="B140" i="40"/>
  <c r="D140" i="40"/>
  <c r="E140" i="40"/>
  <c r="F140" i="40"/>
  <c r="G140" i="40"/>
  <c r="H140" i="40"/>
  <c r="K140" i="40"/>
  <c r="N140" i="40"/>
  <c r="O140" i="40"/>
  <c r="P140" i="40"/>
  <c r="A141" i="40"/>
  <c r="B141" i="40"/>
  <c r="D141" i="40"/>
  <c r="E141" i="40"/>
  <c r="F141" i="40"/>
  <c r="G141" i="40"/>
  <c r="H141" i="40"/>
  <c r="K141" i="40"/>
  <c r="N141" i="40"/>
  <c r="O141" i="40"/>
  <c r="P141" i="40"/>
  <c r="A142" i="40"/>
  <c r="B142" i="40"/>
  <c r="D142" i="40"/>
  <c r="E142" i="40"/>
  <c r="F142" i="40"/>
  <c r="G142" i="40"/>
  <c r="H142" i="40"/>
  <c r="K142" i="40"/>
  <c r="N142" i="40"/>
  <c r="O142" i="40"/>
  <c r="P142" i="40"/>
</calcChain>
</file>

<file path=xl/sharedStrings.xml><?xml version="1.0" encoding="utf-8"?>
<sst xmlns="http://schemas.openxmlformats.org/spreadsheetml/2006/main" count="991" uniqueCount="294">
  <si>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</si>
  <si>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</si>
  <si>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</si>
  <si>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</si>
  <si>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</si>
  <si>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</si>
  <si>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</si>
  <si>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</si>
  <si>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</si>
  <si>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</si>
  <si>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</si>
  <si>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</si>
  <si>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</si>
  <si>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</si>
  <si>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</si>
  <si>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</si>
  <si>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</si>
  <si>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</si>
  <si>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</si>
  <si>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</si>
  <si>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</si>
  <si>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</si>
  <si>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</si>
  <si>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</si>
  <si>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</si>
  <si>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</si>
  <si>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</si>
  <si>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</si>
  <si>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</si>
  <si>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</si>
  <si>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</si>
  <si>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</si>
  <si>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</si>
  <si>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</si>
  <si>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</si>
  <si>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</si>
  <si>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</si>
  <si>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</si>
  <si>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</si>
  <si>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</si>
  <si>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</si>
  <si>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</si>
  <si>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</si>
  <si>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</si>
  <si>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</si>
  <si>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</si>
  <si>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</si>
  <si>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</si>
  <si>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</si>
  <si>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</si>
  <si>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</si>
  <si>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</si>
  <si>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</si>
  <si>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</si>
  <si>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</si>
  <si>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</si>
  <si>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</si>
  <si>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</si>
  <si>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</si>
  <si>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</si>
  <si>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</si>
  <si>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</si>
  <si>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</si>
  <si>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</si>
  <si>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</si>
  <si>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</si>
  <si>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</si>
  <si>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</si>
  <si>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</si>
  <si>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</si>
  <si>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</si>
  <si>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</si>
  <si>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</si>
  <si>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</si>
  <si>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</si>
  <si>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</si>
  <si>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</si>
  <si>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</si>
  <si>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</si>
  <si>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</si>
  <si>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</si>
  <si>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</si>
  <si>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</si>
  <si>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</si>
  <si>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</si>
  <si>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</si>
  <si>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</si>
  <si>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</si>
  <si>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</si>
  <si>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</si>
  <si>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</si>
  <si>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</si>
  <si>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</si>
  <si>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</si>
  <si>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</si>
  <si>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</si>
  <si>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</si>
  <si>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</si>
  <si>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</si>
  <si>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</si>
  <si>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</si>
  <si>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</si>
  <si>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</si>
  <si>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</si>
  <si>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</si>
  <si>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</si>
  <si>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</si>
  <si>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</si>
  <si>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</si>
  <si>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</si>
  <si>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</si>
  <si>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</si>
  <si>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</si>
  <si>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</si>
  <si>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STRADDLE</t>
  </si>
  <si>
    <t>CAL3</t>
  </si>
  <si>
    <t>CAL4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</si>
  <si>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</si>
  <si>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</si>
  <si>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</si>
  <si>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</si>
  <si>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</si>
  <si>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</si>
  <si>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</si>
  <si>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</si>
  <si>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</si>
  <si>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</si>
  <si>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</si>
  <si>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</si>
  <si>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</si>
  <si>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</si>
  <si>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NYMEX ADJ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</si>
  <si>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</si>
  <si>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</si>
  <si>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</si>
  <si>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</si>
  <si>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</si>
  <si>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</si>
  <si>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</si>
  <si>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</si>
  <si>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</si>
  <si>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</si>
  <si>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</si>
  <si>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PIPE EXP</t>
  </si>
  <si>
    <t>OPT EXP</t>
  </si>
  <si>
    <t>settle, last or eol?</t>
  </si>
  <si>
    <t>1=call,2=put,3=straddle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</si>
  <si>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</si>
  <si>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</si>
  <si>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</si>
  <si>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</si>
  <si>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</si>
  <si>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</si>
  <si>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</si>
  <si>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</si>
  <si>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</si>
  <si>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PIPE OPT</t>
  </si>
  <si>
    <t>DAYS</t>
  </si>
  <si>
    <t>socal</t>
  </si>
  <si>
    <t>FWD ST FLAG</t>
  </si>
  <si>
    <t/>
  </si>
  <si>
    <t>+</t>
  </si>
  <si>
    <t>-</t>
  </si>
  <si>
    <t>gas daily premiums</t>
  </si>
  <si>
    <t>UNDERLYING</t>
  </si>
  <si>
    <t>I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</si>
  <si>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</si>
  <si>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</si>
  <si>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</si>
  <si>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</si>
  <si>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</si>
  <si>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</si>
  <si>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</si>
  <si>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</si>
  <si>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</si>
  <si>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</si>
  <si>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</si>
  <si>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</si>
  <si>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</si>
  <si>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</si>
  <si>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</si>
  <si>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</si>
  <si>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</si>
  <si>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</si>
  <si>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</si>
  <si>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price adj</t>
  </si>
  <si>
    <t>1=call, 2=put, 3=straddle</t>
  </si>
  <si>
    <t>DELTA IN CONTRACTS</t>
  </si>
  <si>
    <t>PAYOFF</t>
  </si>
  <si>
    <t>YIELD</t>
  </si>
  <si>
    <t>CALL/PUT</t>
  </si>
  <si>
    <t>nymex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</si>
  <si>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</si>
  <si>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</si>
  <si>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</si>
  <si>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</si>
  <si>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</si>
  <si>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</si>
  <si>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</si>
  <si>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</si>
  <si>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</si>
  <si>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</si>
  <si>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</si>
  <si>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</si>
  <si>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</si>
  <si>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</si>
  <si>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</si>
  <si>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</si>
  <si>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</si>
  <si>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</si>
  <si>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</si>
  <si>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</si>
  <si>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</si>
  <si>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</si>
  <si>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</si>
  <si>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</si>
  <si>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</si>
  <si>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</si>
  <si>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</si>
  <si>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</si>
  <si>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</si>
  <si>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</si>
  <si>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</si>
  <si>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</si>
  <si>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</si>
  <si>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</si>
  <si>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</si>
  <si>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</si>
  <si>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</si>
  <si>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</si>
  <si>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</si>
  <si>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</si>
  <si>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</si>
  <si>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</si>
  <si>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</si>
  <si>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</si>
  <si>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</si>
  <si>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</si>
  <si>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</si>
  <si>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</si>
  <si>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</si>
  <si>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</si>
  <si>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</si>
  <si>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</si>
  <si>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</si>
  <si>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</si>
  <si>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</si>
  <si>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</si>
  <si>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</si>
  <si>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</si>
  <si>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</si>
  <si>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</si>
  <si>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</si>
  <si>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</si>
  <si>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</si>
  <si>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</si>
  <si>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</si>
  <si>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</si>
  <si>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</si>
  <si>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</si>
  <si>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</si>
  <si>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</si>
  <si>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</si>
  <si>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</si>
  <si>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</si>
  <si>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</si>
  <si>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</si>
  <si>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</si>
  <si>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</si>
  <si>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</si>
  <si>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</si>
  <si>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</si>
  <si>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</si>
  <si>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</si>
  <si>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</si>
  <si>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</si>
  <si>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</si>
  <si>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</si>
  <si>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</si>
  <si>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</si>
  <si>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</si>
  <si>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STRIKE SET</t>
  </si>
  <si>
    <t>G</t>
  </si>
  <si>
    <t>H</t>
  </si>
  <si>
    <t>X</t>
  </si>
  <si>
    <t>Z</t>
  </si>
  <si>
    <t>J-V</t>
  </si>
  <si>
    <t>CHANGE</t>
  </si>
  <si>
    <t>PRICE</t>
  </si>
  <si>
    <t>Settle,Straddles,Custom?</t>
  </si>
  <si>
    <t>implied by current vol</t>
  </si>
  <si>
    <t xml:space="preserve">CURRENT </t>
  </si>
  <si>
    <t>STRADDLES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</si>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</sst>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48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390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10" fontId="16" fillId="0" borderId="22" xfId="0" applyNumberFormat="1" applyFont="1" applyBorder="1" applyProtection="1"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5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27" fillId="0" borderId="0" xfId="0" applyNumberFormat="1" applyFont="1"/>
    <xf numFmtId="0" fontId="26" fillId="0" borderId="0" xfId="0" applyFont="1" applyBorder="1"/>
    <xf numFmtId="0" fontId="26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28" fillId="0" borderId="0" xfId="0" applyNumberFormat="1" applyFont="1"/>
    <xf numFmtId="17" fontId="28" fillId="0" borderId="0" xfId="0" applyNumberFormat="1" applyFont="1"/>
    <xf numFmtId="10" fontId="29" fillId="2" borderId="0" xfId="0" applyNumberFormat="1" applyFont="1" applyFill="1" applyBorder="1" applyProtection="1">
      <protection locked="0"/>
    </xf>
    <xf numFmtId="0" fontId="28" fillId="0" borderId="0" xfId="0" applyFont="1" applyBorder="1"/>
    <xf numFmtId="0" fontId="29" fillId="0" borderId="0" xfId="0" quotePrefix="1" applyFont="1" applyBorder="1"/>
    <xf numFmtId="0" fontId="30" fillId="0" borderId="0" xfId="0" applyFont="1" applyBorder="1"/>
    <xf numFmtId="0" fontId="31" fillId="0" borderId="0" xfId="0" quotePrefix="1" applyFont="1" applyBorder="1"/>
    <xf numFmtId="0" fontId="31" fillId="2" borderId="0" xfId="0" applyFont="1" applyFill="1" applyBorder="1"/>
    <xf numFmtId="17" fontId="32" fillId="0" borderId="0" xfId="0" applyNumberFormat="1" applyFont="1"/>
    <xf numFmtId="0" fontId="33" fillId="0" borderId="0" xfId="0" applyFont="1"/>
    <xf numFmtId="10" fontId="34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2" fillId="0" borderId="28" xfId="0" applyNumberFormat="1" applyFont="1" applyBorder="1"/>
    <xf numFmtId="165" fontId="14" fillId="0" borderId="28" xfId="0" applyNumberFormat="1" applyFont="1" applyBorder="1"/>
    <xf numFmtId="165" fontId="0" fillId="0" borderId="0" xfId="0" applyNumberFormat="1"/>
    <xf numFmtId="0" fontId="3" fillId="0" borderId="0" xfId="0" applyFon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68" fontId="0" fillId="0" borderId="0" xfId="0" applyNumberFormat="1"/>
    <xf numFmtId="4" fontId="26" fillId="0" borderId="0" xfId="0" applyNumberFormat="1" applyFont="1" applyBorder="1" applyProtection="1">
      <protection locked="0"/>
    </xf>
    <xf numFmtId="165" fontId="31" fillId="0" borderId="29" xfId="0" applyNumberFormat="1" applyFont="1" applyBorder="1"/>
    <xf numFmtId="168" fontId="14" fillId="0" borderId="28" xfId="0" applyNumberFormat="1" applyFont="1" applyBorder="1"/>
    <xf numFmtId="0" fontId="35" fillId="0" borderId="0" xfId="0" applyFont="1"/>
    <xf numFmtId="178" fontId="7" fillId="0" borderId="0" xfId="0" applyNumberFormat="1" applyFont="1"/>
    <xf numFmtId="172" fontId="1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37" fillId="0" borderId="0" xfId="0" applyFont="1" applyAlignment="1">
      <alignment horizontal="center"/>
    </xf>
    <xf numFmtId="1" fontId="37" fillId="3" borderId="31" xfId="0" applyNumberFormat="1" applyFont="1" applyFill="1" applyBorder="1" applyAlignment="1">
      <alignment horizontal="center"/>
    </xf>
    <xf numFmtId="1" fontId="37" fillId="3" borderId="2" xfId="0" applyNumberFormat="1" applyFont="1" applyFill="1" applyBorder="1" applyAlignment="1">
      <alignment horizontal="center"/>
    </xf>
    <xf numFmtId="170" fontId="37" fillId="3" borderId="1" xfId="0" applyNumberFormat="1" applyFont="1" applyFill="1" applyBorder="1" applyAlignment="1">
      <alignment horizontal="center"/>
    </xf>
    <xf numFmtId="1" fontId="37" fillId="3" borderId="32" xfId="0" applyNumberFormat="1" applyFont="1" applyFill="1" applyBorder="1" applyAlignment="1">
      <alignment horizontal="center"/>
    </xf>
    <xf numFmtId="1" fontId="37" fillId="3" borderId="33" xfId="0" applyNumberFormat="1" applyFont="1" applyFill="1" applyBorder="1" applyAlignment="1">
      <alignment horizontal="center"/>
    </xf>
    <xf numFmtId="17" fontId="37" fillId="3" borderId="31" xfId="0" applyNumberFormat="1" applyFont="1" applyFill="1" applyBorder="1" applyAlignment="1">
      <alignment horizontal="center"/>
    </xf>
    <xf numFmtId="17" fontId="37" fillId="3" borderId="10" xfId="0" applyNumberFormat="1" applyFont="1" applyFill="1" applyBorder="1" applyAlignment="1">
      <alignment horizontal="center"/>
    </xf>
    <xf numFmtId="17" fontId="37" fillId="4" borderId="10" xfId="0" applyNumberFormat="1" applyFont="1" applyFill="1" applyBorder="1" applyAlignment="1">
      <alignment horizontal="center"/>
    </xf>
    <xf numFmtId="17" fontId="37" fillId="4" borderId="11" xfId="0" applyNumberFormat="1" applyFont="1" applyFill="1" applyBorder="1" applyAlignment="1">
      <alignment horizontal="center"/>
    </xf>
    <xf numFmtId="165" fontId="37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37" fillId="5" borderId="34" xfId="4" applyNumberFormat="1" applyFont="1" applyFill="1" applyBorder="1" applyAlignment="1">
      <alignment horizontal="center"/>
    </xf>
    <xf numFmtId="180" fontId="37" fillId="5" borderId="35" xfId="4" applyNumberFormat="1" applyFont="1" applyFill="1" applyBorder="1" applyAlignment="1">
      <alignment horizontal="center"/>
    </xf>
    <xf numFmtId="180" fontId="38" fillId="6" borderId="36" xfId="0" applyNumberFormat="1" applyFont="1" applyFill="1" applyBorder="1" applyAlignment="1">
      <alignment horizontal="center"/>
    </xf>
    <xf numFmtId="180" fontId="37" fillId="6" borderId="37" xfId="4" applyNumberFormat="1" applyFont="1" applyFill="1" applyBorder="1" applyAlignment="1">
      <alignment horizontal="center"/>
    </xf>
    <xf numFmtId="180" fontId="38" fillId="6" borderId="37" xfId="0" applyNumberFormat="1" applyFont="1" applyFill="1" applyBorder="1" applyAlignment="1">
      <alignment horizontal="center"/>
    </xf>
    <xf numFmtId="180" fontId="37" fillId="6" borderId="35" xfId="4" applyNumberFormat="1" applyFont="1" applyFill="1" applyBorder="1" applyAlignment="1">
      <alignment horizontal="center"/>
    </xf>
    <xf numFmtId="180" fontId="37" fillId="5" borderId="36" xfId="4" applyNumberFormat="1" applyFont="1" applyFill="1" applyBorder="1" applyAlignment="1">
      <alignment horizontal="center"/>
    </xf>
    <xf numFmtId="180" fontId="37" fillId="5" borderId="38" xfId="4" applyNumberFormat="1" applyFont="1" applyFill="1" applyBorder="1" applyAlignment="1">
      <alignment horizontal="center"/>
    </xf>
    <xf numFmtId="180" fontId="37" fillId="5" borderId="39" xfId="4" applyNumberFormat="1" applyFont="1" applyFill="1" applyBorder="1" applyAlignment="1">
      <alignment horizontal="center"/>
    </xf>
    <xf numFmtId="180" fontId="38" fillId="6" borderId="25" xfId="0" applyNumberFormat="1" applyFont="1" applyFill="1" applyBorder="1" applyAlignment="1">
      <alignment horizontal="center"/>
    </xf>
    <xf numFmtId="180" fontId="37" fillId="6" borderId="22" xfId="4" applyNumberFormat="1" applyFont="1" applyFill="1" applyBorder="1" applyAlignment="1">
      <alignment horizontal="center"/>
    </xf>
    <xf numFmtId="180" fontId="38" fillId="6" borderId="22" xfId="0" applyNumberFormat="1" applyFont="1" applyFill="1" applyBorder="1" applyAlignment="1">
      <alignment horizontal="center"/>
    </xf>
    <xf numFmtId="180" fontId="37" fillId="6" borderId="39" xfId="4" applyNumberFormat="1" applyFont="1" applyFill="1" applyBorder="1" applyAlignment="1">
      <alignment horizontal="center"/>
    </xf>
    <xf numFmtId="180" fontId="37" fillId="5" borderId="25" xfId="4" applyNumberFormat="1" applyFont="1" applyFill="1" applyBorder="1" applyAlignment="1">
      <alignment horizontal="center"/>
    </xf>
    <xf numFmtId="180" fontId="37" fillId="5" borderId="38" xfId="0" applyNumberFormat="1" applyFont="1" applyFill="1" applyBorder="1" applyAlignment="1">
      <alignment horizontal="center"/>
    </xf>
    <xf numFmtId="180" fontId="37" fillId="5" borderId="39" xfId="0" applyNumberFormat="1" applyFont="1" applyFill="1" applyBorder="1" applyAlignment="1">
      <alignment horizontal="center"/>
    </xf>
    <xf numFmtId="180" fontId="37" fillId="6" borderId="22" xfId="0" applyNumberFormat="1" applyFont="1" applyFill="1" applyBorder="1" applyAlignment="1">
      <alignment horizontal="center"/>
    </xf>
    <xf numFmtId="180" fontId="37" fillId="6" borderId="39" xfId="0" applyNumberFormat="1" applyFont="1" applyFill="1" applyBorder="1" applyAlignment="1">
      <alignment horizontal="center"/>
    </xf>
    <xf numFmtId="180" fontId="37" fillId="5" borderId="25" xfId="0" applyNumberFormat="1" applyFont="1" applyFill="1" applyBorder="1" applyAlignment="1">
      <alignment horizontal="center"/>
    </xf>
    <xf numFmtId="180" fontId="37" fillId="5" borderId="14" xfId="0" applyNumberFormat="1" applyFont="1" applyFill="1" applyBorder="1" applyAlignment="1">
      <alignment horizontal="center"/>
    </xf>
    <xf numFmtId="180" fontId="37" fillId="5" borderId="5" xfId="0" applyNumberFormat="1" applyFont="1" applyFill="1" applyBorder="1" applyAlignment="1">
      <alignment horizontal="center"/>
    </xf>
    <xf numFmtId="180" fontId="37" fillId="4" borderId="38" xfId="0" applyNumberFormat="1" applyFont="1" applyFill="1" applyBorder="1" applyAlignment="1">
      <alignment horizontal="center"/>
    </xf>
    <xf numFmtId="180" fontId="37" fillId="4" borderId="39" xfId="0" applyNumberFormat="1" applyFont="1" applyFill="1" applyBorder="1" applyAlignment="1">
      <alignment horizontal="center"/>
    </xf>
    <xf numFmtId="180" fontId="38" fillId="4" borderId="25" xfId="0" applyNumberFormat="1" applyFont="1" applyFill="1" applyBorder="1" applyAlignment="1">
      <alignment horizontal="center"/>
    </xf>
    <xf numFmtId="180" fontId="37" fillId="4" borderId="22" xfId="0" applyNumberFormat="1" applyFont="1" applyFill="1" applyBorder="1" applyAlignment="1">
      <alignment horizontal="center"/>
    </xf>
    <xf numFmtId="180" fontId="38" fillId="4" borderId="22" xfId="0" applyNumberFormat="1" applyFont="1" applyFill="1" applyBorder="1" applyAlignment="1">
      <alignment horizontal="center"/>
    </xf>
    <xf numFmtId="180" fontId="37" fillId="4" borderId="25" xfId="0" applyNumberFormat="1" applyFont="1" applyFill="1" applyBorder="1" applyAlignment="1">
      <alignment horizontal="center"/>
    </xf>
    <xf numFmtId="180" fontId="37" fillId="4" borderId="40" xfId="0" applyNumberFormat="1" applyFont="1" applyFill="1" applyBorder="1" applyAlignment="1">
      <alignment horizontal="center"/>
    </xf>
    <xf numFmtId="180" fontId="37" fillId="4" borderId="41" xfId="0" applyNumberFormat="1" applyFont="1" applyFill="1" applyBorder="1" applyAlignment="1">
      <alignment horizontal="center"/>
    </xf>
    <xf numFmtId="180" fontId="37" fillId="4" borderId="42" xfId="0" applyNumberFormat="1" applyFont="1" applyFill="1" applyBorder="1" applyAlignment="1">
      <alignment horizontal="center"/>
    </xf>
    <xf numFmtId="180" fontId="38" fillId="4" borderId="43" xfId="0" applyNumberFormat="1" applyFont="1" applyFill="1" applyBorder="1" applyAlignment="1">
      <alignment horizontal="center"/>
    </xf>
    <xf numFmtId="180" fontId="37" fillId="4" borderId="44" xfId="0" applyNumberFormat="1" applyFont="1" applyFill="1" applyBorder="1" applyAlignment="1">
      <alignment horizontal="center"/>
    </xf>
    <xf numFmtId="180" fontId="38" fillId="4" borderId="44" xfId="0" applyNumberFormat="1" applyFont="1" applyFill="1" applyBorder="1" applyAlignment="1">
      <alignment horizontal="center"/>
    </xf>
    <xf numFmtId="180" fontId="37" fillId="4" borderId="43" xfId="0" applyNumberFormat="1" applyFont="1" applyFill="1" applyBorder="1" applyAlignment="1">
      <alignment horizontal="center"/>
    </xf>
    <xf numFmtId="180" fontId="37" fillId="4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0" fillId="0" borderId="0" xfId="0" applyNumberFormat="1" applyFont="1"/>
    <xf numFmtId="1" fontId="35" fillId="0" borderId="0" xfId="0" applyNumberFormat="1" applyFont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6" fillId="0" borderId="0" xfId="0" applyNumberFormat="1" applyFont="1" applyBorder="1"/>
    <xf numFmtId="0" fontId="26" fillId="0" borderId="46" xfId="0" applyFont="1" applyBorder="1" applyProtection="1">
      <protection locked="0"/>
    </xf>
    <xf numFmtId="0" fontId="26" fillId="0" borderId="27" xfId="0" applyFont="1" applyBorder="1"/>
    <xf numFmtId="0" fontId="26" fillId="0" borderId="47" xfId="0" applyFont="1" applyBorder="1" applyProtection="1">
      <protection locked="0"/>
    </xf>
    <xf numFmtId="9" fontId="26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26" fillId="0" borderId="0" xfId="0" applyNumberFormat="1" applyFont="1" applyBorder="1"/>
    <xf numFmtId="6" fontId="35" fillId="0" borderId="0" xfId="0" applyNumberFormat="1" applyFont="1"/>
    <xf numFmtId="14" fontId="35" fillId="0" borderId="0" xfId="0" applyNumberFormat="1" applyFont="1"/>
    <xf numFmtId="8" fontId="35" fillId="0" borderId="0" xfId="0" applyNumberFormat="1" applyFont="1"/>
    <xf numFmtId="40" fontId="35" fillId="0" borderId="0" xfId="0" applyNumberFormat="1" applyFont="1"/>
    <xf numFmtId="14" fontId="15" fillId="0" borderId="0" xfId="0" applyNumberFormat="1" applyFont="1" applyBorder="1" applyProtection="1">
      <protection locked="0"/>
    </xf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2" fillId="0" borderId="0" xfId="0" applyFont="1"/>
    <xf numFmtId="0" fontId="42" fillId="0" borderId="15" xfId="0" applyFont="1" applyBorder="1"/>
    <xf numFmtId="17" fontId="42" fillId="0" borderId="0" xfId="0" applyNumberFormat="1" applyFont="1"/>
    <xf numFmtId="2" fontId="43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7" borderId="0" xfId="0" applyNumberFormat="1" applyFill="1" applyBorder="1" applyAlignment="1">
      <alignment horizontal="right"/>
    </xf>
    <xf numFmtId="187" fontId="0" fillId="7" borderId="0" xfId="0" applyNumberFormat="1" applyFill="1" applyBorder="1" applyAlignment="1">
      <alignment horizontal="right"/>
    </xf>
    <xf numFmtId="190" fontId="0" fillId="7" borderId="0" xfId="0" applyNumberFormat="1" applyFill="1" applyBorder="1" applyAlignment="1">
      <alignment horizontal="right"/>
    </xf>
    <xf numFmtId="0" fontId="0" fillId="0" borderId="21" xfId="0" applyBorder="1"/>
    <xf numFmtId="187" fontId="44" fillId="0" borderId="21" xfId="0" applyNumberFormat="1" applyFont="1" applyBorder="1" applyAlignment="1">
      <alignment horizontal="right"/>
    </xf>
    <xf numFmtId="0" fontId="44" fillId="0" borderId="21" xfId="0" applyFont="1" applyBorder="1" applyAlignment="1">
      <alignment horizontal="right"/>
    </xf>
    <xf numFmtId="191" fontId="44" fillId="0" borderId="21" xfId="0" applyNumberFormat="1" applyFont="1" applyBorder="1" applyAlignment="1">
      <alignment horizontal="right"/>
    </xf>
    <xf numFmtId="174" fontId="44" fillId="0" borderId="21" xfId="0" applyNumberFormat="1" applyFont="1" applyBorder="1" applyAlignment="1">
      <alignment horizontal="right"/>
    </xf>
    <xf numFmtId="0" fontId="44" fillId="0" borderId="21" xfId="0" applyFont="1" applyBorder="1"/>
    <xf numFmtId="167" fontId="44" fillId="0" borderId="21" xfId="0" applyNumberFormat="1" applyFont="1" applyBorder="1" applyAlignment="1">
      <alignment horizontal="right"/>
    </xf>
    <xf numFmtId="10" fontId="44" fillId="0" borderId="21" xfId="0" applyNumberFormat="1" applyFont="1" applyBorder="1" applyAlignment="1">
      <alignment horizontal="right"/>
    </xf>
    <xf numFmtId="0" fontId="44" fillId="3" borderId="21" xfId="0" applyFont="1" applyFill="1" applyBorder="1"/>
    <xf numFmtId="0" fontId="12" fillId="7" borderId="48" xfId="0" applyFont="1" applyFill="1" applyBorder="1" applyAlignment="1">
      <alignment wrapText="1"/>
    </xf>
    <xf numFmtId="0" fontId="12" fillId="7" borderId="49" xfId="0" applyFont="1" applyFill="1" applyBorder="1" applyAlignment="1">
      <alignment horizontal="center" wrapText="1"/>
    </xf>
    <xf numFmtId="0" fontId="12" fillId="7" borderId="50" xfId="0" applyFont="1" applyFill="1" applyBorder="1" applyAlignment="1">
      <alignment wrapText="1"/>
    </xf>
    <xf numFmtId="0" fontId="12" fillId="7" borderId="50" xfId="0" applyFont="1" applyFill="1" applyBorder="1" applyAlignment="1">
      <alignment horizontal="center" wrapText="1"/>
    </xf>
    <xf numFmtId="15" fontId="12" fillId="7" borderId="50" xfId="0" applyNumberFormat="1" applyFont="1" applyFill="1" applyBorder="1" applyAlignment="1">
      <alignment horizontal="right" wrapText="1"/>
    </xf>
    <xf numFmtId="187" fontId="12" fillId="7" borderId="50" xfId="0" applyNumberFormat="1" applyFont="1" applyFill="1" applyBorder="1" applyAlignment="1">
      <alignment horizontal="right" wrapText="1"/>
    </xf>
    <xf numFmtId="188" fontId="12" fillId="7" borderId="51" xfId="0" applyNumberFormat="1" applyFont="1" applyFill="1" applyBorder="1" applyAlignment="1">
      <alignment horizontal="right" wrapText="1"/>
    </xf>
    <xf numFmtId="188" fontId="12" fillId="4" borderId="48" xfId="0" applyNumberFormat="1" applyFont="1" applyFill="1" applyBorder="1" applyAlignment="1">
      <alignment horizontal="right" wrapText="1"/>
    </xf>
    <xf numFmtId="188" fontId="12" fillId="4" borderId="50" xfId="0" applyNumberFormat="1" applyFont="1" applyFill="1" applyBorder="1" applyAlignment="1">
      <alignment horizontal="right" wrapText="1"/>
    </xf>
    <xf numFmtId="174" fontId="12" fillId="4" borderId="50" xfId="0" applyNumberFormat="1" applyFont="1" applyFill="1" applyBorder="1" applyAlignment="1">
      <alignment horizontal="right" wrapText="1"/>
    </xf>
    <xf numFmtId="10" fontId="12" fillId="4" borderId="50" xfId="0" applyNumberFormat="1" applyFont="1" applyFill="1" applyBorder="1" applyAlignment="1">
      <alignment horizontal="right" wrapText="1"/>
    </xf>
    <xf numFmtId="15" fontId="12" fillId="4" borderId="50" xfId="0" applyNumberFormat="1" applyFont="1" applyFill="1" applyBorder="1" applyAlignment="1">
      <alignment horizontal="right" wrapText="1"/>
    </xf>
    <xf numFmtId="188" fontId="12" fillId="6" borderId="48" xfId="0" applyNumberFormat="1" applyFont="1" applyFill="1" applyBorder="1" applyAlignment="1">
      <alignment horizontal="right" wrapText="1"/>
    </xf>
    <xf numFmtId="188" fontId="12" fillId="6" borderId="49" xfId="0" applyNumberFormat="1" applyFont="1" applyFill="1" applyBorder="1" applyAlignment="1">
      <alignment horizontal="right" wrapText="1"/>
    </xf>
    <xf numFmtId="189" fontId="12" fillId="6" borderId="25" xfId="0" applyNumberFormat="1" applyFont="1" applyFill="1" applyBorder="1" applyAlignment="1">
      <alignment horizontal="right" wrapText="1"/>
    </xf>
    <xf numFmtId="190" fontId="12" fillId="3" borderId="48" xfId="0" applyNumberFormat="1" applyFont="1" applyFill="1" applyBorder="1" applyAlignment="1">
      <alignment horizontal="right" wrapText="1"/>
    </xf>
    <xf numFmtId="187" fontId="12" fillId="8" borderId="50" xfId="0" applyNumberFormat="1" applyFont="1" applyFill="1" applyBorder="1" applyAlignment="1">
      <alignment horizontal="right" wrapText="1"/>
    </xf>
    <xf numFmtId="187" fontId="12" fillId="8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7" borderId="0" xfId="0" applyNumberFormat="1" applyFont="1" applyFill="1" applyAlignment="1">
      <alignment horizontal="right" wrapText="1"/>
    </xf>
    <xf numFmtId="187" fontId="12" fillId="7" borderId="0" xfId="0" applyNumberFormat="1" applyFont="1" applyFill="1" applyAlignment="1">
      <alignment horizontal="right" wrapText="1"/>
    </xf>
    <xf numFmtId="190" fontId="12" fillId="7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5" fillId="0" borderId="0" xfId="0" applyNumberFormat="1" applyFont="1" applyAlignment="1">
      <alignment horizontal="right" wrapText="1"/>
    </xf>
    <xf numFmtId="0" fontId="45" fillId="0" borderId="0" xfId="0" applyFont="1" applyAlignment="1">
      <alignment horizontal="right" wrapText="1"/>
    </xf>
    <xf numFmtId="191" fontId="45" fillId="0" borderId="0" xfId="0" applyNumberFormat="1" applyFont="1" applyAlignment="1">
      <alignment horizontal="right" wrapText="1"/>
    </xf>
    <xf numFmtId="174" fontId="45" fillId="0" borderId="0" xfId="0" applyNumberFormat="1" applyFont="1" applyAlignment="1">
      <alignment horizontal="right" wrapText="1"/>
    </xf>
    <xf numFmtId="167" fontId="45" fillId="0" borderId="0" xfId="0" applyNumberFormat="1" applyFont="1" applyAlignment="1">
      <alignment horizontal="right" wrapText="1"/>
    </xf>
    <xf numFmtId="10" fontId="45" fillId="0" borderId="0" xfId="0" applyNumberFormat="1" applyFont="1" applyAlignment="1">
      <alignment horizontal="right" wrapText="1"/>
    </xf>
    <xf numFmtId="0" fontId="45" fillId="0" borderId="0" xfId="0" applyFont="1" applyAlignment="1">
      <alignment wrapText="1"/>
    </xf>
    <xf numFmtId="0" fontId="45" fillId="3" borderId="0" xfId="0" applyFont="1" applyFill="1" applyAlignment="1">
      <alignment wrapText="1"/>
    </xf>
    <xf numFmtId="0" fontId="46" fillId="0" borderId="0" xfId="0" applyFont="1" applyAlignment="1">
      <alignment horizontal="center"/>
    </xf>
    <xf numFmtId="1" fontId="47" fillId="3" borderId="31" xfId="0" applyNumberFormat="1" applyFont="1" applyFill="1" applyBorder="1" applyAlignment="1">
      <alignment horizontal="center"/>
    </xf>
    <xf numFmtId="1" fontId="47" fillId="3" borderId="2" xfId="0" applyNumberFormat="1" applyFont="1" applyFill="1" applyBorder="1" applyAlignment="1">
      <alignment horizontal="center"/>
    </xf>
    <xf numFmtId="170" fontId="47" fillId="3" borderId="1" xfId="0" applyNumberFormat="1" applyFont="1" applyFill="1" applyBorder="1" applyAlignment="1">
      <alignment horizontal="center"/>
    </xf>
    <xf numFmtId="1" fontId="47" fillId="3" borderId="32" xfId="0" applyNumberFormat="1" applyFont="1" applyFill="1" applyBorder="1" applyAlignment="1">
      <alignment horizontal="center"/>
    </xf>
    <xf numFmtId="1" fontId="47" fillId="3" borderId="33" xfId="0" applyNumberFormat="1" applyFont="1" applyFill="1" applyBorder="1" applyAlignment="1">
      <alignment horizontal="center"/>
    </xf>
    <xf numFmtId="17" fontId="47" fillId="3" borderId="10" xfId="0" applyNumberFormat="1" applyFont="1" applyFill="1" applyBorder="1" applyAlignment="1">
      <alignment horizontal="center"/>
    </xf>
    <xf numFmtId="2" fontId="47" fillId="5" borderId="38" xfId="4" applyNumberFormat="1" applyFont="1" applyFill="1" applyBorder="1" applyAlignment="1">
      <alignment horizontal="center"/>
    </xf>
    <xf numFmtId="2" fontId="47" fillId="5" borderId="39" xfId="4" applyNumberFormat="1" applyFont="1" applyFill="1" applyBorder="1" applyAlignment="1">
      <alignment horizontal="center"/>
    </xf>
    <xf numFmtId="2" fontId="12" fillId="6" borderId="25" xfId="0" applyNumberFormat="1" applyFont="1" applyFill="1" applyBorder="1" applyAlignment="1">
      <alignment horizontal="center"/>
    </xf>
    <xf numFmtId="2" fontId="47" fillId="6" borderId="22" xfId="4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47" fillId="6" borderId="39" xfId="4" applyNumberFormat="1" applyFont="1" applyFill="1" applyBorder="1" applyAlignment="1">
      <alignment horizontal="center"/>
    </xf>
    <xf numFmtId="2" fontId="47" fillId="5" borderId="25" xfId="4" applyNumberFormat="1" applyFont="1" applyFill="1" applyBorder="1" applyAlignment="1">
      <alignment horizontal="center"/>
    </xf>
    <xf numFmtId="2" fontId="47" fillId="5" borderId="38" xfId="0" applyNumberFormat="1" applyFont="1" applyFill="1" applyBorder="1" applyAlignment="1">
      <alignment horizontal="center"/>
    </xf>
    <xf numFmtId="2" fontId="47" fillId="5" borderId="39" xfId="0" applyNumberFormat="1" applyFont="1" applyFill="1" applyBorder="1" applyAlignment="1">
      <alignment horizontal="center"/>
    </xf>
    <xf numFmtId="2" fontId="47" fillId="6" borderId="22" xfId="0" applyNumberFormat="1" applyFont="1" applyFill="1" applyBorder="1" applyAlignment="1">
      <alignment horizontal="center"/>
    </xf>
    <xf numFmtId="2" fontId="47" fillId="6" borderId="39" xfId="0" applyNumberFormat="1" applyFont="1" applyFill="1" applyBorder="1" applyAlignment="1">
      <alignment horizontal="center"/>
    </xf>
    <xf numFmtId="2" fontId="47" fillId="5" borderId="25" xfId="0" applyNumberFormat="1" applyFont="1" applyFill="1" applyBorder="1" applyAlignment="1">
      <alignment horizontal="center"/>
    </xf>
    <xf numFmtId="2" fontId="47" fillId="5" borderId="14" xfId="0" applyNumberFormat="1" applyFont="1" applyFill="1" applyBorder="1" applyAlignment="1">
      <alignment horizontal="center"/>
    </xf>
    <xf numFmtId="2" fontId="47" fillId="5" borderId="5" xfId="0" applyNumberFormat="1" applyFont="1" applyFill="1" applyBorder="1" applyAlignment="1">
      <alignment horizontal="center"/>
    </xf>
    <xf numFmtId="17" fontId="47" fillId="4" borderId="10" xfId="0" applyNumberFormat="1" applyFont="1" applyFill="1" applyBorder="1" applyAlignment="1">
      <alignment horizontal="center"/>
    </xf>
    <xf numFmtId="2" fontId="47" fillId="4" borderId="38" xfId="0" applyNumberFormat="1" applyFont="1" applyFill="1" applyBorder="1" applyAlignment="1">
      <alignment horizontal="center"/>
    </xf>
    <xf numFmtId="2" fontId="47" fillId="4" borderId="39" xfId="0" applyNumberFormat="1" applyFont="1" applyFill="1" applyBorder="1" applyAlignment="1">
      <alignment horizontal="center"/>
    </xf>
    <xf numFmtId="0" fontId="12" fillId="4" borderId="25" xfId="0" applyFont="1" applyFill="1" applyBorder="1" applyAlignment="1">
      <alignment horizontal="center"/>
    </xf>
    <xf numFmtId="2" fontId="47" fillId="4" borderId="22" xfId="0" applyNumberFormat="1" applyFont="1" applyFill="1" applyBorder="1" applyAlignment="1">
      <alignment horizontal="center"/>
    </xf>
    <xf numFmtId="2" fontId="12" fillId="4" borderId="22" xfId="0" applyNumberFormat="1" applyFont="1" applyFill="1" applyBorder="1" applyAlignment="1">
      <alignment horizontal="center"/>
    </xf>
    <xf numFmtId="2" fontId="47" fillId="4" borderId="25" xfId="0" applyNumberFormat="1" applyFont="1" applyFill="1" applyBorder="1" applyAlignment="1">
      <alignment horizontal="center"/>
    </xf>
    <xf numFmtId="2" fontId="47" fillId="4" borderId="40" xfId="0" applyNumberFormat="1" applyFont="1" applyFill="1" applyBorder="1" applyAlignment="1">
      <alignment horizontal="center"/>
    </xf>
    <xf numFmtId="17" fontId="47" fillId="4" borderId="11" xfId="0" applyNumberFormat="1" applyFont="1" applyFill="1" applyBorder="1" applyAlignment="1">
      <alignment horizontal="center"/>
    </xf>
    <xf numFmtId="2" fontId="47" fillId="4" borderId="41" xfId="0" applyNumberFormat="1" applyFont="1" applyFill="1" applyBorder="1" applyAlignment="1">
      <alignment horizontal="center"/>
    </xf>
    <xf numFmtId="2" fontId="47" fillId="4" borderId="42" xfId="0" applyNumberFormat="1" applyFont="1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2" fontId="47" fillId="4" borderId="44" xfId="0" applyNumberFormat="1" applyFont="1" applyFill="1" applyBorder="1" applyAlignment="1">
      <alignment horizontal="center"/>
    </xf>
    <xf numFmtId="0" fontId="12" fillId="4" borderId="44" xfId="0" applyFont="1" applyFill="1" applyBorder="1" applyAlignment="1">
      <alignment horizontal="center"/>
    </xf>
    <xf numFmtId="2" fontId="12" fillId="4" borderId="44" xfId="0" applyNumberFormat="1" applyFont="1" applyFill="1" applyBorder="1" applyAlignment="1">
      <alignment horizontal="center"/>
    </xf>
    <xf numFmtId="2" fontId="47" fillId="4" borderId="43" xfId="0" applyNumberFormat="1" applyFont="1" applyFill="1" applyBorder="1" applyAlignment="1">
      <alignment horizontal="center"/>
    </xf>
    <xf numFmtId="2" fontId="47" fillId="4" borderId="45" xfId="0" applyNumberFormat="1" applyFont="1" applyFill="1" applyBorder="1" applyAlignment="1">
      <alignment horizontal="center"/>
    </xf>
    <xf numFmtId="0" fontId="39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0" fontId="14" fillId="0" borderId="0" xfId="0" applyFont="1" applyFill="1" applyBorder="1"/>
    <xf numFmtId="183" fontId="41" fillId="0" borderId="0" xfId="0" applyNumberFormat="1" applyFont="1" applyBorder="1"/>
    <xf numFmtId="17" fontId="36" fillId="3" borderId="32" xfId="0" applyNumberFormat="1" applyFont="1" applyFill="1" applyBorder="1" applyAlignment="1">
      <alignment horizontal="center"/>
    </xf>
    <xf numFmtId="17" fontId="36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3,PRIM ACT 1,1" advise="1">
        <values>
          <value>
            <val>3.18</val>
          </value>
        </values>
      </ddeItem>
      <ddeItem name="NGF4,PRIM ACT 1,1" advise="1">
        <values>
          <value>
            <val>3.2559999999999998</val>
          </value>
        </values>
      </ddeItem>
      <ddeItem name="NGG2,PRIM ACT 1,1" advise="1">
        <values>
          <value>
            <val>2.3199999999999998</val>
          </value>
        </values>
      </ddeItem>
      <ddeItem name="NGG3,PRIM ACT 1,1" advise="1">
        <values>
          <value>
            <val>3.15</val>
          </value>
        </values>
      </ddeItem>
      <ddeItem name="NGG4,PRIM ACT 1,1" advise="1">
        <values>
          <value>
            <val>3.35</val>
          </value>
        </values>
      </ddeItem>
      <ddeItem name="NGH2,PRIM ACT 1,1" advise="1">
        <values>
          <value>
            <val>2.2999999999999998</val>
          </value>
        </values>
      </ddeItem>
      <ddeItem name="NGH3,PRIM ACT 1,1" advise="1">
        <values>
          <value>
            <val>3.0950000000000002</val>
          </value>
        </values>
      </ddeItem>
      <ddeItem name="NGH4,PRIM ACT 1,1" advise="1">
        <values>
          <value>
            <val>3.25</val>
          </value>
        </values>
      </ddeItem>
      <ddeItem name="NGJ2,PRIM ACT 1,1" advise="1">
        <values>
          <value>
            <val>2.3199999999999998</val>
          </value>
        </values>
      </ddeItem>
      <ddeItem name="NGJ3,PRIM ACT 1,1" advise="1">
        <values>
          <value>
            <val>2.93</val>
          </value>
        </values>
      </ddeItem>
      <ddeItem name="NGJ4,PRIM ACT 1,1" advise="1">
        <values>
          <value>
            <val>3.08</val>
          </value>
        </values>
      </ddeItem>
      <ddeItem name="NGK2,PRIM ACT 1,1" advise="1">
        <values>
          <value>
            <val>2.38</val>
          </value>
        </values>
      </ddeItem>
      <ddeItem name="NGK3,PRIM ACT 1,1" advise="1">
        <values>
          <value>
            <val>2.94</val>
          </value>
        </values>
      </ddeItem>
      <ddeItem name="NGK4,PRIM ACT 1,1" advise="1">
        <values>
          <value>
            <val>3.0830000000000002</val>
          </value>
        </values>
      </ddeItem>
      <ddeItem name="NGM2,PRIM ACT 1,1" advise="1">
        <values>
          <value>
            <val>2.4550000000000001</val>
          </value>
        </values>
      </ddeItem>
      <ddeItem name="NGM3,PRIM ACT 1,1" advise="1">
        <values>
          <value>
            <val>2.923</val>
          </value>
        </values>
      </ddeItem>
      <ddeItem name="NGM4,PRIM ACT 1,1" advise="1">
        <values>
          <value>
            <val>3.1230000000000002</val>
          </value>
        </values>
      </ddeItem>
      <ddeItem name="NGN2,PRIM ACT 1,1" advise="1">
        <values>
          <value>
            <val>2.52</val>
          </value>
        </values>
      </ddeItem>
      <ddeItem name="NGN3,PRIM ACT 1,1" advise="1">
        <values>
          <value>
            <val>3.0350000000000001</val>
          </value>
        </values>
      </ddeItem>
      <ddeItem name="NGN4,PRIM ACT 1,1" advise="1">
        <values>
          <value>
            <val>3.1629999999999998</val>
          </value>
        </values>
      </ddeItem>
      <ddeItem name="NGQ2,PRIM ACT 1,1" advise="1">
        <values>
          <value>
            <val>2.5499999999999998</val>
          </value>
        </values>
      </ddeItem>
      <ddeItem name="NGQ3,PRIM ACT 1,1" advise="1">
        <values>
          <value>
            <val>3.0750000000000002</val>
          </value>
        </values>
      </ddeItem>
      <ddeItem name="NGQ4,PRIM ACT 1,1" advise="1">
        <values>
          <value>
            <val>3.2130000000000001</val>
          </value>
        </values>
      </ddeItem>
      <ddeItem name="NGU2,PRIM ACT 1,1" advise="1">
        <values>
          <value>
            <val>2.58</val>
          </value>
        </values>
      </ddeItem>
      <ddeItem name="NGU3,PRIM ACT 1,1" advise="1">
        <values>
          <value>
            <val>3.0750000000000002</val>
          </value>
        </values>
      </ddeItem>
      <ddeItem name="NGU4,PRIM ACT 1,1" advise="1">
        <values>
          <value>
            <val>3.198</val>
          </value>
        </values>
      </ddeItem>
      <ddeItem name="NGV2,PRIM ACT 1,1" advise="1">
        <values>
          <value>
            <val>2.61</val>
          </value>
        </values>
      </ddeItem>
      <ddeItem name="NGV3,PRIM ACT 1,1" advise="1">
        <values>
          <value>
            <val>3.06</val>
          </value>
        </values>
      </ddeItem>
      <ddeItem name="NGV4,PRIM ACT 1,1" advise="1">
        <values>
          <value>
            <val>3.2130000000000001</val>
          </value>
        </values>
      </ddeItem>
      <ddeItem name="NGX2,PRIM ACT 1,1" advise="1">
        <values>
          <value>
            <val>2.84</val>
          </value>
        </values>
      </ddeItem>
      <ddeItem name="NGX3,PRIM ACT 1,1" advise="1">
        <values>
          <value>
            <val>3.21</val>
          </value>
        </values>
      </ddeItem>
      <ddeItem name="NGX4,PRIM ACT 1,1" advise="1">
        <values>
          <value>
            <val>3.3580000000000001</val>
          </value>
        </values>
      </ddeItem>
      <ddeItem name="NGZ2,PRIM ACT 1,1" advise="1">
        <values>
          <value>
            <val>3.07</val>
          </value>
        </values>
      </ddeItem>
      <ddeItem name="NGZ3,PRIM ACT 1,1" advise="1">
        <values>
          <value>
            <val>3.19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3.2" x14ac:dyDescent="0.25"/>
  <cols>
    <col min="1" max="1" width="16.6640625" style="75" customWidth="1"/>
    <col min="2" max="4" width="9.109375" style="75" customWidth="1"/>
    <col min="5" max="5" width="10.109375" style="75" customWidth="1"/>
    <col min="6" max="13" width="9.109375" style="75" customWidth="1"/>
    <col min="14" max="14" width="10.109375" style="75" customWidth="1"/>
    <col min="15" max="34" width="9.109375" style="75" customWidth="1"/>
  </cols>
  <sheetData>
    <row r="1" spans="1:50" x14ac:dyDescent="0.25">
      <c r="A1" s="55"/>
      <c r="B1" s="149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5">
      <c r="A2" s="74"/>
      <c r="B2" s="149"/>
      <c r="C2" s="138"/>
      <c r="D2" s="56">
        <v>36892</v>
      </c>
      <c r="E2" s="55"/>
      <c r="F2" s="55"/>
      <c r="H2" s="137" t="e">
        <f ca="1">AE20</f>
        <v>#VALUE!</v>
      </c>
      <c r="I2" s="137" t="e">
        <f ca="1">AF20</f>
        <v>#VALUE!</v>
      </c>
      <c r="J2" s="137" t="e">
        <f ca="1">AG20</f>
        <v>#VALUE!</v>
      </c>
      <c r="K2" s="137" t="e">
        <f ca="1">AH20</f>
        <v>#VALUE!</v>
      </c>
      <c r="L2" s="137" t="e">
        <f ca="1"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5">
      <c r="A3" s="139" t="s">
        <v>36</v>
      </c>
      <c r="B3" s="147">
        <v>4.46</v>
      </c>
      <c r="D3" s="55"/>
      <c r="E3" s="55"/>
      <c r="F3" s="55"/>
      <c r="H3" s="129"/>
      <c r="I3" s="132"/>
      <c r="J3" s="132"/>
      <c r="K3" s="129"/>
      <c r="L3" s="129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5">
      <c r="A4" s="138"/>
      <c r="B4" s="140"/>
      <c r="C4" s="55"/>
      <c r="D4" s="55"/>
      <c r="E4" s="55"/>
      <c r="F4" s="55"/>
      <c r="H4" s="129"/>
      <c r="I4" s="129"/>
      <c r="J4" s="129"/>
      <c r="K4" s="129"/>
      <c r="L4" s="129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5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5">
      <c r="A6" s="55" t="s">
        <v>107</v>
      </c>
      <c r="B6" s="147">
        <v>4.37</v>
      </c>
      <c r="C6" s="147">
        <v>4.3899999999999997</v>
      </c>
      <c r="D6" s="55"/>
      <c r="E6" s="55"/>
      <c r="F6" s="55"/>
      <c r="H6" s="137" t="e">
        <f ca="1">AL20</f>
        <v>#VALUE!</v>
      </c>
      <c r="I6" s="137" t="e">
        <f ca="1">AM20</f>
        <v>#VALUE!</v>
      </c>
      <c r="J6" s="137" t="e">
        <f ca="1">AN20</f>
        <v>#VALUE!</v>
      </c>
      <c r="K6" s="137" t="e">
        <f ca="1">AO20</f>
        <v>#VALUE!</v>
      </c>
      <c r="L6" s="137" t="e">
        <f ca="1"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5">
      <c r="A7" s="55" t="s">
        <v>112</v>
      </c>
      <c r="B7" s="141">
        <v>3</v>
      </c>
      <c r="C7" s="141">
        <v>2</v>
      </c>
      <c r="D7" s="55"/>
      <c r="E7" s="55"/>
      <c r="F7" s="55"/>
      <c r="H7" s="129"/>
      <c r="I7" s="132"/>
      <c r="J7" s="132"/>
      <c r="K7" s="129"/>
      <c r="L7" s="129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88"/>
      <c r="AR7" s="88"/>
      <c r="AS7" s="75"/>
      <c r="AT7" s="75"/>
      <c r="AU7" s="75"/>
      <c r="AV7" s="75"/>
      <c r="AW7" s="75"/>
      <c r="AX7" s="75"/>
    </row>
    <row r="8" spans="1:50" x14ac:dyDescent="0.25">
      <c r="A8" s="55" t="s">
        <v>52</v>
      </c>
      <c r="B8" s="148">
        <v>0.51</v>
      </c>
      <c r="C8" s="148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88"/>
      <c r="AR8" s="88"/>
      <c r="AS8" s="75"/>
      <c r="AT8" s="75"/>
      <c r="AU8" s="75"/>
      <c r="AV8" s="75"/>
      <c r="AW8" s="75"/>
      <c r="AX8" s="75"/>
    </row>
    <row r="9" spans="1:50" x14ac:dyDescent="0.25">
      <c r="A9" s="55"/>
      <c r="B9" s="169"/>
      <c r="C9" s="169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88"/>
      <c r="AR9" s="88"/>
      <c r="AS9" s="75"/>
      <c r="AT9" s="75"/>
      <c r="AU9" s="75"/>
      <c r="AV9" s="75"/>
      <c r="AW9" s="75"/>
      <c r="AX9" s="75"/>
    </row>
    <row r="10" spans="1:50" x14ac:dyDescent="0.25">
      <c r="A10" s="75" t="s">
        <v>137</v>
      </c>
      <c r="B10" s="167">
        <v>36678</v>
      </c>
      <c r="C10" s="130"/>
      <c r="D10" s="55"/>
      <c r="E10" s="55"/>
      <c r="F10" s="55"/>
      <c r="G10" s="55"/>
      <c r="I10" s="75" t="e">
        <f ca="1"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88"/>
      <c r="AR10" s="88"/>
      <c r="AS10" s="75"/>
      <c r="AT10" s="75"/>
      <c r="AU10" s="75"/>
      <c r="AV10" s="75"/>
      <c r="AW10" s="75"/>
      <c r="AX10" s="75"/>
    </row>
    <row r="11" spans="1:50" x14ac:dyDescent="0.25">
      <c r="A11" s="75" t="s">
        <v>138</v>
      </c>
      <c r="B11" s="167">
        <v>36707</v>
      </c>
      <c r="C11" s="89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88"/>
      <c r="AR11" s="88"/>
      <c r="AS11" s="75"/>
      <c r="AT11" s="75"/>
      <c r="AU11" s="75"/>
      <c r="AV11" s="75"/>
      <c r="AW11" s="75"/>
      <c r="AX11" s="75"/>
    </row>
    <row r="12" spans="1:50" x14ac:dyDescent="0.25">
      <c r="A12" s="75" t="s">
        <v>139</v>
      </c>
      <c r="B12" s="167">
        <v>36698</v>
      </c>
      <c r="C12" s="90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88"/>
      <c r="AR12" s="88"/>
      <c r="AS12" s="75"/>
      <c r="AT12" s="75"/>
      <c r="AU12" s="75"/>
      <c r="AV12" s="75"/>
      <c r="AW12" s="75"/>
      <c r="AX12" s="75"/>
    </row>
    <row r="13" spans="1:50" x14ac:dyDescent="0.25">
      <c r="A13" s="145"/>
      <c r="B13" s="146"/>
      <c r="C13" s="123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88"/>
      <c r="AR13" s="88"/>
      <c r="AS13" s="75"/>
      <c r="AT13" s="75"/>
      <c r="AU13" s="75"/>
      <c r="AV13" s="75"/>
      <c r="AW13" s="75"/>
      <c r="AX13" s="75"/>
    </row>
    <row r="14" spans="1:50" x14ac:dyDescent="0.25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 ca="1">L22*3*I2</f>
        <v>#VALUE!</v>
      </c>
      <c r="O14" s="85"/>
      <c r="P14" s="83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88"/>
      <c r="AR14" s="88"/>
      <c r="AS14" s="75"/>
      <c r="AT14" s="75"/>
      <c r="AU14" s="75"/>
      <c r="AV14" s="75"/>
      <c r="AW14" s="75"/>
      <c r="AX14" s="75"/>
    </row>
    <row r="15" spans="1:50" x14ac:dyDescent="0.25">
      <c r="G15" s="55"/>
      <c r="H15" s="129"/>
      <c r="I15" s="129"/>
      <c r="J15" s="129"/>
      <c r="K15" s="129"/>
      <c r="O15" s="86"/>
      <c r="P15" s="83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 ca="1">AE20/31</f>
        <v>#VALUE!</v>
      </c>
      <c r="AL15" t="e">
        <f ca="1">AL20/AE20</f>
        <v>#VALUE!</v>
      </c>
      <c r="AQ15" s="88"/>
      <c r="AR15" s="88"/>
      <c r="AS15" s="75"/>
      <c r="AT15" s="75"/>
      <c r="AU15" s="75"/>
      <c r="AV15" s="75"/>
      <c r="AW15" s="75"/>
      <c r="AX15" s="75"/>
    </row>
    <row r="16" spans="1:50" x14ac:dyDescent="0.25">
      <c r="G16" s="55"/>
      <c r="O16" s="86"/>
      <c r="P16" s="83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88"/>
      <c r="AR16" s="88"/>
      <c r="AS16" s="75"/>
      <c r="AT16" s="75"/>
      <c r="AU16" s="75"/>
      <c r="AV16" s="75"/>
      <c r="AW16" s="75"/>
      <c r="AX16" s="75"/>
    </row>
    <row r="17" spans="1:48" x14ac:dyDescent="0.25">
      <c r="G17" s="55"/>
      <c r="L17" s="86"/>
      <c r="M17" s="86"/>
      <c r="N17" s="83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88"/>
      <c r="AP17" s="88"/>
      <c r="AQ17" s="75"/>
      <c r="AR17" s="75"/>
      <c r="AS17" s="75"/>
      <c r="AT17" s="75"/>
      <c r="AU17" s="75"/>
      <c r="AV17" s="75"/>
    </row>
    <row r="18" spans="1:48" x14ac:dyDescent="0.25">
      <c r="G18" s="55"/>
      <c r="L18" s="86"/>
      <c r="M18" s="86"/>
      <c r="N18" s="83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88"/>
      <c r="AP18" s="88"/>
      <c r="AQ18" s="75"/>
      <c r="AR18" s="75"/>
      <c r="AS18" s="75"/>
      <c r="AT18" s="75"/>
      <c r="AU18" s="75"/>
      <c r="AV18" s="75"/>
    </row>
    <row r="19" spans="1:48" x14ac:dyDescent="0.25">
      <c r="G19" s="55"/>
      <c r="L19" s="86"/>
      <c r="M19" s="86"/>
      <c r="N19" s="83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88"/>
      <c r="AP19" s="88"/>
      <c r="AQ19" s="75"/>
      <c r="AR19" s="75"/>
      <c r="AS19" s="75"/>
      <c r="AT19" s="75"/>
      <c r="AU19" s="75"/>
      <c r="AV19" s="75"/>
    </row>
    <row r="20" spans="1:48" x14ac:dyDescent="0.25">
      <c r="H20" s="84"/>
      <c r="I20" s="159"/>
      <c r="J20" s="159"/>
      <c r="K20" s="159"/>
      <c r="L20" s="87"/>
      <c r="M20" s="87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0"/>
      <c r="AD20" s="100"/>
      <c r="AE20" s="100" t="e">
        <f ca="1">SUM(AE25:AE55)/$L22</f>
        <v>#VALUE!</v>
      </c>
      <c r="AF20" s="100" t="e">
        <f ca="1">SUM(AF25:AF55)/$L22</f>
        <v>#VALUE!</v>
      </c>
      <c r="AG20" s="100" t="e">
        <f ca="1">SUM(AG25:AG55)/$L22</f>
        <v>#VALUE!</v>
      </c>
      <c r="AH20" s="100" t="e">
        <f ca="1">SUM(AH25:AH55)/$L22</f>
        <v>#VALUE!</v>
      </c>
      <c r="AI20" s="100" t="e">
        <f ca="1">SUM(AI25:AI55)/$L22</f>
        <v>#VALUE!</v>
      </c>
      <c r="AK20" s="100"/>
      <c r="AL20" s="100" t="e">
        <f ca="1">SUM(AL25:AL55)/$L22</f>
        <v>#VALUE!</v>
      </c>
      <c r="AM20" s="100" t="e">
        <f ca="1">SUM(AM25:AM55)/$L22</f>
        <v>#VALUE!</v>
      </c>
      <c r="AN20" s="100" t="e">
        <f ca="1">SUM(AN25:AN55)/$L22</f>
        <v>#VALUE!</v>
      </c>
      <c r="AO20" s="100" t="e">
        <f ca="1">SUM(AO25:AO55)/$L22</f>
        <v>#VALUE!</v>
      </c>
      <c r="AP20" s="100" t="e">
        <f ca="1"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5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5">
      <c r="D22" s="91"/>
      <c r="E22" s="90"/>
      <c r="F22" s="91"/>
      <c r="G22" s="91"/>
      <c r="L22" s="87">
        <f>SUM(L25:L55)</f>
        <v>9</v>
      </c>
      <c r="M22" s="87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28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8" thickBot="1" x14ac:dyDescent="0.3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89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89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4" thickTop="1" thickBot="1" x14ac:dyDescent="0.3">
      <c r="A24" s="93" t="s">
        <v>24</v>
      </c>
      <c r="B24" s="93" t="s">
        <v>39</v>
      </c>
      <c r="C24" s="93" t="s">
        <v>45</v>
      </c>
      <c r="D24" s="93" t="s">
        <v>46</v>
      </c>
      <c r="E24" s="93" t="s">
        <v>140</v>
      </c>
      <c r="F24" s="93" t="s">
        <v>141</v>
      </c>
      <c r="H24" s="93" t="s">
        <v>26</v>
      </c>
      <c r="I24" s="160"/>
      <c r="J24" s="160"/>
      <c r="K24" s="160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8" thickTop="1" x14ac:dyDescent="0.25">
      <c r="A25" s="150">
        <v>1</v>
      </c>
      <c r="B25" s="95">
        <f>B3</f>
        <v>4.46</v>
      </c>
      <c r="C25" s="96">
        <f t="shared" ref="C25:D55" si="0">B$6</f>
        <v>4.37</v>
      </c>
      <c r="D25" s="96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 ca="1">VLOOKUP(D2,STRADDLE,14,FALSE)</f>
        <v>#N/A</v>
      </c>
      <c r="I25" s="168">
        <f>B10</f>
        <v>36678</v>
      </c>
      <c r="J25" s="168">
        <f>IF(K25=6,I25-1,IF(K25=7,I25-2,I25))</f>
        <v>36678</v>
      </c>
      <c r="K25" s="152">
        <f>WEEKDAY(B10,2)</f>
        <v>4</v>
      </c>
      <c r="L25" s="152">
        <f t="shared" ref="L25:L55" si="3">IF(I25&gt;B$11,0,IF(M25&lt;1,0,1))</f>
        <v>0</v>
      </c>
      <c r="M25" s="152">
        <f t="shared" ref="M25:M55" si="4">J25-B$12</f>
        <v>-20</v>
      </c>
      <c r="N25" s="99">
        <f t="shared" ref="N25:N55" ca="1" si="5">IF($L25=0,0,bsd(N$23,N$22,$B25,$C25,$M25,$E25,$H25,0.1))</f>
        <v>0</v>
      </c>
      <c r="O25" s="99">
        <f t="shared" ref="O25:O55" ca="1" si="6">IF($L25=0,0,bsd(O$23,O$22,$B25,$D25,$M25,$F25,$H25,0.1))</f>
        <v>0</v>
      </c>
      <c r="P25" s="99">
        <f t="shared" ref="P25:P55" ca="1" si="7">IF($L25=0,0,bsd(P$23,P$22,$B25,$C25,$M25,$E25,$H25,0.1))</f>
        <v>0</v>
      </c>
      <c r="Q25" s="99">
        <f t="shared" ref="Q25:Q55" ca="1" si="8">IF($L25=0,0,bsd(Q$23,Q$22,$B25,$D25,$M25,$F25,$H25,0.1))</f>
        <v>0</v>
      </c>
      <c r="R25" s="99">
        <f t="shared" ref="R25:R55" ca="1" si="9">IF($L25=0,0,bsd(R$23,R$22,$B25,$C25,$M25,$E25,$H25,0.1))</f>
        <v>0</v>
      </c>
      <c r="S25" s="99">
        <f t="shared" ref="S25:S55" ca="1" si="10">IF($L25=0,0,bsd(S$23,S$22,$B25,$D25,$M25,$F25,$H25,0.1))</f>
        <v>0</v>
      </c>
      <c r="T25" s="99">
        <f t="shared" ref="T25:T55" ca="1" si="11">IF($L25=0,0,bsd(T$23,T$22,$B25,$C25,$M25,$E25,$H25,0.1))</f>
        <v>0</v>
      </c>
      <c r="U25" s="99">
        <f t="shared" ref="U25:U55" ca="1" si="12">IF($L25=0,0,bsd(U$23,U$22,$B25,$D25,$M25,$F25,$H25,0.1))</f>
        <v>0</v>
      </c>
      <c r="V25" s="99">
        <f t="shared" ref="V25:V55" ca="1" si="13">IF($L25=0,0,bsd(V$23,V$22,$B25,$C25,$M25,$E25,$H25,0.1))</f>
        <v>0</v>
      </c>
      <c r="W25" s="99">
        <f t="shared" ref="W25:W55" ca="1" si="14">IF($L25=0,0,bsd(W$23,W$22,$B25,$D25,$M25,$F25,$H25,0.1))</f>
        <v>0</v>
      </c>
      <c r="Y25" s="78"/>
      <c r="Z25" s="78"/>
      <c r="AA25" s="150"/>
      <c r="AD25" s="100"/>
      <c r="AE25" s="101">
        <f ca="1">$L25*N25</f>
        <v>0</v>
      </c>
      <c r="AF25" s="101">
        <f ca="1">$L25*P25</f>
        <v>0</v>
      </c>
      <c r="AG25" s="101">
        <f ca="1">$L25*R25</f>
        <v>0</v>
      </c>
      <c r="AH25" s="101">
        <f ca="1">$L25*T25</f>
        <v>0</v>
      </c>
      <c r="AI25" s="101">
        <f ca="1">$L25*V25</f>
        <v>0</v>
      </c>
      <c r="AK25" s="100"/>
      <c r="AL25" s="101">
        <f t="shared" ref="AL25:AL55" ca="1" si="15">$L25*O25</f>
        <v>0</v>
      </c>
      <c r="AM25" s="101">
        <f t="shared" ref="AM25:AM55" ca="1" si="16">$L25*Q25</f>
        <v>0</v>
      </c>
      <c r="AN25" s="101">
        <f t="shared" ref="AN25:AN55" ca="1" si="17">$L25*S25</f>
        <v>0</v>
      </c>
      <c r="AO25" s="101">
        <f t="shared" ref="AO25:AO55" ca="1" si="18">$L25*U25</f>
        <v>0</v>
      </c>
      <c r="AP25" s="101">
        <f t="shared" ref="AP25:AP55" ca="1" si="19">$L25*W25</f>
        <v>0</v>
      </c>
      <c r="AQ25" s="120"/>
      <c r="AR25" s="101"/>
      <c r="AS25" s="120"/>
      <c r="AT25" s="92"/>
      <c r="AU25" s="92"/>
      <c r="AV25" s="92"/>
    </row>
    <row r="26" spans="1:48" x14ac:dyDescent="0.25">
      <c r="A26" s="150">
        <f>A25+1</f>
        <v>2</v>
      </c>
      <c r="B26" s="95">
        <f>B25</f>
        <v>4.46</v>
      </c>
      <c r="C26" s="96">
        <f t="shared" si="0"/>
        <v>4.37</v>
      </c>
      <c r="D26" s="96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 ca="1">H25</f>
        <v>#N/A</v>
      </c>
      <c r="I26" s="168">
        <f>I25+1</f>
        <v>36679</v>
      </c>
      <c r="J26" s="168">
        <f t="shared" ref="J26:J55" si="20">IF(K26=6,I26-1,IF(K26=7,I26-2,I26))</f>
        <v>36679</v>
      </c>
      <c r="K26" s="152">
        <f>WEEKDAY(I26,2)</f>
        <v>5</v>
      </c>
      <c r="L26" s="152">
        <f t="shared" si="3"/>
        <v>0</v>
      </c>
      <c r="M26" s="152">
        <f t="shared" si="4"/>
        <v>-19</v>
      </c>
      <c r="N26" s="99">
        <f ca="1">IF($L26=0,0,bsd(N$23,N$22,$B26,$C26,$M26,$E26,$H26,0.1))</f>
        <v>0</v>
      </c>
      <c r="O26" s="99">
        <f t="shared" ca="1" si="6"/>
        <v>0</v>
      </c>
      <c r="P26" s="99">
        <f t="shared" ca="1" si="7"/>
        <v>0</v>
      </c>
      <c r="Q26" s="99">
        <f t="shared" ca="1" si="8"/>
        <v>0</v>
      </c>
      <c r="R26" s="99">
        <f t="shared" ca="1" si="9"/>
        <v>0</v>
      </c>
      <c r="S26" s="99">
        <f t="shared" ca="1" si="10"/>
        <v>0</v>
      </c>
      <c r="T26" s="99">
        <f t="shared" ca="1" si="11"/>
        <v>0</v>
      </c>
      <c r="U26" s="99">
        <f t="shared" ca="1" si="12"/>
        <v>0</v>
      </c>
      <c r="V26" s="99">
        <f t="shared" ca="1" si="13"/>
        <v>0</v>
      </c>
      <c r="W26" s="99">
        <f t="shared" ca="1" si="14"/>
        <v>0</v>
      </c>
      <c r="Y26" s="78"/>
      <c r="Z26" s="78"/>
      <c r="AA26" s="150"/>
      <c r="AD26" s="100"/>
      <c r="AE26" s="101">
        <f t="shared" ref="AE26:AE55" ca="1" si="21">$L26*N26</f>
        <v>0</v>
      </c>
      <c r="AF26" s="101">
        <f t="shared" ref="AF26:AF55" ca="1" si="22">$L26*P26</f>
        <v>0</v>
      </c>
      <c r="AG26" s="101">
        <f t="shared" ref="AG26:AG55" ca="1" si="23">$L26*R26</f>
        <v>0</v>
      </c>
      <c r="AH26" s="101">
        <f t="shared" ref="AH26:AH55" ca="1" si="24">$L26*T26</f>
        <v>0</v>
      </c>
      <c r="AI26" s="101">
        <f t="shared" ref="AI26:AI55" ca="1" si="25">$L26*V26</f>
        <v>0</v>
      </c>
      <c r="AK26" s="100"/>
      <c r="AL26" s="101">
        <f t="shared" ca="1" si="15"/>
        <v>0</v>
      </c>
      <c r="AM26" s="101">
        <f t="shared" ca="1" si="16"/>
        <v>0</v>
      </c>
      <c r="AN26" s="101">
        <f t="shared" ca="1" si="17"/>
        <v>0</v>
      </c>
      <c r="AO26" s="101">
        <f t="shared" ca="1" si="18"/>
        <v>0</v>
      </c>
      <c r="AP26" s="101">
        <f t="shared" ca="1" si="19"/>
        <v>0</v>
      </c>
      <c r="AQ26" s="120"/>
      <c r="AR26" s="101"/>
      <c r="AS26" s="120"/>
      <c r="AT26" s="92"/>
      <c r="AU26" s="92"/>
      <c r="AV26" s="92"/>
    </row>
    <row r="27" spans="1:48" x14ac:dyDescent="0.25">
      <c r="A27" s="150">
        <f t="shared" ref="A27:A55" si="26">A26+1</f>
        <v>3</v>
      </c>
      <c r="B27" s="95">
        <f t="shared" ref="B27:B55" si="27">B26</f>
        <v>4.46</v>
      </c>
      <c r="C27" s="96">
        <f t="shared" si="0"/>
        <v>4.37</v>
      </c>
      <c r="D27" s="96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ca="1" si="28">H26</f>
        <v>#N/A</v>
      </c>
      <c r="I27" s="168">
        <f t="shared" ref="I27:I55" si="29">I26+1</f>
        <v>36680</v>
      </c>
      <c r="J27" s="168">
        <f t="shared" si="20"/>
        <v>36679</v>
      </c>
      <c r="K27" s="152">
        <f t="shared" ref="K27:K55" si="30">WEEKDAY(I27,2)</f>
        <v>6</v>
      </c>
      <c r="L27" s="152">
        <f t="shared" si="3"/>
        <v>0</v>
      </c>
      <c r="M27" s="152">
        <f t="shared" si="4"/>
        <v>-19</v>
      </c>
      <c r="N27" s="99">
        <f t="shared" ca="1" si="5"/>
        <v>0</v>
      </c>
      <c r="O27" s="99">
        <f t="shared" ca="1" si="6"/>
        <v>0</v>
      </c>
      <c r="P27" s="99">
        <f t="shared" ca="1" si="7"/>
        <v>0</v>
      </c>
      <c r="Q27" s="99">
        <f t="shared" ca="1" si="8"/>
        <v>0</v>
      </c>
      <c r="R27" s="99">
        <f t="shared" ca="1" si="9"/>
        <v>0</v>
      </c>
      <c r="S27" s="99">
        <f t="shared" ca="1" si="10"/>
        <v>0</v>
      </c>
      <c r="T27" s="99">
        <f t="shared" ca="1" si="11"/>
        <v>0</v>
      </c>
      <c r="U27" s="99">
        <f t="shared" ca="1" si="12"/>
        <v>0</v>
      </c>
      <c r="V27" s="99">
        <f t="shared" ca="1" si="13"/>
        <v>0</v>
      </c>
      <c r="W27" s="99">
        <f t="shared" ca="1" si="14"/>
        <v>0</v>
      </c>
      <c r="Y27" s="78"/>
      <c r="Z27" s="78"/>
      <c r="AA27" s="150"/>
      <c r="AD27" s="100"/>
      <c r="AE27" s="101">
        <f t="shared" ca="1" si="21"/>
        <v>0</v>
      </c>
      <c r="AF27" s="101">
        <f t="shared" ca="1" si="22"/>
        <v>0</v>
      </c>
      <c r="AG27" s="101">
        <f t="shared" ca="1" si="23"/>
        <v>0</v>
      </c>
      <c r="AH27" s="101">
        <f t="shared" ca="1" si="24"/>
        <v>0</v>
      </c>
      <c r="AI27" s="101">
        <f t="shared" ca="1" si="25"/>
        <v>0</v>
      </c>
      <c r="AK27" s="100"/>
      <c r="AL27" s="101">
        <f t="shared" ca="1" si="15"/>
        <v>0</v>
      </c>
      <c r="AM27" s="101">
        <f t="shared" ca="1" si="16"/>
        <v>0</v>
      </c>
      <c r="AN27" s="101">
        <f t="shared" ca="1" si="17"/>
        <v>0</v>
      </c>
      <c r="AO27" s="101">
        <f t="shared" ca="1" si="18"/>
        <v>0</v>
      </c>
      <c r="AP27" s="101">
        <f t="shared" ca="1" si="19"/>
        <v>0</v>
      </c>
      <c r="AQ27" s="120"/>
      <c r="AR27" s="101"/>
      <c r="AS27" s="120"/>
      <c r="AT27" s="92"/>
      <c r="AU27" s="92"/>
      <c r="AV27" s="92"/>
    </row>
    <row r="28" spans="1:48" x14ac:dyDescent="0.25">
      <c r="A28" s="150">
        <f t="shared" si="26"/>
        <v>4</v>
      </c>
      <c r="B28" s="95">
        <f t="shared" si="27"/>
        <v>4.46</v>
      </c>
      <c r="C28" s="96">
        <f t="shared" si="0"/>
        <v>4.37</v>
      </c>
      <c r="D28" s="96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ca="1" si="28"/>
        <v>#N/A</v>
      </c>
      <c r="I28" s="168">
        <f t="shared" si="29"/>
        <v>36681</v>
      </c>
      <c r="J28" s="168">
        <f t="shared" si="20"/>
        <v>36679</v>
      </c>
      <c r="K28" s="152">
        <f t="shared" si="30"/>
        <v>7</v>
      </c>
      <c r="L28" s="152">
        <f t="shared" si="3"/>
        <v>0</v>
      </c>
      <c r="M28" s="152">
        <f t="shared" si="4"/>
        <v>-19</v>
      </c>
      <c r="N28" s="99">
        <f t="shared" ca="1" si="5"/>
        <v>0</v>
      </c>
      <c r="O28" s="99">
        <f t="shared" ca="1" si="6"/>
        <v>0</v>
      </c>
      <c r="P28" s="99">
        <f t="shared" ca="1" si="7"/>
        <v>0</v>
      </c>
      <c r="Q28" s="99">
        <f t="shared" ca="1" si="8"/>
        <v>0</v>
      </c>
      <c r="R28" s="99">
        <f t="shared" ca="1" si="9"/>
        <v>0</v>
      </c>
      <c r="S28" s="99">
        <f t="shared" ca="1" si="10"/>
        <v>0</v>
      </c>
      <c r="T28" s="99">
        <f t="shared" ca="1" si="11"/>
        <v>0</v>
      </c>
      <c r="U28" s="99">
        <f t="shared" ca="1" si="12"/>
        <v>0</v>
      </c>
      <c r="V28" s="99">
        <f t="shared" ca="1" si="13"/>
        <v>0</v>
      </c>
      <c r="W28" s="99">
        <f t="shared" ca="1" si="14"/>
        <v>0</v>
      </c>
      <c r="Y28" s="78"/>
      <c r="Z28" s="78"/>
      <c r="AA28" s="150"/>
      <c r="AD28" s="100"/>
      <c r="AE28" s="101">
        <f t="shared" ca="1" si="21"/>
        <v>0</v>
      </c>
      <c r="AF28" s="101">
        <f t="shared" ca="1" si="22"/>
        <v>0</v>
      </c>
      <c r="AG28" s="101">
        <f t="shared" ca="1" si="23"/>
        <v>0</v>
      </c>
      <c r="AH28" s="101">
        <f t="shared" ca="1" si="24"/>
        <v>0</v>
      </c>
      <c r="AI28" s="101">
        <f t="shared" ca="1" si="25"/>
        <v>0</v>
      </c>
      <c r="AK28" s="100"/>
      <c r="AL28" s="101">
        <f t="shared" ca="1" si="15"/>
        <v>0</v>
      </c>
      <c r="AM28" s="101">
        <f t="shared" ca="1" si="16"/>
        <v>0</v>
      </c>
      <c r="AN28" s="101">
        <f t="shared" ca="1" si="17"/>
        <v>0</v>
      </c>
      <c r="AO28" s="101">
        <f t="shared" ca="1" si="18"/>
        <v>0</v>
      </c>
      <c r="AP28" s="101">
        <f t="shared" ca="1" si="19"/>
        <v>0</v>
      </c>
      <c r="AQ28" s="120"/>
      <c r="AR28" s="101"/>
      <c r="AS28" s="120"/>
      <c r="AT28" s="92"/>
      <c r="AU28" s="92"/>
      <c r="AV28" s="92"/>
    </row>
    <row r="29" spans="1:48" x14ac:dyDescent="0.25">
      <c r="A29" s="150">
        <f t="shared" si="26"/>
        <v>5</v>
      </c>
      <c r="B29" s="95">
        <f t="shared" si="27"/>
        <v>4.46</v>
      </c>
      <c r="C29" s="96">
        <f t="shared" si="0"/>
        <v>4.37</v>
      </c>
      <c r="D29" s="96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ca="1" si="28"/>
        <v>#N/A</v>
      </c>
      <c r="I29" s="168">
        <f t="shared" si="29"/>
        <v>36682</v>
      </c>
      <c r="J29" s="168">
        <f t="shared" si="20"/>
        <v>36682</v>
      </c>
      <c r="K29" s="152">
        <f t="shared" si="30"/>
        <v>1</v>
      </c>
      <c r="L29" s="152">
        <f t="shared" si="3"/>
        <v>0</v>
      </c>
      <c r="M29" s="152">
        <f t="shared" si="4"/>
        <v>-16</v>
      </c>
      <c r="N29" s="99">
        <f t="shared" ca="1" si="5"/>
        <v>0</v>
      </c>
      <c r="O29" s="99">
        <f t="shared" ca="1" si="6"/>
        <v>0</v>
      </c>
      <c r="P29" s="99">
        <f t="shared" ca="1" si="7"/>
        <v>0</v>
      </c>
      <c r="Q29" s="99">
        <f t="shared" ca="1" si="8"/>
        <v>0</v>
      </c>
      <c r="R29" s="99">
        <f t="shared" ca="1" si="9"/>
        <v>0</v>
      </c>
      <c r="S29" s="99">
        <f t="shared" ca="1" si="10"/>
        <v>0</v>
      </c>
      <c r="T29" s="99">
        <f t="shared" ca="1" si="11"/>
        <v>0</v>
      </c>
      <c r="U29" s="99">
        <f t="shared" ca="1" si="12"/>
        <v>0</v>
      </c>
      <c r="V29" s="99">
        <f t="shared" ca="1" si="13"/>
        <v>0</v>
      </c>
      <c r="W29" s="99">
        <f t="shared" ca="1" si="14"/>
        <v>0</v>
      </c>
      <c r="Y29" s="78"/>
      <c r="Z29" s="78"/>
      <c r="AA29" s="150"/>
      <c r="AD29" s="100"/>
      <c r="AE29" s="101">
        <f t="shared" ca="1" si="21"/>
        <v>0</v>
      </c>
      <c r="AF29" s="101">
        <f t="shared" ca="1" si="22"/>
        <v>0</v>
      </c>
      <c r="AG29" s="101">
        <f t="shared" ca="1" si="23"/>
        <v>0</v>
      </c>
      <c r="AH29" s="101">
        <f t="shared" ca="1" si="24"/>
        <v>0</v>
      </c>
      <c r="AI29" s="101">
        <f t="shared" ca="1" si="25"/>
        <v>0</v>
      </c>
      <c r="AK29" s="100"/>
      <c r="AL29" s="101">
        <f t="shared" ca="1" si="15"/>
        <v>0</v>
      </c>
      <c r="AM29" s="101">
        <f t="shared" ca="1" si="16"/>
        <v>0</v>
      </c>
      <c r="AN29" s="101">
        <f t="shared" ca="1" si="17"/>
        <v>0</v>
      </c>
      <c r="AO29" s="101">
        <f t="shared" ca="1" si="18"/>
        <v>0</v>
      </c>
      <c r="AP29" s="101">
        <f t="shared" ca="1" si="19"/>
        <v>0</v>
      </c>
      <c r="AQ29" s="120"/>
      <c r="AR29" s="101"/>
      <c r="AS29" s="120"/>
      <c r="AT29" s="92"/>
      <c r="AU29" s="92"/>
      <c r="AV29" s="92"/>
    </row>
    <row r="30" spans="1:48" x14ac:dyDescent="0.25">
      <c r="A30" s="150">
        <f t="shared" si="26"/>
        <v>6</v>
      </c>
      <c r="B30" s="95">
        <f t="shared" si="27"/>
        <v>4.46</v>
      </c>
      <c r="C30" s="96">
        <f t="shared" si="0"/>
        <v>4.37</v>
      </c>
      <c r="D30" s="96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ca="1" si="28"/>
        <v>#N/A</v>
      </c>
      <c r="I30" s="168">
        <f t="shared" si="29"/>
        <v>36683</v>
      </c>
      <c r="J30" s="168">
        <f t="shared" si="20"/>
        <v>36683</v>
      </c>
      <c r="K30" s="152">
        <f t="shared" si="30"/>
        <v>2</v>
      </c>
      <c r="L30" s="152">
        <f t="shared" si="3"/>
        <v>0</v>
      </c>
      <c r="M30" s="152">
        <f t="shared" si="4"/>
        <v>-15</v>
      </c>
      <c r="N30" s="99">
        <f t="shared" ca="1" si="5"/>
        <v>0</v>
      </c>
      <c r="O30" s="99">
        <f t="shared" ca="1" si="6"/>
        <v>0</v>
      </c>
      <c r="P30" s="99">
        <f t="shared" ca="1" si="7"/>
        <v>0</v>
      </c>
      <c r="Q30" s="99">
        <f t="shared" ca="1" si="8"/>
        <v>0</v>
      </c>
      <c r="R30" s="99">
        <f t="shared" ca="1" si="9"/>
        <v>0</v>
      </c>
      <c r="S30" s="99">
        <f t="shared" ca="1" si="10"/>
        <v>0</v>
      </c>
      <c r="T30" s="99">
        <f t="shared" ca="1" si="11"/>
        <v>0</v>
      </c>
      <c r="U30" s="99">
        <f t="shared" ca="1" si="12"/>
        <v>0</v>
      </c>
      <c r="V30" s="99">
        <f t="shared" ca="1" si="13"/>
        <v>0</v>
      </c>
      <c r="W30" s="99">
        <f t="shared" ca="1" si="14"/>
        <v>0</v>
      </c>
      <c r="Y30" s="78"/>
      <c r="Z30" s="78"/>
      <c r="AA30" s="150"/>
      <c r="AD30" s="100"/>
      <c r="AE30" s="101">
        <f t="shared" ca="1" si="21"/>
        <v>0</v>
      </c>
      <c r="AF30" s="101">
        <f t="shared" ca="1" si="22"/>
        <v>0</v>
      </c>
      <c r="AG30" s="101">
        <f t="shared" ca="1" si="23"/>
        <v>0</v>
      </c>
      <c r="AH30" s="101">
        <f t="shared" ca="1" si="24"/>
        <v>0</v>
      </c>
      <c r="AI30" s="101">
        <f t="shared" ca="1" si="25"/>
        <v>0</v>
      </c>
      <c r="AK30" s="100"/>
      <c r="AL30" s="101">
        <f t="shared" ca="1" si="15"/>
        <v>0</v>
      </c>
      <c r="AM30" s="101">
        <f t="shared" ca="1" si="16"/>
        <v>0</v>
      </c>
      <c r="AN30" s="101">
        <f t="shared" ca="1" si="17"/>
        <v>0</v>
      </c>
      <c r="AO30" s="101">
        <f t="shared" ca="1" si="18"/>
        <v>0</v>
      </c>
      <c r="AP30" s="101">
        <f t="shared" ca="1" si="19"/>
        <v>0</v>
      </c>
      <c r="AQ30" s="120"/>
      <c r="AR30" s="101"/>
      <c r="AS30" s="120"/>
      <c r="AT30" s="92"/>
      <c r="AU30" s="92"/>
      <c r="AV30" s="92"/>
    </row>
    <row r="31" spans="1:48" x14ac:dyDescent="0.25">
      <c r="A31" s="150">
        <f t="shared" si="26"/>
        <v>7</v>
      </c>
      <c r="B31" s="95">
        <f t="shared" si="27"/>
        <v>4.46</v>
      </c>
      <c r="C31" s="96">
        <f t="shared" si="0"/>
        <v>4.37</v>
      </c>
      <c r="D31" s="96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ca="1" si="28"/>
        <v>#N/A</v>
      </c>
      <c r="I31" s="168">
        <f t="shared" si="29"/>
        <v>36684</v>
      </c>
      <c r="J31" s="168">
        <f t="shared" si="20"/>
        <v>36684</v>
      </c>
      <c r="K31" s="152">
        <f t="shared" si="30"/>
        <v>3</v>
      </c>
      <c r="L31" s="152">
        <f t="shared" si="3"/>
        <v>0</v>
      </c>
      <c r="M31" s="152">
        <f t="shared" si="4"/>
        <v>-14</v>
      </c>
      <c r="N31" s="99">
        <f t="shared" ca="1" si="5"/>
        <v>0</v>
      </c>
      <c r="O31" s="99">
        <f t="shared" ca="1" si="6"/>
        <v>0</v>
      </c>
      <c r="P31" s="99">
        <f t="shared" ca="1" si="7"/>
        <v>0</v>
      </c>
      <c r="Q31" s="99">
        <f t="shared" ca="1" si="8"/>
        <v>0</v>
      </c>
      <c r="R31" s="99">
        <f t="shared" ca="1" si="9"/>
        <v>0</v>
      </c>
      <c r="S31" s="99">
        <f t="shared" ca="1" si="10"/>
        <v>0</v>
      </c>
      <c r="T31" s="99">
        <f t="shared" ca="1" si="11"/>
        <v>0</v>
      </c>
      <c r="U31" s="99">
        <f t="shared" ca="1" si="12"/>
        <v>0</v>
      </c>
      <c r="V31" s="99">
        <f t="shared" ca="1" si="13"/>
        <v>0</v>
      </c>
      <c r="W31" s="99">
        <f t="shared" ca="1" si="14"/>
        <v>0</v>
      </c>
      <c r="Y31" s="78"/>
      <c r="Z31" s="78"/>
      <c r="AA31" s="150"/>
      <c r="AD31" s="100"/>
      <c r="AE31" s="101">
        <f t="shared" ca="1" si="21"/>
        <v>0</v>
      </c>
      <c r="AF31" s="101">
        <f t="shared" ca="1" si="22"/>
        <v>0</v>
      </c>
      <c r="AG31" s="101">
        <f t="shared" ca="1" si="23"/>
        <v>0</v>
      </c>
      <c r="AH31" s="101">
        <f t="shared" ca="1" si="24"/>
        <v>0</v>
      </c>
      <c r="AI31" s="101">
        <f t="shared" ca="1" si="25"/>
        <v>0</v>
      </c>
      <c r="AK31" s="100"/>
      <c r="AL31" s="101">
        <f t="shared" ca="1" si="15"/>
        <v>0</v>
      </c>
      <c r="AM31" s="101">
        <f t="shared" ca="1" si="16"/>
        <v>0</v>
      </c>
      <c r="AN31" s="101">
        <f t="shared" ca="1" si="17"/>
        <v>0</v>
      </c>
      <c r="AO31" s="101">
        <f t="shared" ca="1" si="18"/>
        <v>0</v>
      </c>
      <c r="AP31" s="101">
        <f t="shared" ca="1" si="19"/>
        <v>0</v>
      </c>
      <c r="AQ31" s="120"/>
      <c r="AR31" s="101"/>
      <c r="AS31" s="120"/>
      <c r="AT31" s="92"/>
      <c r="AU31" s="92"/>
      <c r="AV31" s="92"/>
    </row>
    <row r="32" spans="1:48" x14ac:dyDescent="0.25">
      <c r="A32" s="150">
        <f t="shared" si="26"/>
        <v>8</v>
      </c>
      <c r="B32" s="95">
        <f t="shared" si="27"/>
        <v>4.46</v>
      </c>
      <c r="C32" s="96">
        <f t="shared" si="0"/>
        <v>4.37</v>
      </c>
      <c r="D32" s="96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ca="1" si="28"/>
        <v>#N/A</v>
      </c>
      <c r="I32" s="168">
        <f t="shared" si="29"/>
        <v>36685</v>
      </c>
      <c r="J32" s="168">
        <f t="shared" si="20"/>
        <v>36685</v>
      </c>
      <c r="K32" s="152">
        <f t="shared" si="30"/>
        <v>4</v>
      </c>
      <c r="L32" s="152">
        <f t="shared" si="3"/>
        <v>0</v>
      </c>
      <c r="M32" s="152">
        <f t="shared" si="4"/>
        <v>-13</v>
      </c>
      <c r="N32" s="99">
        <f t="shared" ca="1" si="5"/>
        <v>0</v>
      </c>
      <c r="O32" s="99">
        <f t="shared" ca="1" si="6"/>
        <v>0</v>
      </c>
      <c r="P32" s="99">
        <f t="shared" ca="1" si="7"/>
        <v>0</v>
      </c>
      <c r="Q32" s="99">
        <f t="shared" ca="1" si="8"/>
        <v>0</v>
      </c>
      <c r="R32" s="99">
        <f t="shared" ca="1" si="9"/>
        <v>0</v>
      </c>
      <c r="S32" s="99">
        <f t="shared" ca="1" si="10"/>
        <v>0</v>
      </c>
      <c r="T32" s="99">
        <f t="shared" ca="1" si="11"/>
        <v>0</v>
      </c>
      <c r="U32" s="99">
        <f t="shared" ca="1" si="12"/>
        <v>0</v>
      </c>
      <c r="V32" s="99">
        <f t="shared" ca="1" si="13"/>
        <v>0</v>
      </c>
      <c r="W32" s="99">
        <f t="shared" ca="1" si="14"/>
        <v>0</v>
      </c>
      <c r="Y32" s="78"/>
      <c r="Z32" s="78"/>
      <c r="AA32" s="150"/>
      <c r="AD32" s="100"/>
      <c r="AE32" s="101">
        <f t="shared" ca="1" si="21"/>
        <v>0</v>
      </c>
      <c r="AF32" s="101">
        <f t="shared" ca="1" si="22"/>
        <v>0</v>
      </c>
      <c r="AG32" s="101">
        <f t="shared" ca="1" si="23"/>
        <v>0</v>
      </c>
      <c r="AH32" s="101">
        <f t="shared" ca="1" si="24"/>
        <v>0</v>
      </c>
      <c r="AI32" s="101">
        <f t="shared" ca="1" si="25"/>
        <v>0</v>
      </c>
      <c r="AK32" s="100"/>
      <c r="AL32" s="101">
        <f t="shared" ca="1" si="15"/>
        <v>0</v>
      </c>
      <c r="AM32" s="101">
        <f t="shared" ca="1" si="16"/>
        <v>0</v>
      </c>
      <c r="AN32" s="101">
        <f t="shared" ca="1" si="17"/>
        <v>0</v>
      </c>
      <c r="AO32" s="101">
        <f t="shared" ca="1" si="18"/>
        <v>0</v>
      </c>
      <c r="AP32" s="101">
        <f t="shared" ca="1" si="19"/>
        <v>0</v>
      </c>
      <c r="AQ32" s="120"/>
      <c r="AR32" s="101"/>
      <c r="AS32" s="120"/>
      <c r="AT32" s="92"/>
      <c r="AU32" s="92"/>
      <c r="AV32" s="92"/>
    </row>
    <row r="33" spans="1:48" x14ac:dyDescent="0.25">
      <c r="A33" s="150">
        <f t="shared" si="26"/>
        <v>9</v>
      </c>
      <c r="B33" s="95">
        <f t="shared" si="27"/>
        <v>4.46</v>
      </c>
      <c r="C33" s="96">
        <f t="shared" si="0"/>
        <v>4.37</v>
      </c>
      <c r="D33" s="96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ca="1" si="28"/>
        <v>#N/A</v>
      </c>
      <c r="I33" s="168">
        <f t="shared" si="29"/>
        <v>36686</v>
      </c>
      <c r="J33" s="168">
        <f t="shared" si="20"/>
        <v>36686</v>
      </c>
      <c r="K33" s="152">
        <f t="shared" si="30"/>
        <v>5</v>
      </c>
      <c r="L33" s="152">
        <f t="shared" si="3"/>
        <v>0</v>
      </c>
      <c r="M33" s="152">
        <f t="shared" si="4"/>
        <v>-12</v>
      </c>
      <c r="N33" s="99">
        <f ca="1">IF($L33=0,0,bsd(N$23,N$22,$B33,$C33,$M33,$E33,$H33,0.1))</f>
        <v>0</v>
      </c>
      <c r="O33" s="99">
        <f t="shared" ca="1" si="6"/>
        <v>0</v>
      </c>
      <c r="P33" s="99">
        <f t="shared" ca="1" si="7"/>
        <v>0</v>
      </c>
      <c r="Q33" s="99">
        <f t="shared" ca="1" si="8"/>
        <v>0</v>
      </c>
      <c r="R33" s="99">
        <f ca="1">IF($L33=0,0,bsd(R$23,R$22,$B33,$C33,$M33,$E33,$H33,0.1))</f>
        <v>0</v>
      </c>
      <c r="S33" s="99">
        <f t="shared" ca="1" si="10"/>
        <v>0</v>
      </c>
      <c r="T33" s="99">
        <f t="shared" ca="1" si="11"/>
        <v>0</v>
      </c>
      <c r="U33" s="99">
        <f t="shared" ca="1" si="12"/>
        <v>0</v>
      </c>
      <c r="V33" s="99">
        <f t="shared" ca="1" si="13"/>
        <v>0</v>
      </c>
      <c r="W33" s="99">
        <f t="shared" ca="1" si="14"/>
        <v>0</v>
      </c>
      <c r="Y33" s="78"/>
      <c r="Z33" s="78"/>
      <c r="AA33" s="150"/>
      <c r="AD33" s="100"/>
      <c r="AE33" s="101">
        <f t="shared" ca="1" si="21"/>
        <v>0</v>
      </c>
      <c r="AF33" s="101">
        <f t="shared" ca="1" si="22"/>
        <v>0</v>
      </c>
      <c r="AG33" s="101">
        <f t="shared" ca="1" si="23"/>
        <v>0</v>
      </c>
      <c r="AH33" s="101">
        <f t="shared" ca="1" si="24"/>
        <v>0</v>
      </c>
      <c r="AI33" s="101">
        <f t="shared" ca="1" si="25"/>
        <v>0</v>
      </c>
      <c r="AK33" s="100"/>
      <c r="AL33" s="101">
        <f t="shared" ca="1" si="15"/>
        <v>0</v>
      </c>
      <c r="AM33" s="101">
        <f t="shared" ca="1" si="16"/>
        <v>0</v>
      </c>
      <c r="AN33" s="101">
        <f t="shared" ca="1" si="17"/>
        <v>0</v>
      </c>
      <c r="AO33" s="101">
        <f t="shared" ca="1" si="18"/>
        <v>0</v>
      </c>
      <c r="AP33" s="101">
        <f t="shared" ca="1" si="19"/>
        <v>0</v>
      </c>
      <c r="AQ33" s="120"/>
      <c r="AR33" s="101"/>
      <c r="AS33" s="120"/>
      <c r="AT33" s="92"/>
      <c r="AU33" s="92"/>
      <c r="AV33" s="92"/>
    </row>
    <row r="34" spans="1:48" x14ac:dyDescent="0.25">
      <c r="A34" s="150">
        <f t="shared" si="26"/>
        <v>10</v>
      </c>
      <c r="B34" s="95">
        <f t="shared" si="27"/>
        <v>4.46</v>
      </c>
      <c r="C34" s="96">
        <f t="shared" si="0"/>
        <v>4.37</v>
      </c>
      <c r="D34" s="96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ca="1" si="28"/>
        <v>#N/A</v>
      </c>
      <c r="I34" s="168">
        <f t="shared" si="29"/>
        <v>36687</v>
      </c>
      <c r="J34" s="168">
        <f t="shared" si="20"/>
        <v>36686</v>
      </c>
      <c r="K34" s="152">
        <f t="shared" si="30"/>
        <v>6</v>
      </c>
      <c r="L34" s="152">
        <f t="shared" si="3"/>
        <v>0</v>
      </c>
      <c r="M34" s="152">
        <f t="shared" si="4"/>
        <v>-12</v>
      </c>
      <c r="N34" s="99">
        <f t="shared" ca="1" si="5"/>
        <v>0</v>
      </c>
      <c r="O34" s="99">
        <f t="shared" ca="1" si="6"/>
        <v>0</v>
      </c>
      <c r="P34" s="99">
        <f t="shared" ca="1" si="7"/>
        <v>0</v>
      </c>
      <c r="Q34" s="99">
        <f t="shared" ca="1" si="8"/>
        <v>0</v>
      </c>
      <c r="R34" s="99">
        <f t="shared" ca="1" si="9"/>
        <v>0</v>
      </c>
      <c r="S34" s="99">
        <f t="shared" ca="1" si="10"/>
        <v>0</v>
      </c>
      <c r="T34" s="99">
        <f t="shared" ca="1" si="11"/>
        <v>0</v>
      </c>
      <c r="U34" s="99">
        <f t="shared" ca="1" si="12"/>
        <v>0</v>
      </c>
      <c r="V34" s="99">
        <f t="shared" ca="1" si="13"/>
        <v>0</v>
      </c>
      <c r="W34" s="99">
        <f t="shared" ca="1" si="14"/>
        <v>0</v>
      </c>
      <c r="Y34" s="78"/>
      <c r="Z34" s="78"/>
      <c r="AA34" s="150"/>
      <c r="AD34" s="100"/>
      <c r="AE34" s="101">
        <f t="shared" ca="1" si="21"/>
        <v>0</v>
      </c>
      <c r="AF34" s="101">
        <f t="shared" ca="1" si="22"/>
        <v>0</v>
      </c>
      <c r="AG34" s="101">
        <f t="shared" ca="1" si="23"/>
        <v>0</v>
      </c>
      <c r="AH34" s="101">
        <f t="shared" ca="1" si="24"/>
        <v>0</v>
      </c>
      <c r="AI34" s="101">
        <f t="shared" ca="1" si="25"/>
        <v>0</v>
      </c>
      <c r="AK34" s="100"/>
      <c r="AL34" s="101">
        <f t="shared" ca="1" si="15"/>
        <v>0</v>
      </c>
      <c r="AM34" s="101">
        <f t="shared" ca="1" si="16"/>
        <v>0</v>
      </c>
      <c r="AN34" s="101">
        <f t="shared" ca="1" si="17"/>
        <v>0</v>
      </c>
      <c r="AO34" s="101">
        <f t="shared" ca="1" si="18"/>
        <v>0</v>
      </c>
      <c r="AP34" s="101">
        <f t="shared" ca="1" si="19"/>
        <v>0</v>
      </c>
      <c r="AQ34" s="120"/>
      <c r="AR34" s="101"/>
      <c r="AS34" s="120"/>
      <c r="AT34" s="92"/>
      <c r="AU34" s="92"/>
      <c r="AV34" s="92"/>
    </row>
    <row r="35" spans="1:48" x14ac:dyDescent="0.25">
      <c r="A35" s="150">
        <f t="shared" si="26"/>
        <v>11</v>
      </c>
      <c r="B35" s="95">
        <f t="shared" si="27"/>
        <v>4.46</v>
      </c>
      <c r="C35" s="96">
        <f t="shared" si="0"/>
        <v>4.37</v>
      </c>
      <c r="D35" s="96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ca="1" si="28"/>
        <v>#N/A</v>
      </c>
      <c r="I35" s="168">
        <f t="shared" si="29"/>
        <v>36688</v>
      </c>
      <c r="J35" s="168">
        <f t="shared" si="20"/>
        <v>36686</v>
      </c>
      <c r="K35" s="152">
        <f t="shared" si="30"/>
        <v>7</v>
      </c>
      <c r="L35" s="152">
        <f t="shared" si="3"/>
        <v>0</v>
      </c>
      <c r="M35" s="152">
        <f t="shared" si="4"/>
        <v>-12</v>
      </c>
      <c r="N35" s="99">
        <f t="shared" ca="1" si="5"/>
        <v>0</v>
      </c>
      <c r="O35" s="99">
        <f t="shared" ca="1" si="6"/>
        <v>0</v>
      </c>
      <c r="P35" s="99">
        <f t="shared" ca="1" si="7"/>
        <v>0</v>
      </c>
      <c r="Q35" s="99">
        <f t="shared" ca="1" si="8"/>
        <v>0</v>
      </c>
      <c r="R35" s="99">
        <f t="shared" ca="1" si="9"/>
        <v>0</v>
      </c>
      <c r="S35" s="99">
        <f t="shared" ca="1" si="10"/>
        <v>0</v>
      </c>
      <c r="T35" s="99">
        <f t="shared" ca="1" si="11"/>
        <v>0</v>
      </c>
      <c r="U35" s="99">
        <f t="shared" ca="1" si="12"/>
        <v>0</v>
      </c>
      <c r="V35" s="99">
        <f t="shared" ca="1" si="13"/>
        <v>0</v>
      </c>
      <c r="W35" s="99">
        <f t="shared" ca="1" si="14"/>
        <v>0</v>
      </c>
      <c r="Y35" s="78"/>
      <c r="Z35" s="78"/>
      <c r="AA35" s="150"/>
      <c r="AD35" s="100"/>
      <c r="AE35" s="101">
        <f t="shared" ca="1" si="21"/>
        <v>0</v>
      </c>
      <c r="AF35" s="101">
        <f t="shared" ca="1" si="22"/>
        <v>0</v>
      </c>
      <c r="AG35" s="101">
        <f t="shared" ca="1" si="23"/>
        <v>0</v>
      </c>
      <c r="AH35" s="101">
        <f t="shared" ca="1" si="24"/>
        <v>0</v>
      </c>
      <c r="AI35" s="101">
        <f t="shared" ca="1" si="25"/>
        <v>0</v>
      </c>
      <c r="AK35" s="100"/>
      <c r="AL35" s="101">
        <f t="shared" ca="1" si="15"/>
        <v>0</v>
      </c>
      <c r="AM35" s="101">
        <f t="shared" ca="1" si="16"/>
        <v>0</v>
      </c>
      <c r="AN35" s="101">
        <f t="shared" ca="1" si="17"/>
        <v>0</v>
      </c>
      <c r="AO35" s="101">
        <f t="shared" ca="1" si="18"/>
        <v>0</v>
      </c>
      <c r="AP35" s="101">
        <f t="shared" ca="1" si="19"/>
        <v>0</v>
      </c>
      <c r="AQ35" s="120"/>
      <c r="AR35" s="101"/>
      <c r="AS35" s="120"/>
      <c r="AT35" s="92"/>
      <c r="AU35" s="92"/>
      <c r="AV35" s="92"/>
    </row>
    <row r="36" spans="1:48" x14ac:dyDescent="0.25">
      <c r="A36" s="150">
        <f t="shared" si="26"/>
        <v>12</v>
      </c>
      <c r="B36" s="95">
        <f t="shared" si="27"/>
        <v>4.46</v>
      </c>
      <c r="C36" s="96">
        <f t="shared" si="0"/>
        <v>4.37</v>
      </c>
      <c r="D36" s="96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ca="1" si="28"/>
        <v>#N/A</v>
      </c>
      <c r="I36" s="168">
        <f t="shared" si="29"/>
        <v>36689</v>
      </c>
      <c r="J36" s="168">
        <f t="shared" si="20"/>
        <v>36689</v>
      </c>
      <c r="K36" s="152">
        <f t="shared" si="30"/>
        <v>1</v>
      </c>
      <c r="L36" s="152">
        <f t="shared" si="3"/>
        <v>0</v>
      </c>
      <c r="M36" s="152">
        <f t="shared" si="4"/>
        <v>-9</v>
      </c>
      <c r="N36" s="99">
        <f t="shared" ca="1" si="5"/>
        <v>0</v>
      </c>
      <c r="O36" s="99">
        <f t="shared" ca="1" si="6"/>
        <v>0</v>
      </c>
      <c r="P36" s="99">
        <f t="shared" ca="1" si="7"/>
        <v>0</v>
      </c>
      <c r="Q36" s="99">
        <f t="shared" ca="1" si="8"/>
        <v>0</v>
      </c>
      <c r="R36" s="99">
        <f t="shared" ca="1" si="9"/>
        <v>0</v>
      </c>
      <c r="S36" s="99">
        <f t="shared" ca="1" si="10"/>
        <v>0</v>
      </c>
      <c r="T36" s="99">
        <f t="shared" ca="1" si="11"/>
        <v>0</v>
      </c>
      <c r="U36" s="99">
        <f t="shared" ca="1" si="12"/>
        <v>0</v>
      </c>
      <c r="V36" s="99">
        <f t="shared" ca="1" si="13"/>
        <v>0</v>
      </c>
      <c r="W36" s="99">
        <f t="shared" ca="1" si="14"/>
        <v>0</v>
      </c>
      <c r="Y36" s="78"/>
      <c r="Z36" s="78"/>
      <c r="AA36" s="150"/>
      <c r="AD36" s="100"/>
      <c r="AE36" s="101">
        <f t="shared" ca="1" si="21"/>
        <v>0</v>
      </c>
      <c r="AF36" s="101">
        <f t="shared" ca="1" si="22"/>
        <v>0</v>
      </c>
      <c r="AG36" s="101">
        <f t="shared" ca="1" si="23"/>
        <v>0</v>
      </c>
      <c r="AH36" s="101">
        <f t="shared" ca="1" si="24"/>
        <v>0</v>
      </c>
      <c r="AI36" s="101">
        <f t="shared" ca="1" si="25"/>
        <v>0</v>
      </c>
      <c r="AK36" s="100"/>
      <c r="AL36" s="101">
        <f t="shared" ca="1" si="15"/>
        <v>0</v>
      </c>
      <c r="AM36" s="101">
        <f t="shared" ca="1" si="16"/>
        <v>0</v>
      </c>
      <c r="AN36" s="101">
        <f t="shared" ca="1" si="17"/>
        <v>0</v>
      </c>
      <c r="AO36" s="101">
        <f t="shared" ca="1" si="18"/>
        <v>0</v>
      </c>
      <c r="AP36" s="101">
        <f t="shared" ca="1" si="19"/>
        <v>0</v>
      </c>
      <c r="AQ36" s="120"/>
      <c r="AR36" s="101"/>
      <c r="AS36" s="120"/>
      <c r="AT36" s="92"/>
      <c r="AU36" s="92"/>
      <c r="AV36" s="92"/>
    </row>
    <row r="37" spans="1:48" x14ac:dyDescent="0.25">
      <c r="A37" s="150">
        <f t="shared" si="26"/>
        <v>13</v>
      </c>
      <c r="B37" s="95">
        <f t="shared" si="27"/>
        <v>4.46</v>
      </c>
      <c r="C37" s="96">
        <f t="shared" si="0"/>
        <v>4.37</v>
      </c>
      <c r="D37" s="96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ca="1" si="28"/>
        <v>#N/A</v>
      </c>
      <c r="I37" s="168">
        <f t="shared" si="29"/>
        <v>36690</v>
      </c>
      <c r="J37" s="168">
        <f t="shared" si="20"/>
        <v>36690</v>
      </c>
      <c r="K37" s="152">
        <f t="shared" si="30"/>
        <v>2</v>
      </c>
      <c r="L37" s="152">
        <f t="shared" si="3"/>
        <v>0</v>
      </c>
      <c r="M37" s="152">
        <f t="shared" si="4"/>
        <v>-8</v>
      </c>
      <c r="N37" s="99">
        <f t="shared" ca="1" si="5"/>
        <v>0</v>
      </c>
      <c r="O37" s="99">
        <f t="shared" ca="1" si="6"/>
        <v>0</v>
      </c>
      <c r="P37" s="99">
        <f t="shared" ca="1" si="7"/>
        <v>0</v>
      </c>
      <c r="Q37" s="99">
        <f t="shared" ca="1" si="8"/>
        <v>0</v>
      </c>
      <c r="R37" s="99">
        <f t="shared" ca="1" si="9"/>
        <v>0</v>
      </c>
      <c r="S37" s="99">
        <f t="shared" ca="1" si="10"/>
        <v>0</v>
      </c>
      <c r="T37" s="99">
        <f t="shared" ca="1" si="11"/>
        <v>0</v>
      </c>
      <c r="U37" s="99">
        <f t="shared" ca="1" si="12"/>
        <v>0</v>
      </c>
      <c r="V37" s="99">
        <f t="shared" ca="1" si="13"/>
        <v>0</v>
      </c>
      <c r="W37" s="99">
        <f t="shared" ca="1" si="14"/>
        <v>0</v>
      </c>
      <c r="Y37" s="78"/>
      <c r="Z37" s="78"/>
      <c r="AA37" s="150"/>
      <c r="AD37" s="100"/>
      <c r="AE37" s="101">
        <f t="shared" ca="1" si="21"/>
        <v>0</v>
      </c>
      <c r="AF37" s="101">
        <f t="shared" ca="1" si="22"/>
        <v>0</v>
      </c>
      <c r="AG37" s="101">
        <f t="shared" ca="1" si="23"/>
        <v>0</v>
      </c>
      <c r="AH37" s="101">
        <f t="shared" ca="1" si="24"/>
        <v>0</v>
      </c>
      <c r="AI37" s="101">
        <f t="shared" ca="1" si="25"/>
        <v>0</v>
      </c>
      <c r="AK37" s="100"/>
      <c r="AL37" s="101">
        <f t="shared" ca="1" si="15"/>
        <v>0</v>
      </c>
      <c r="AM37" s="101">
        <f t="shared" ca="1" si="16"/>
        <v>0</v>
      </c>
      <c r="AN37" s="101">
        <f t="shared" ca="1" si="17"/>
        <v>0</v>
      </c>
      <c r="AO37" s="101">
        <f t="shared" ca="1" si="18"/>
        <v>0</v>
      </c>
      <c r="AP37" s="101">
        <f t="shared" ca="1" si="19"/>
        <v>0</v>
      </c>
      <c r="AQ37" s="120"/>
      <c r="AR37" s="101"/>
      <c r="AS37" s="120"/>
      <c r="AT37" s="92"/>
      <c r="AU37" s="92"/>
      <c r="AV37" s="92"/>
    </row>
    <row r="38" spans="1:48" x14ac:dyDescent="0.25">
      <c r="A38" s="150">
        <f t="shared" si="26"/>
        <v>14</v>
      </c>
      <c r="B38" s="95">
        <f t="shared" si="27"/>
        <v>4.46</v>
      </c>
      <c r="C38" s="96">
        <f t="shared" si="0"/>
        <v>4.37</v>
      </c>
      <c r="D38" s="96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ca="1" si="28"/>
        <v>#N/A</v>
      </c>
      <c r="I38" s="168">
        <f t="shared" si="29"/>
        <v>36691</v>
      </c>
      <c r="J38" s="168">
        <f t="shared" si="20"/>
        <v>36691</v>
      </c>
      <c r="K38" s="152">
        <f t="shared" si="30"/>
        <v>3</v>
      </c>
      <c r="L38" s="152">
        <f t="shared" si="3"/>
        <v>0</v>
      </c>
      <c r="M38" s="152">
        <f t="shared" si="4"/>
        <v>-7</v>
      </c>
      <c r="N38" s="99">
        <f t="shared" ca="1" si="5"/>
        <v>0</v>
      </c>
      <c r="O38" s="99">
        <f t="shared" ca="1" si="6"/>
        <v>0</v>
      </c>
      <c r="P38" s="99">
        <f t="shared" ca="1" si="7"/>
        <v>0</v>
      </c>
      <c r="Q38" s="99">
        <f t="shared" ca="1" si="8"/>
        <v>0</v>
      </c>
      <c r="R38" s="99">
        <f t="shared" ca="1" si="9"/>
        <v>0</v>
      </c>
      <c r="S38" s="99">
        <f t="shared" ca="1" si="10"/>
        <v>0</v>
      </c>
      <c r="T38" s="99">
        <f t="shared" ca="1" si="11"/>
        <v>0</v>
      </c>
      <c r="U38" s="99">
        <f t="shared" ca="1" si="12"/>
        <v>0</v>
      </c>
      <c r="V38" s="99">
        <f t="shared" ca="1" si="13"/>
        <v>0</v>
      </c>
      <c r="W38" s="99">
        <f t="shared" ca="1" si="14"/>
        <v>0</v>
      </c>
      <c r="Y38" s="78"/>
      <c r="Z38" s="78"/>
      <c r="AA38" s="150"/>
      <c r="AD38" s="100"/>
      <c r="AE38" s="101">
        <f t="shared" ca="1" si="21"/>
        <v>0</v>
      </c>
      <c r="AF38" s="101">
        <f t="shared" ca="1" si="22"/>
        <v>0</v>
      </c>
      <c r="AG38" s="101">
        <f t="shared" ca="1" si="23"/>
        <v>0</v>
      </c>
      <c r="AH38" s="101">
        <f t="shared" ca="1" si="24"/>
        <v>0</v>
      </c>
      <c r="AI38" s="101">
        <f t="shared" ca="1" si="25"/>
        <v>0</v>
      </c>
      <c r="AK38" s="100"/>
      <c r="AL38" s="101">
        <f t="shared" ca="1" si="15"/>
        <v>0</v>
      </c>
      <c r="AM38" s="101">
        <f t="shared" ca="1" si="16"/>
        <v>0</v>
      </c>
      <c r="AN38" s="101">
        <f t="shared" ca="1" si="17"/>
        <v>0</v>
      </c>
      <c r="AO38" s="101">
        <f t="shared" ca="1" si="18"/>
        <v>0</v>
      </c>
      <c r="AP38" s="101">
        <f t="shared" ca="1" si="19"/>
        <v>0</v>
      </c>
      <c r="AQ38" s="120"/>
      <c r="AR38" s="101"/>
      <c r="AS38" s="120"/>
      <c r="AT38" s="92"/>
      <c r="AU38" s="92"/>
      <c r="AV38" s="92"/>
    </row>
    <row r="39" spans="1:48" x14ac:dyDescent="0.25">
      <c r="A39" s="150">
        <f t="shared" si="26"/>
        <v>15</v>
      </c>
      <c r="B39" s="95">
        <f t="shared" si="27"/>
        <v>4.46</v>
      </c>
      <c r="C39" s="96">
        <f t="shared" si="0"/>
        <v>4.37</v>
      </c>
      <c r="D39" s="96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ca="1" si="28"/>
        <v>#N/A</v>
      </c>
      <c r="I39" s="168">
        <f t="shared" si="29"/>
        <v>36692</v>
      </c>
      <c r="J39" s="168">
        <f t="shared" si="20"/>
        <v>36692</v>
      </c>
      <c r="K39" s="152">
        <f t="shared" si="30"/>
        <v>4</v>
      </c>
      <c r="L39" s="152">
        <f t="shared" si="3"/>
        <v>0</v>
      </c>
      <c r="M39" s="152">
        <f t="shared" si="4"/>
        <v>-6</v>
      </c>
      <c r="N39" s="99">
        <f t="shared" ca="1" si="5"/>
        <v>0</v>
      </c>
      <c r="O39" s="99">
        <f t="shared" ca="1" si="6"/>
        <v>0</v>
      </c>
      <c r="P39" s="99">
        <f t="shared" ca="1" si="7"/>
        <v>0</v>
      </c>
      <c r="Q39" s="99">
        <f t="shared" ca="1" si="8"/>
        <v>0</v>
      </c>
      <c r="R39" s="99">
        <f t="shared" ca="1" si="9"/>
        <v>0</v>
      </c>
      <c r="S39" s="99">
        <f t="shared" ca="1" si="10"/>
        <v>0</v>
      </c>
      <c r="T39" s="99">
        <f t="shared" ca="1" si="11"/>
        <v>0</v>
      </c>
      <c r="U39" s="99">
        <f t="shared" ca="1" si="12"/>
        <v>0</v>
      </c>
      <c r="V39" s="99">
        <f t="shared" ca="1" si="13"/>
        <v>0</v>
      </c>
      <c r="W39" s="99">
        <f t="shared" ca="1" si="14"/>
        <v>0</v>
      </c>
      <c r="Y39" s="78"/>
      <c r="Z39" s="78"/>
      <c r="AA39" s="150"/>
      <c r="AD39" s="100"/>
      <c r="AE39" s="101">
        <f t="shared" ca="1" si="21"/>
        <v>0</v>
      </c>
      <c r="AF39" s="101">
        <f t="shared" ca="1" si="22"/>
        <v>0</v>
      </c>
      <c r="AG39" s="101">
        <f t="shared" ca="1" si="23"/>
        <v>0</v>
      </c>
      <c r="AH39" s="101">
        <f t="shared" ca="1" si="24"/>
        <v>0</v>
      </c>
      <c r="AI39" s="101">
        <f t="shared" ca="1" si="25"/>
        <v>0</v>
      </c>
      <c r="AK39" s="100"/>
      <c r="AL39" s="101">
        <f t="shared" ca="1" si="15"/>
        <v>0</v>
      </c>
      <c r="AM39" s="101">
        <f t="shared" ca="1" si="16"/>
        <v>0</v>
      </c>
      <c r="AN39" s="101">
        <f t="shared" ca="1" si="17"/>
        <v>0</v>
      </c>
      <c r="AO39" s="101">
        <f t="shared" ca="1" si="18"/>
        <v>0</v>
      </c>
      <c r="AP39" s="101">
        <f t="shared" ca="1" si="19"/>
        <v>0</v>
      </c>
      <c r="AQ39" s="120"/>
      <c r="AR39" s="101"/>
      <c r="AS39" s="120"/>
      <c r="AT39" s="92"/>
      <c r="AU39" s="92"/>
      <c r="AV39" s="92"/>
    </row>
    <row r="40" spans="1:48" x14ac:dyDescent="0.25">
      <c r="A40" s="150">
        <f t="shared" si="26"/>
        <v>16</v>
      </c>
      <c r="B40" s="95">
        <f t="shared" si="27"/>
        <v>4.46</v>
      </c>
      <c r="C40" s="96">
        <f t="shared" si="0"/>
        <v>4.37</v>
      </c>
      <c r="D40" s="96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ca="1" si="28"/>
        <v>#N/A</v>
      </c>
      <c r="I40" s="168">
        <f t="shared" si="29"/>
        <v>36693</v>
      </c>
      <c r="J40" s="168">
        <f t="shared" si="20"/>
        <v>36693</v>
      </c>
      <c r="K40" s="152">
        <f t="shared" si="30"/>
        <v>5</v>
      </c>
      <c r="L40" s="152">
        <f t="shared" si="3"/>
        <v>0</v>
      </c>
      <c r="M40" s="152">
        <f t="shared" si="4"/>
        <v>-5</v>
      </c>
      <c r="N40" s="99">
        <f t="shared" ca="1" si="5"/>
        <v>0</v>
      </c>
      <c r="O40" s="99">
        <f t="shared" ca="1" si="6"/>
        <v>0</v>
      </c>
      <c r="P40" s="99">
        <f t="shared" ca="1" si="7"/>
        <v>0</v>
      </c>
      <c r="Q40" s="99">
        <f t="shared" ca="1" si="8"/>
        <v>0</v>
      </c>
      <c r="R40" s="99">
        <f t="shared" ca="1" si="9"/>
        <v>0</v>
      </c>
      <c r="S40" s="99">
        <f t="shared" ca="1" si="10"/>
        <v>0</v>
      </c>
      <c r="T40" s="99">
        <f t="shared" ca="1" si="11"/>
        <v>0</v>
      </c>
      <c r="U40" s="99">
        <f t="shared" ca="1" si="12"/>
        <v>0</v>
      </c>
      <c r="V40" s="99">
        <f t="shared" ca="1" si="13"/>
        <v>0</v>
      </c>
      <c r="W40" s="99">
        <f t="shared" ca="1" si="14"/>
        <v>0</v>
      </c>
      <c r="Y40" s="78"/>
      <c r="Z40" s="78"/>
      <c r="AA40" s="150"/>
      <c r="AD40" s="100"/>
      <c r="AE40" s="101">
        <f t="shared" ca="1" si="21"/>
        <v>0</v>
      </c>
      <c r="AF40" s="101">
        <f t="shared" ca="1" si="22"/>
        <v>0</v>
      </c>
      <c r="AG40" s="101">
        <f t="shared" ca="1" si="23"/>
        <v>0</v>
      </c>
      <c r="AH40" s="101">
        <f t="shared" ca="1" si="24"/>
        <v>0</v>
      </c>
      <c r="AI40" s="101">
        <f t="shared" ca="1" si="25"/>
        <v>0</v>
      </c>
      <c r="AK40" s="100"/>
      <c r="AL40" s="101">
        <f t="shared" ca="1" si="15"/>
        <v>0</v>
      </c>
      <c r="AM40" s="101">
        <f t="shared" ca="1" si="16"/>
        <v>0</v>
      </c>
      <c r="AN40" s="101">
        <f t="shared" ca="1" si="17"/>
        <v>0</v>
      </c>
      <c r="AO40" s="101">
        <f t="shared" ca="1" si="18"/>
        <v>0</v>
      </c>
      <c r="AP40" s="101">
        <f t="shared" ca="1" si="19"/>
        <v>0</v>
      </c>
      <c r="AQ40" s="120"/>
      <c r="AR40" s="101"/>
      <c r="AS40" s="120"/>
      <c r="AT40" s="92"/>
      <c r="AU40" s="92"/>
      <c r="AV40" s="92"/>
    </row>
    <row r="41" spans="1:48" x14ac:dyDescent="0.25">
      <c r="A41" s="150">
        <f t="shared" si="26"/>
        <v>17</v>
      </c>
      <c r="B41" s="95">
        <f t="shared" si="27"/>
        <v>4.46</v>
      </c>
      <c r="C41" s="96">
        <f t="shared" si="0"/>
        <v>4.37</v>
      </c>
      <c r="D41" s="96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ca="1" si="28"/>
        <v>#N/A</v>
      </c>
      <c r="I41" s="168">
        <f t="shared" si="29"/>
        <v>36694</v>
      </c>
      <c r="J41" s="168">
        <f t="shared" si="20"/>
        <v>36693</v>
      </c>
      <c r="K41" s="152">
        <f t="shared" si="30"/>
        <v>6</v>
      </c>
      <c r="L41" s="152">
        <f t="shared" si="3"/>
        <v>0</v>
      </c>
      <c r="M41" s="152">
        <f t="shared" si="4"/>
        <v>-5</v>
      </c>
      <c r="N41" s="99">
        <f t="shared" ca="1" si="5"/>
        <v>0</v>
      </c>
      <c r="O41" s="99">
        <f t="shared" ca="1" si="6"/>
        <v>0</v>
      </c>
      <c r="P41" s="99">
        <f t="shared" ca="1" si="7"/>
        <v>0</v>
      </c>
      <c r="Q41" s="99">
        <f t="shared" ca="1" si="8"/>
        <v>0</v>
      </c>
      <c r="R41" s="99">
        <f t="shared" ca="1" si="9"/>
        <v>0</v>
      </c>
      <c r="S41" s="99">
        <f t="shared" ca="1" si="10"/>
        <v>0</v>
      </c>
      <c r="T41" s="99">
        <f t="shared" ca="1" si="11"/>
        <v>0</v>
      </c>
      <c r="U41" s="99">
        <f t="shared" ca="1" si="12"/>
        <v>0</v>
      </c>
      <c r="V41" s="99">
        <f t="shared" ca="1" si="13"/>
        <v>0</v>
      </c>
      <c r="W41" s="99">
        <f t="shared" ca="1" si="14"/>
        <v>0</v>
      </c>
      <c r="Y41" s="78"/>
      <c r="Z41" s="78"/>
      <c r="AA41" s="150"/>
      <c r="AD41" s="100"/>
      <c r="AE41" s="101">
        <f t="shared" ca="1" si="21"/>
        <v>0</v>
      </c>
      <c r="AF41" s="101">
        <f t="shared" ca="1" si="22"/>
        <v>0</v>
      </c>
      <c r="AG41" s="101">
        <f t="shared" ca="1" si="23"/>
        <v>0</v>
      </c>
      <c r="AH41" s="101">
        <f t="shared" ca="1" si="24"/>
        <v>0</v>
      </c>
      <c r="AI41" s="101">
        <f t="shared" ca="1" si="25"/>
        <v>0</v>
      </c>
      <c r="AK41" s="100"/>
      <c r="AL41" s="101">
        <f t="shared" ca="1" si="15"/>
        <v>0</v>
      </c>
      <c r="AM41" s="101">
        <f t="shared" ca="1" si="16"/>
        <v>0</v>
      </c>
      <c r="AN41" s="101">
        <f t="shared" ca="1" si="17"/>
        <v>0</v>
      </c>
      <c r="AO41" s="101">
        <f t="shared" ca="1" si="18"/>
        <v>0</v>
      </c>
      <c r="AP41" s="101">
        <f t="shared" ca="1" si="19"/>
        <v>0</v>
      </c>
      <c r="AQ41" s="120"/>
      <c r="AR41" s="101"/>
      <c r="AS41" s="120"/>
      <c r="AT41" s="92"/>
      <c r="AU41" s="92"/>
      <c r="AV41" s="92"/>
    </row>
    <row r="42" spans="1:48" x14ac:dyDescent="0.25">
      <c r="A42" s="150">
        <f t="shared" si="26"/>
        <v>18</v>
      </c>
      <c r="B42" s="95">
        <f t="shared" si="27"/>
        <v>4.46</v>
      </c>
      <c r="C42" s="96">
        <f t="shared" si="0"/>
        <v>4.37</v>
      </c>
      <c r="D42" s="96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ca="1" si="28"/>
        <v>#N/A</v>
      </c>
      <c r="I42" s="168">
        <f t="shared" si="29"/>
        <v>36695</v>
      </c>
      <c r="J42" s="168">
        <f t="shared" si="20"/>
        <v>36693</v>
      </c>
      <c r="K42" s="152">
        <f t="shared" si="30"/>
        <v>7</v>
      </c>
      <c r="L42" s="152">
        <f t="shared" si="3"/>
        <v>0</v>
      </c>
      <c r="M42" s="152">
        <f t="shared" si="4"/>
        <v>-5</v>
      </c>
      <c r="N42" s="99">
        <f t="shared" ca="1" si="5"/>
        <v>0</v>
      </c>
      <c r="O42" s="99">
        <f t="shared" ca="1" si="6"/>
        <v>0</v>
      </c>
      <c r="P42" s="99">
        <f t="shared" ca="1" si="7"/>
        <v>0</v>
      </c>
      <c r="Q42" s="99">
        <f t="shared" ca="1" si="8"/>
        <v>0</v>
      </c>
      <c r="R42" s="99">
        <f t="shared" ca="1" si="9"/>
        <v>0</v>
      </c>
      <c r="S42" s="99">
        <f t="shared" ca="1" si="10"/>
        <v>0</v>
      </c>
      <c r="T42" s="99">
        <f t="shared" ca="1" si="11"/>
        <v>0</v>
      </c>
      <c r="U42" s="99">
        <f t="shared" ca="1" si="12"/>
        <v>0</v>
      </c>
      <c r="V42" s="99">
        <f t="shared" ca="1" si="13"/>
        <v>0</v>
      </c>
      <c r="W42" s="99">
        <f t="shared" ca="1" si="14"/>
        <v>0</v>
      </c>
      <c r="Y42" s="78"/>
      <c r="Z42" s="78"/>
      <c r="AA42" s="150"/>
      <c r="AD42" s="100"/>
      <c r="AE42" s="101">
        <f t="shared" ca="1" si="21"/>
        <v>0</v>
      </c>
      <c r="AF42" s="101">
        <f t="shared" ca="1" si="22"/>
        <v>0</v>
      </c>
      <c r="AG42" s="101">
        <f t="shared" ca="1" si="23"/>
        <v>0</v>
      </c>
      <c r="AH42" s="101">
        <f t="shared" ca="1" si="24"/>
        <v>0</v>
      </c>
      <c r="AI42" s="101">
        <f t="shared" ca="1" si="25"/>
        <v>0</v>
      </c>
      <c r="AK42" s="100"/>
      <c r="AL42" s="101">
        <f t="shared" ca="1" si="15"/>
        <v>0</v>
      </c>
      <c r="AM42" s="101">
        <f t="shared" ca="1" si="16"/>
        <v>0</v>
      </c>
      <c r="AN42" s="101">
        <f t="shared" ca="1" si="17"/>
        <v>0</v>
      </c>
      <c r="AO42" s="101">
        <f t="shared" ca="1" si="18"/>
        <v>0</v>
      </c>
      <c r="AP42" s="101">
        <f t="shared" ca="1" si="19"/>
        <v>0</v>
      </c>
      <c r="AQ42" s="120"/>
      <c r="AR42" s="101"/>
      <c r="AS42" s="120"/>
      <c r="AT42" s="92"/>
      <c r="AU42" s="92"/>
      <c r="AV42" s="92"/>
    </row>
    <row r="43" spans="1:48" x14ac:dyDescent="0.25">
      <c r="A43" s="150">
        <f t="shared" si="26"/>
        <v>19</v>
      </c>
      <c r="B43" s="95">
        <f t="shared" si="27"/>
        <v>4.46</v>
      </c>
      <c r="C43" s="96">
        <f t="shared" si="0"/>
        <v>4.37</v>
      </c>
      <c r="D43" s="96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ca="1" si="28"/>
        <v>#N/A</v>
      </c>
      <c r="I43" s="168">
        <f t="shared" si="29"/>
        <v>36696</v>
      </c>
      <c r="J43" s="168">
        <f t="shared" si="20"/>
        <v>36696</v>
      </c>
      <c r="K43" s="152">
        <f t="shared" si="30"/>
        <v>1</v>
      </c>
      <c r="L43" s="152">
        <f t="shared" si="3"/>
        <v>0</v>
      </c>
      <c r="M43" s="152">
        <f t="shared" si="4"/>
        <v>-2</v>
      </c>
      <c r="N43" s="99">
        <f t="shared" ca="1" si="5"/>
        <v>0</v>
      </c>
      <c r="O43" s="99">
        <f t="shared" ca="1" si="6"/>
        <v>0</v>
      </c>
      <c r="P43" s="99">
        <f t="shared" ca="1" si="7"/>
        <v>0</v>
      </c>
      <c r="Q43" s="99">
        <f t="shared" ca="1" si="8"/>
        <v>0</v>
      </c>
      <c r="R43" s="99">
        <f t="shared" ca="1" si="9"/>
        <v>0</v>
      </c>
      <c r="S43" s="99">
        <f t="shared" ca="1" si="10"/>
        <v>0</v>
      </c>
      <c r="T43" s="99">
        <f t="shared" ca="1" si="11"/>
        <v>0</v>
      </c>
      <c r="U43" s="99">
        <f ca="1">IF($L43=0,0,bsd(U$23,U$22,$B43,$D43,$M43,$F43,$H43,0.1))</f>
        <v>0</v>
      </c>
      <c r="V43" s="99">
        <f t="shared" ca="1" si="13"/>
        <v>0</v>
      </c>
      <c r="W43" s="99">
        <f t="shared" ca="1" si="14"/>
        <v>0</v>
      </c>
      <c r="Y43" s="78"/>
      <c r="Z43" s="78"/>
      <c r="AA43" s="150"/>
      <c r="AD43" s="100"/>
      <c r="AE43" s="101">
        <f t="shared" ca="1" si="21"/>
        <v>0</v>
      </c>
      <c r="AF43" s="101">
        <f t="shared" ca="1" si="22"/>
        <v>0</v>
      </c>
      <c r="AG43" s="101">
        <f t="shared" ca="1" si="23"/>
        <v>0</v>
      </c>
      <c r="AH43" s="101">
        <f t="shared" ca="1" si="24"/>
        <v>0</v>
      </c>
      <c r="AI43" s="101">
        <f t="shared" ca="1" si="25"/>
        <v>0</v>
      </c>
      <c r="AK43" s="100"/>
      <c r="AL43" s="101">
        <f t="shared" ca="1" si="15"/>
        <v>0</v>
      </c>
      <c r="AM43" s="101">
        <f t="shared" ca="1" si="16"/>
        <v>0</v>
      </c>
      <c r="AN43" s="101">
        <f t="shared" ca="1" si="17"/>
        <v>0</v>
      </c>
      <c r="AO43" s="101">
        <f t="shared" ca="1" si="18"/>
        <v>0</v>
      </c>
      <c r="AP43" s="101">
        <f t="shared" ca="1" si="19"/>
        <v>0</v>
      </c>
      <c r="AQ43" s="120"/>
      <c r="AR43" s="101"/>
      <c r="AS43" s="120"/>
      <c r="AT43" s="92"/>
      <c r="AU43" s="92"/>
      <c r="AV43" s="92"/>
    </row>
    <row r="44" spans="1:48" x14ac:dyDescent="0.25">
      <c r="A44" s="150">
        <f t="shared" si="26"/>
        <v>20</v>
      </c>
      <c r="B44" s="95">
        <f t="shared" si="27"/>
        <v>4.46</v>
      </c>
      <c r="C44" s="96">
        <f t="shared" si="0"/>
        <v>4.37</v>
      </c>
      <c r="D44" s="96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ca="1" si="28"/>
        <v>#N/A</v>
      </c>
      <c r="I44" s="168">
        <f t="shared" si="29"/>
        <v>36697</v>
      </c>
      <c r="J44" s="168">
        <f t="shared" si="20"/>
        <v>36697</v>
      </c>
      <c r="K44" s="152">
        <f t="shared" si="30"/>
        <v>2</v>
      </c>
      <c r="L44" s="152">
        <f t="shared" si="3"/>
        <v>0</v>
      </c>
      <c r="M44" s="152">
        <f t="shared" si="4"/>
        <v>-1</v>
      </c>
      <c r="N44" s="99">
        <f t="shared" ca="1" si="5"/>
        <v>0</v>
      </c>
      <c r="O44" s="99">
        <f t="shared" ca="1" si="6"/>
        <v>0</v>
      </c>
      <c r="P44" s="99">
        <f t="shared" ca="1" si="7"/>
        <v>0</v>
      </c>
      <c r="Q44" s="99">
        <f t="shared" ca="1" si="8"/>
        <v>0</v>
      </c>
      <c r="R44" s="99">
        <f t="shared" ca="1" si="9"/>
        <v>0</v>
      </c>
      <c r="S44" s="99">
        <f t="shared" ca="1" si="10"/>
        <v>0</v>
      </c>
      <c r="T44" s="99">
        <f t="shared" ca="1" si="11"/>
        <v>0</v>
      </c>
      <c r="U44" s="99">
        <f t="shared" ca="1" si="12"/>
        <v>0</v>
      </c>
      <c r="V44" s="99">
        <f t="shared" ca="1" si="13"/>
        <v>0</v>
      </c>
      <c r="W44" s="99">
        <f t="shared" ca="1" si="14"/>
        <v>0</v>
      </c>
      <c r="Y44" s="78"/>
      <c r="Z44" s="78"/>
      <c r="AA44" s="150"/>
      <c r="AD44" s="100"/>
      <c r="AE44" s="101">
        <f t="shared" ca="1" si="21"/>
        <v>0</v>
      </c>
      <c r="AF44" s="101">
        <f t="shared" ca="1" si="22"/>
        <v>0</v>
      </c>
      <c r="AG44" s="101">
        <f t="shared" ca="1" si="23"/>
        <v>0</v>
      </c>
      <c r="AH44" s="101">
        <f t="shared" ca="1" si="24"/>
        <v>0</v>
      </c>
      <c r="AI44" s="101">
        <f t="shared" ca="1" si="25"/>
        <v>0</v>
      </c>
      <c r="AK44" s="100"/>
      <c r="AL44" s="101">
        <f t="shared" ca="1" si="15"/>
        <v>0</v>
      </c>
      <c r="AM44" s="101">
        <f t="shared" ca="1" si="16"/>
        <v>0</v>
      </c>
      <c r="AN44" s="101">
        <f t="shared" ca="1" si="17"/>
        <v>0</v>
      </c>
      <c r="AO44" s="101">
        <f t="shared" ca="1" si="18"/>
        <v>0</v>
      </c>
      <c r="AP44" s="101">
        <f t="shared" ca="1" si="19"/>
        <v>0</v>
      </c>
      <c r="AQ44" s="120"/>
      <c r="AR44" s="101"/>
      <c r="AS44" s="120"/>
      <c r="AT44" s="92"/>
      <c r="AU44" s="92"/>
      <c r="AV44" s="92"/>
    </row>
    <row r="45" spans="1:48" x14ac:dyDescent="0.25">
      <c r="A45" s="150">
        <f t="shared" si="26"/>
        <v>21</v>
      </c>
      <c r="B45" s="95">
        <f t="shared" si="27"/>
        <v>4.46</v>
      </c>
      <c r="C45" s="96">
        <f t="shared" si="0"/>
        <v>4.37</v>
      </c>
      <c r="D45" s="96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ca="1" si="28"/>
        <v>#N/A</v>
      </c>
      <c r="I45" s="168">
        <f t="shared" si="29"/>
        <v>36698</v>
      </c>
      <c r="J45" s="168">
        <f t="shared" si="20"/>
        <v>36698</v>
      </c>
      <c r="K45" s="152">
        <f t="shared" si="30"/>
        <v>3</v>
      </c>
      <c r="L45" s="152">
        <f t="shared" si="3"/>
        <v>0</v>
      </c>
      <c r="M45" s="152">
        <f t="shared" si="4"/>
        <v>0</v>
      </c>
      <c r="N45" s="99">
        <f t="shared" ca="1" si="5"/>
        <v>0</v>
      </c>
      <c r="O45" s="99">
        <f t="shared" ca="1" si="6"/>
        <v>0</v>
      </c>
      <c r="P45" s="99">
        <f t="shared" ca="1" si="7"/>
        <v>0</v>
      </c>
      <c r="Q45" s="99">
        <f t="shared" ca="1" si="8"/>
        <v>0</v>
      </c>
      <c r="R45" s="99">
        <f t="shared" ca="1" si="9"/>
        <v>0</v>
      </c>
      <c r="S45" s="99">
        <f t="shared" ca="1" si="10"/>
        <v>0</v>
      </c>
      <c r="T45" s="99">
        <f t="shared" ca="1" si="11"/>
        <v>0</v>
      </c>
      <c r="U45" s="99">
        <f t="shared" ca="1" si="12"/>
        <v>0</v>
      </c>
      <c r="V45" s="99">
        <f t="shared" ca="1" si="13"/>
        <v>0</v>
      </c>
      <c r="W45" s="99">
        <f t="shared" ca="1" si="14"/>
        <v>0</v>
      </c>
      <c r="Y45" s="78"/>
      <c r="Z45" s="78"/>
      <c r="AA45" s="150"/>
      <c r="AD45" s="100"/>
      <c r="AE45" s="101">
        <f t="shared" ca="1" si="21"/>
        <v>0</v>
      </c>
      <c r="AF45" s="101">
        <f t="shared" ca="1" si="22"/>
        <v>0</v>
      </c>
      <c r="AG45" s="101">
        <f t="shared" ca="1" si="23"/>
        <v>0</v>
      </c>
      <c r="AH45" s="101">
        <f t="shared" ca="1" si="24"/>
        <v>0</v>
      </c>
      <c r="AI45" s="101">
        <f t="shared" ca="1" si="25"/>
        <v>0</v>
      </c>
      <c r="AK45" s="100"/>
      <c r="AL45" s="101">
        <f t="shared" ca="1" si="15"/>
        <v>0</v>
      </c>
      <c r="AM45" s="101">
        <f t="shared" ca="1" si="16"/>
        <v>0</v>
      </c>
      <c r="AN45" s="101">
        <f t="shared" ca="1" si="17"/>
        <v>0</v>
      </c>
      <c r="AO45" s="101">
        <f t="shared" ca="1" si="18"/>
        <v>0</v>
      </c>
      <c r="AP45" s="101">
        <f t="shared" ca="1" si="19"/>
        <v>0</v>
      </c>
      <c r="AQ45" s="120"/>
      <c r="AR45" s="101"/>
      <c r="AS45" s="120"/>
      <c r="AT45" s="92"/>
      <c r="AU45" s="92"/>
      <c r="AV45" s="92"/>
    </row>
    <row r="46" spans="1:48" x14ac:dyDescent="0.25">
      <c r="A46" s="150">
        <f t="shared" si="26"/>
        <v>22</v>
      </c>
      <c r="B46" s="95">
        <f t="shared" si="27"/>
        <v>4.46</v>
      </c>
      <c r="C46" s="96">
        <f t="shared" si="0"/>
        <v>4.37</v>
      </c>
      <c r="D46" s="96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ca="1" si="28"/>
        <v>#N/A</v>
      </c>
      <c r="I46" s="168">
        <f t="shared" si="29"/>
        <v>36699</v>
      </c>
      <c r="J46" s="168">
        <f t="shared" si="20"/>
        <v>36699</v>
      </c>
      <c r="K46" s="152">
        <f t="shared" si="30"/>
        <v>4</v>
      </c>
      <c r="L46" s="152">
        <f t="shared" si="3"/>
        <v>1</v>
      </c>
      <c r="M46" s="152">
        <f t="shared" si="4"/>
        <v>1</v>
      </c>
      <c r="N46" s="99" t="e">
        <f t="shared" ca="1" si="5"/>
        <v>#VALUE!</v>
      </c>
      <c r="O46" s="99" t="e">
        <f t="shared" ca="1" si="6"/>
        <v>#VALUE!</v>
      </c>
      <c r="P46" s="99" t="e">
        <f t="shared" ca="1" si="7"/>
        <v>#VALUE!</v>
      </c>
      <c r="Q46" s="99" t="e">
        <f t="shared" ca="1" si="8"/>
        <v>#VALUE!</v>
      </c>
      <c r="R46" s="99" t="e">
        <f t="shared" ca="1" si="9"/>
        <v>#VALUE!</v>
      </c>
      <c r="S46" s="99" t="e">
        <f t="shared" ca="1" si="10"/>
        <v>#VALUE!</v>
      </c>
      <c r="T46" s="99" t="e">
        <f t="shared" ca="1" si="11"/>
        <v>#VALUE!</v>
      </c>
      <c r="U46" s="99" t="e">
        <f t="shared" ca="1" si="12"/>
        <v>#VALUE!</v>
      </c>
      <c r="V46" s="99" t="e">
        <f t="shared" ca="1" si="13"/>
        <v>#VALUE!</v>
      </c>
      <c r="W46" s="99" t="e">
        <f t="shared" ca="1" si="14"/>
        <v>#VALUE!</v>
      </c>
      <c r="Y46" s="78"/>
      <c r="Z46" s="78"/>
      <c r="AA46" s="150"/>
      <c r="AD46" s="100"/>
      <c r="AE46" s="101" t="e">
        <f t="shared" ca="1" si="21"/>
        <v>#VALUE!</v>
      </c>
      <c r="AF46" s="101" t="e">
        <f t="shared" ca="1" si="22"/>
        <v>#VALUE!</v>
      </c>
      <c r="AG46" s="101" t="e">
        <f t="shared" ca="1" si="23"/>
        <v>#VALUE!</v>
      </c>
      <c r="AH46" s="101" t="e">
        <f t="shared" ca="1" si="24"/>
        <v>#VALUE!</v>
      </c>
      <c r="AI46" s="101" t="e">
        <f t="shared" ca="1" si="25"/>
        <v>#VALUE!</v>
      </c>
      <c r="AK46" s="100"/>
      <c r="AL46" s="101" t="e">
        <f t="shared" ca="1" si="15"/>
        <v>#VALUE!</v>
      </c>
      <c r="AM46" s="101" t="e">
        <f t="shared" ca="1" si="16"/>
        <v>#VALUE!</v>
      </c>
      <c r="AN46" s="101" t="e">
        <f t="shared" ca="1" si="17"/>
        <v>#VALUE!</v>
      </c>
      <c r="AO46" s="101" t="e">
        <f t="shared" ca="1" si="18"/>
        <v>#VALUE!</v>
      </c>
      <c r="AP46" s="101" t="e">
        <f t="shared" ca="1" si="19"/>
        <v>#VALUE!</v>
      </c>
      <c r="AQ46" s="120"/>
      <c r="AR46" s="101"/>
      <c r="AS46" s="120"/>
      <c r="AT46" s="92"/>
      <c r="AU46" s="92"/>
      <c r="AV46" s="92"/>
    </row>
    <row r="47" spans="1:48" x14ac:dyDescent="0.25">
      <c r="A47" s="150">
        <f t="shared" si="26"/>
        <v>23</v>
      </c>
      <c r="B47" s="95">
        <f t="shared" si="27"/>
        <v>4.46</v>
      </c>
      <c r="C47" s="96">
        <f t="shared" si="0"/>
        <v>4.37</v>
      </c>
      <c r="D47" s="96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ca="1" si="28"/>
        <v>#N/A</v>
      </c>
      <c r="I47" s="168">
        <f t="shared" si="29"/>
        <v>36700</v>
      </c>
      <c r="J47" s="168">
        <f t="shared" si="20"/>
        <v>36700</v>
      </c>
      <c r="K47" s="152">
        <f t="shared" si="30"/>
        <v>5</v>
      </c>
      <c r="L47" s="152">
        <f t="shared" si="3"/>
        <v>1</v>
      </c>
      <c r="M47" s="152">
        <f t="shared" si="4"/>
        <v>2</v>
      </c>
      <c r="N47" s="99" t="e">
        <f t="shared" ca="1" si="5"/>
        <v>#VALUE!</v>
      </c>
      <c r="O47" s="99" t="e">
        <f t="shared" ca="1" si="6"/>
        <v>#VALUE!</v>
      </c>
      <c r="P47" s="99" t="e">
        <f t="shared" ca="1" si="7"/>
        <v>#VALUE!</v>
      </c>
      <c r="Q47" s="99" t="e">
        <f t="shared" ca="1" si="8"/>
        <v>#VALUE!</v>
      </c>
      <c r="R47" s="99" t="e">
        <f t="shared" ca="1" si="9"/>
        <v>#VALUE!</v>
      </c>
      <c r="S47" s="99" t="e">
        <f t="shared" ca="1" si="10"/>
        <v>#VALUE!</v>
      </c>
      <c r="T47" s="99" t="e">
        <f t="shared" ca="1" si="11"/>
        <v>#VALUE!</v>
      </c>
      <c r="U47" s="99" t="e">
        <f t="shared" ca="1" si="12"/>
        <v>#VALUE!</v>
      </c>
      <c r="V47" s="99" t="e">
        <f t="shared" ca="1" si="13"/>
        <v>#VALUE!</v>
      </c>
      <c r="W47" s="99" t="e">
        <f t="shared" ca="1" si="14"/>
        <v>#VALUE!</v>
      </c>
      <c r="Y47" s="78"/>
      <c r="Z47" s="78"/>
      <c r="AA47" s="150"/>
      <c r="AD47" s="100"/>
      <c r="AE47" s="101" t="e">
        <f t="shared" ca="1" si="21"/>
        <v>#VALUE!</v>
      </c>
      <c r="AF47" s="101" t="e">
        <f t="shared" ca="1" si="22"/>
        <v>#VALUE!</v>
      </c>
      <c r="AG47" s="101" t="e">
        <f t="shared" ca="1" si="23"/>
        <v>#VALUE!</v>
      </c>
      <c r="AH47" s="101" t="e">
        <f t="shared" ca="1" si="24"/>
        <v>#VALUE!</v>
      </c>
      <c r="AI47" s="101" t="e">
        <f t="shared" ca="1" si="25"/>
        <v>#VALUE!</v>
      </c>
      <c r="AK47" s="100"/>
      <c r="AL47" s="101" t="e">
        <f t="shared" ca="1" si="15"/>
        <v>#VALUE!</v>
      </c>
      <c r="AM47" s="101" t="e">
        <f t="shared" ca="1" si="16"/>
        <v>#VALUE!</v>
      </c>
      <c r="AN47" s="101" t="e">
        <f t="shared" ca="1" si="17"/>
        <v>#VALUE!</v>
      </c>
      <c r="AO47" s="101" t="e">
        <f t="shared" ca="1" si="18"/>
        <v>#VALUE!</v>
      </c>
      <c r="AP47" s="101" t="e">
        <f t="shared" ca="1" si="19"/>
        <v>#VALUE!</v>
      </c>
      <c r="AQ47" s="120"/>
      <c r="AR47" s="101"/>
      <c r="AS47" s="120"/>
      <c r="AT47" s="92"/>
      <c r="AU47" s="92"/>
      <c r="AV47" s="92"/>
    </row>
    <row r="48" spans="1:48" x14ac:dyDescent="0.25">
      <c r="A48" s="150">
        <f t="shared" si="26"/>
        <v>24</v>
      </c>
      <c r="B48" s="95">
        <f t="shared" si="27"/>
        <v>4.46</v>
      </c>
      <c r="C48" s="96">
        <f t="shared" si="0"/>
        <v>4.37</v>
      </c>
      <c r="D48" s="96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ca="1" si="28"/>
        <v>#N/A</v>
      </c>
      <c r="I48" s="168">
        <f t="shared" si="29"/>
        <v>36701</v>
      </c>
      <c r="J48" s="168">
        <f t="shared" si="20"/>
        <v>36700</v>
      </c>
      <c r="K48" s="152">
        <f t="shared" si="30"/>
        <v>6</v>
      </c>
      <c r="L48" s="152">
        <f t="shared" si="3"/>
        <v>1</v>
      </c>
      <c r="M48" s="152">
        <f t="shared" si="4"/>
        <v>2</v>
      </c>
      <c r="N48" s="99" t="e">
        <f t="shared" ca="1" si="5"/>
        <v>#VALUE!</v>
      </c>
      <c r="O48" s="99" t="e">
        <f t="shared" ca="1" si="6"/>
        <v>#VALUE!</v>
      </c>
      <c r="P48" s="99" t="e">
        <f t="shared" ca="1" si="7"/>
        <v>#VALUE!</v>
      </c>
      <c r="Q48" s="99" t="e">
        <f t="shared" ca="1" si="8"/>
        <v>#VALUE!</v>
      </c>
      <c r="R48" s="99" t="e">
        <f t="shared" ca="1" si="9"/>
        <v>#VALUE!</v>
      </c>
      <c r="S48" s="99" t="e">
        <f t="shared" ca="1" si="10"/>
        <v>#VALUE!</v>
      </c>
      <c r="T48" s="99" t="e">
        <f t="shared" ca="1" si="11"/>
        <v>#VALUE!</v>
      </c>
      <c r="U48" s="99" t="e">
        <f t="shared" ca="1" si="12"/>
        <v>#VALUE!</v>
      </c>
      <c r="V48" s="99" t="e">
        <f t="shared" ca="1" si="13"/>
        <v>#VALUE!</v>
      </c>
      <c r="W48" s="99" t="e">
        <f t="shared" ca="1" si="14"/>
        <v>#VALUE!</v>
      </c>
      <c r="Y48" s="78"/>
      <c r="Z48" s="78"/>
      <c r="AA48" s="150"/>
      <c r="AD48" s="100"/>
      <c r="AE48" s="101" t="e">
        <f t="shared" ca="1" si="21"/>
        <v>#VALUE!</v>
      </c>
      <c r="AF48" s="101" t="e">
        <f t="shared" ca="1" si="22"/>
        <v>#VALUE!</v>
      </c>
      <c r="AG48" s="101" t="e">
        <f t="shared" ca="1" si="23"/>
        <v>#VALUE!</v>
      </c>
      <c r="AH48" s="101" t="e">
        <f t="shared" ca="1" si="24"/>
        <v>#VALUE!</v>
      </c>
      <c r="AI48" s="101" t="e">
        <f t="shared" ca="1" si="25"/>
        <v>#VALUE!</v>
      </c>
      <c r="AK48" s="100"/>
      <c r="AL48" s="101" t="e">
        <f t="shared" ca="1" si="15"/>
        <v>#VALUE!</v>
      </c>
      <c r="AM48" s="101" t="e">
        <f t="shared" ca="1" si="16"/>
        <v>#VALUE!</v>
      </c>
      <c r="AN48" s="101" t="e">
        <f t="shared" ca="1" si="17"/>
        <v>#VALUE!</v>
      </c>
      <c r="AO48" s="101" t="e">
        <f t="shared" ca="1" si="18"/>
        <v>#VALUE!</v>
      </c>
      <c r="AP48" s="101" t="e">
        <f t="shared" ca="1" si="19"/>
        <v>#VALUE!</v>
      </c>
      <c r="AQ48" s="120"/>
      <c r="AR48" s="101"/>
      <c r="AS48" s="120"/>
      <c r="AT48" s="92"/>
      <c r="AU48" s="92"/>
      <c r="AV48" s="92"/>
    </row>
    <row r="49" spans="1:48" x14ac:dyDescent="0.25">
      <c r="A49" s="150">
        <f t="shared" si="26"/>
        <v>25</v>
      </c>
      <c r="B49" s="95">
        <f t="shared" si="27"/>
        <v>4.46</v>
      </c>
      <c r="C49" s="96">
        <f t="shared" si="0"/>
        <v>4.37</v>
      </c>
      <c r="D49" s="96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ca="1" si="28"/>
        <v>#N/A</v>
      </c>
      <c r="I49" s="168">
        <f t="shared" si="29"/>
        <v>36702</v>
      </c>
      <c r="J49" s="168">
        <f t="shared" si="20"/>
        <v>36700</v>
      </c>
      <c r="K49" s="152">
        <f t="shared" si="30"/>
        <v>7</v>
      </c>
      <c r="L49" s="152">
        <f t="shared" si="3"/>
        <v>1</v>
      </c>
      <c r="M49" s="152">
        <f t="shared" si="4"/>
        <v>2</v>
      </c>
      <c r="N49" s="99" t="e">
        <f t="shared" ca="1" si="5"/>
        <v>#VALUE!</v>
      </c>
      <c r="O49" s="99" t="e">
        <f t="shared" ca="1" si="6"/>
        <v>#VALUE!</v>
      </c>
      <c r="P49" s="99" t="e">
        <f t="shared" ca="1" si="7"/>
        <v>#VALUE!</v>
      </c>
      <c r="Q49" s="99" t="e">
        <f t="shared" ca="1" si="8"/>
        <v>#VALUE!</v>
      </c>
      <c r="R49" s="99" t="e">
        <f t="shared" ca="1" si="9"/>
        <v>#VALUE!</v>
      </c>
      <c r="S49" s="99" t="e">
        <f t="shared" ca="1" si="10"/>
        <v>#VALUE!</v>
      </c>
      <c r="T49" s="99" t="e">
        <f t="shared" ca="1" si="11"/>
        <v>#VALUE!</v>
      </c>
      <c r="U49" s="99" t="e">
        <f t="shared" ca="1" si="12"/>
        <v>#VALUE!</v>
      </c>
      <c r="V49" s="99" t="e">
        <f t="shared" ca="1" si="13"/>
        <v>#VALUE!</v>
      </c>
      <c r="W49" s="99" t="e">
        <f t="shared" ca="1" si="14"/>
        <v>#VALUE!</v>
      </c>
      <c r="Y49" s="78"/>
      <c r="Z49" s="78"/>
      <c r="AA49" s="150"/>
      <c r="AD49" s="100"/>
      <c r="AE49" s="101" t="e">
        <f t="shared" ca="1" si="21"/>
        <v>#VALUE!</v>
      </c>
      <c r="AF49" s="101" t="e">
        <f t="shared" ca="1" si="22"/>
        <v>#VALUE!</v>
      </c>
      <c r="AG49" s="101" t="e">
        <f t="shared" ca="1" si="23"/>
        <v>#VALUE!</v>
      </c>
      <c r="AH49" s="101" t="e">
        <f t="shared" ca="1" si="24"/>
        <v>#VALUE!</v>
      </c>
      <c r="AI49" s="101" t="e">
        <f t="shared" ca="1" si="25"/>
        <v>#VALUE!</v>
      </c>
      <c r="AK49" s="100"/>
      <c r="AL49" s="101" t="e">
        <f t="shared" ca="1" si="15"/>
        <v>#VALUE!</v>
      </c>
      <c r="AM49" s="101" t="e">
        <f t="shared" ca="1" si="16"/>
        <v>#VALUE!</v>
      </c>
      <c r="AN49" s="101" t="e">
        <f t="shared" ca="1" si="17"/>
        <v>#VALUE!</v>
      </c>
      <c r="AO49" s="101" t="e">
        <f t="shared" ca="1" si="18"/>
        <v>#VALUE!</v>
      </c>
      <c r="AP49" s="101" t="e">
        <f t="shared" ca="1" si="19"/>
        <v>#VALUE!</v>
      </c>
      <c r="AQ49" s="120"/>
      <c r="AR49" s="101"/>
      <c r="AS49" s="120"/>
      <c r="AT49" s="92"/>
      <c r="AU49" s="92"/>
      <c r="AV49" s="92"/>
    </row>
    <row r="50" spans="1:48" x14ac:dyDescent="0.25">
      <c r="A50" s="150">
        <f t="shared" si="26"/>
        <v>26</v>
      </c>
      <c r="B50" s="95">
        <f t="shared" si="27"/>
        <v>4.46</v>
      </c>
      <c r="C50" s="96">
        <f t="shared" si="0"/>
        <v>4.37</v>
      </c>
      <c r="D50" s="96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ca="1" si="28"/>
        <v>#N/A</v>
      </c>
      <c r="I50" s="168">
        <f t="shared" si="29"/>
        <v>36703</v>
      </c>
      <c r="J50" s="168">
        <f t="shared" si="20"/>
        <v>36703</v>
      </c>
      <c r="K50" s="152">
        <f t="shared" si="30"/>
        <v>1</v>
      </c>
      <c r="L50" s="152">
        <f t="shared" si="3"/>
        <v>1</v>
      </c>
      <c r="M50" s="152">
        <f t="shared" si="4"/>
        <v>5</v>
      </c>
      <c r="N50" s="99" t="e">
        <f t="shared" ca="1" si="5"/>
        <v>#VALUE!</v>
      </c>
      <c r="O50" s="99" t="e">
        <f t="shared" ca="1" si="6"/>
        <v>#VALUE!</v>
      </c>
      <c r="P50" s="99" t="e">
        <f t="shared" ca="1" si="7"/>
        <v>#VALUE!</v>
      </c>
      <c r="Q50" s="99" t="e">
        <f t="shared" ca="1" si="8"/>
        <v>#VALUE!</v>
      </c>
      <c r="R50" s="99" t="e">
        <f t="shared" ca="1" si="9"/>
        <v>#VALUE!</v>
      </c>
      <c r="S50" s="99" t="e">
        <f t="shared" ca="1" si="10"/>
        <v>#VALUE!</v>
      </c>
      <c r="T50" s="99" t="e">
        <f t="shared" ca="1" si="11"/>
        <v>#VALUE!</v>
      </c>
      <c r="U50" s="99" t="e">
        <f t="shared" ca="1" si="12"/>
        <v>#VALUE!</v>
      </c>
      <c r="V50" s="99" t="e">
        <f t="shared" ca="1" si="13"/>
        <v>#VALUE!</v>
      </c>
      <c r="W50" s="99" t="e">
        <f t="shared" ca="1" si="14"/>
        <v>#VALUE!</v>
      </c>
      <c r="Y50" s="78"/>
      <c r="Z50" s="78"/>
      <c r="AA50" s="150"/>
      <c r="AD50" s="100"/>
      <c r="AE50" s="101" t="e">
        <f t="shared" ca="1" si="21"/>
        <v>#VALUE!</v>
      </c>
      <c r="AF50" s="101" t="e">
        <f t="shared" ca="1" si="22"/>
        <v>#VALUE!</v>
      </c>
      <c r="AG50" s="101" t="e">
        <f t="shared" ca="1" si="23"/>
        <v>#VALUE!</v>
      </c>
      <c r="AH50" s="101" t="e">
        <f t="shared" ca="1" si="24"/>
        <v>#VALUE!</v>
      </c>
      <c r="AI50" s="101" t="e">
        <f t="shared" ca="1" si="25"/>
        <v>#VALUE!</v>
      </c>
      <c r="AK50" s="100"/>
      <c r="AL50" s="101" t="e">
        <f t="shared" ca="1" si="15"/>
        <v>#VALUE!</v>
      </c>
      <c r="AM50" s="101" t="e">
        <f t="shared" ca="1" si="16"/>
        <v>#VALUE!</v>
      </c>
      <c r="AN50" s="101" t="e">
        <f t="shared" ca="1" si="17"/>
        <v>#VALUE!</v>
      </c>
      <c r="AO50" s="101" t="e">
        <f t="shared" ca="1" si="18"/>
        <v>#VALUE!</v>
      </c>
      <c r="AP50" s="101" t="e">
        <f t="shared" ca="1" si="19"/>
        <v>#VALUE!</v>
      </c>
      <c r="AQ50" s="120"/>
      <c r="AR50" s="101"/>
      <c r="AS50" s="120"/>
      <c r="AT50" s="92"/>
      <c r="AU50" s="92"/>
      <c r="AV50" s="92"/>
    </row>
    <row r="51" spans="1:48" x14ac:dyDescent="0.25">
      <c r="A51" s="150">
        <f t="shared" si="26"/>
        <v>27</v>
      </c>
      <c r="B51" s="95">
        <f t="shared" si="27"/>
        <v>4.46</v>
      </c>
      <c r="C51" s="96">
        <f t="shared" si="0"/>
        <v>4.37</v>
      </c>
      <c r="D51" s="96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ca="1" si="28"/>
        <v>#N/A</v>
      </c>
      <c r="I51" s="168">
        <f t="shared" si="29"/>
        <v>36704</v>
      </c>
      <c r="J51" s="168">
        <f t="shared" si="20"/>
        <v>36704</v>
      </c>
      <c r="K51" s="152">
        <f t="shared" si="30"/>
        <v>2</v>
      </c>
      <c r="L51" s="152">
        <f t="shared" si="3"/>
        <v>1</v>
      </c>
      <c r="M51" s="152">
        <f t="shared" si="4"/>
        <v>6</v>
      </c>
      <c r="N51" s="99" t="e">
        <f t="shared" ca="1" si="5"/>
        <v>#VALUE!</v>
      </c>
      <c r="O51" s="99" t="e">
        <f t="shared" ca="1" si="6"/>
        <v>#VALUE!</v>
      </c>
      <c r="P51" s="99" t="e">
        <f t="shared" ca="1" si="7"/>
        <v>#VALUE!</v>
      </c>
      <c r="Q51" s="99" t="e">
        <f t="shared" ca="1" si="8"/>
        <v>#VALUE!</v>
      </c>
      <c r="R51" s="99" t="e">
        <f t="shared" ca="1" si="9"/>
        <v>#VALUE!</v>
      </c>
      <c r="S51" s="99" t="e">
        <f t="shared" ca="1" si="10"/>
        <v>#VALUE!</v>
      </c>
      <c r="T51" s="99" t="e">
        <f t="shared" ca="1" si="11"/>
        <v>#VALUE!</v>
      </c>
      <c r="U51" s="99" t="e">
        <f t="shared" ca="1" si="12"/>
        <v>#VALUE!</v>
      </c>
      <c r="V51" s="99" t="e">
        <f t="shared" ca="1" si="13"/>
        <v>#VALUE!</v>
      </c>
      <c r="W51" s="99" t="e">
        <f t="shared" ca="1" si="14"/>
        <v>#VALUE!</v>
      </c>
      <c r="Y51" s="78"/>
      <c r="Z51" s="78"/>
      <c r="AA51" s="150"/>
      <c r="AD51" s="100"/>
      <c r="AE51" s="101" t="e">
        <f t="shared" ca="1" si="21"/>
        <v>#VALUE!</v>
      </c>
      <c r="AF51" s="101" t="e">
        <f t="shared" ca="1" si="22"/>
        <v>#VALUE!</v>
      </c>
      <c r="AG51" s="101" t="e">
        <f t="shared" ca="1" si="23"/>
        <v>#VALUE!</v>
      </c>
      <c r="AH51" s="101" t="e">
        <f t="shared" ca="1" si="24"/>
        <v>#VALUE!</v>
      </c>
      <c r="AI51" s="101" t="e">
        <f t="shared" ca="1" si="25"/>
        <v>#VALUE!</v>
      </c>
      <c r="AK51" s="100"/>
      <c r="AL51" s="101" t="e">
        <f t="shared" ca="1" si="15"/>
        <v>#VALUE!</v>
      </c>
      <c r="AM51" s="101" t="e">
        <f t="shared" ca="1" si="16"/>
        <v>#VALUE!</v>
      </c>
      <c r="AN51" s="101" t="e">
        <f t="shared" ca="1" si="17"/>
        <v>#VALUE!</v>
      </c>
      <c r="AO51" s="101" t="e">
        <f t="shared" ca="1" si="18"/>
        <v>#VALUE!</v>
      </c>
      <c r="AP51" s="101" t="e">
        <f t="shared" ca="1" si="19"/>
        <v>#VALUE!</v>
      </c>
      <c r="AQ51" s="120"/>
      <c r="AR51" s="101"/>
      <c r="AS51" s="120"/>
      <c r="AT51" s="92"/>
      <c r="AU51" s="92"/>
      <c r="AV51" s="92"/>
    </row>
    <row r="52" spans="1:48" x14ac:dyDescent="0.25">
      <c r="A52" s="150">
        <f t="shared" si="26"/>
        <v>28</v>
      </c>
      <c r="B52" s="95">
        <f t="shared" si="27"/>
        <v>4.46</v>
      </c>
      <c r="C52" s="96">
        <f t="shared" si="0"/>
        <v>4.37</v>
      </c>
      <c r="D52" s="96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ca="1" si="28"/>
        <v>#N/A</v>
      </c>
      <c r="I52" s="168">
        <f t="shared" si="29"/>
        <v>36705</v>
      </c>
      <c r="J52" s="168">
        <f t="shared" si="20"/>
        <v>36705</v>
      </c>
      <c r="K52" s="152">
        <f t="shared" si="30"/>
        <v>3</v>
      </c>
      <c r="L52" s="152">
        <f t="shared" si="3"/>
        <v>1</v>
      </c>
      <c r="M52" s="152">
        <f t="shared" si="4"/>
        <v>7</v>
      </c>
      <c r="N52" s="99" t="e">
        <f t="shared" ca="1" si="5"/>
        <v>#VALUE!</v>
      </c>
      <c r="O52" s="99" t="e">
        <f t="shared" ca="1" si="6"/>
        <v>#VALUE!</v>
      </c>
      <c r="P52" s="99" t="e">
        <f t="shared" ca="1" si="7"/>
        <v>#VALUE!</v>
      </c>
      <c r="Q52" s="99" t="e">
        <f t="shared" ca="1" si="8"/>
        <v>#VALUE!</v>
      </c>
      <c r="R52" s="99" t="e">
        <f t="shared" ca="1" si="9"/>
        <v>#VALUE!</v>
      </c>
      <c r="S52" s="99" t="e">
        <f t="shared" ca="1" si="10"/>
        <v>#VALUE!</v>
      </c>
      <c r="T52" s="99" t="e">
        <f t="shared" ca="1" si="11"/>
        <v>#VALUE!</v>
      </c>
      <c r="U52" s="99" t="e">
        <f t="shared" ca="1" si="12"/>
        <v>#VALUE!</v>
      </c>
      <c r="V52" s="99" t="e">
        <f t="shared" ca="1" si="13"/>
        <v>#VALUE!</v>
      </c>
      <c r="W52" s="99" t="e">
        <f t="shared" ca="1" si="14"/>
        <v>#VALUE!</v>
      </c>
      <c r="Y52" s="78"/>
      <c r="Z52" s="78"/>
      <c r="AA52" s="150"/>
      <c r="AD52" s="100"/>
      <c r="AE52" s="101" t="e">
        <f t="shared" ca="1" si="21"/>
        <v>#VALUE!</v>
      </c>
      <c r="AF52" s="101" t="e">
        <f t="shared" ca="1" si="22"/>
        <v>#VALUE!</v>
      </c>
      <c r="AG52" s="101" t="e">
        <f t="shared" ca="1" si="23"/>
        <v>#VALUE!</v>
      </c>
      <c r="AH52" s="101" t="e">
        <f t="shared" ca="1" si="24"/>
        <v>#VALUE!</v>
      </c>
      <c r="AI52" s="101" t="e">
        <f t="shared" ca="1" si="25"/>
        <v>#VALUE!</v>
      </c>
      <c r="AK52" s="100"/>
      <c r="AL52" s="101" t="e">
        <f t="shared" ca="1" si="15"/>
        <v>#VALUE!</v>
      </c>
      <c r="AM52" s="101" t="e">
        <f t="shared" ca="1" si="16"/>
        <v>#VALUE!</v>
      </c>
      <c r="AN52" s="101" t="e">
        <f t="shared" ca="1" si="17"/>
        <v>#VALUE!</v>
      </c>
      <c r="AO52" s="101" t="e">
        <f t="shared" ca="1" si="18"/>
        <v>#VALUE!</v>
      </c>
      <c r="AP52" s="101" t="e">
        <f t="shared" ca="1" si="19"/>
        <v>#VALUE!</v>
      </c>
      <c r="AQ52" s="120"/>
      <c r="AR52" s="101"/>
      <c r="AS52" s="120"/>
      <c r="AT52" s="92"/>
      <c r="AU52" s="92"/>
      <c r="AV52" s="92"/>
    </row>
    <row r="53" spans="1:48" x14ac:dyDescent="0.25">
      <c r="A53" s="150">
        <f t="shared" si="26"/>
        <v>29</v>
      </c>
      <c r="B53" s="95">
        <f t="shared" si="27"/>
        <v>4.46</v>
      </c>
      <c r="C53" s="96">
        <f t="shared" si="0"/>
        <v>4.37</v>
      </c>
      <c r="D53" s="96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ca="1" si="28"/>
        <v>#N/A</v>
      </c>
      <c r="I53" s="168">
        <f t="shared" si="29"/>
        <v>36706</v>
      </c>
      <c r="J53" s="168">
        <f t="shared" si="20"/>
        <v>36706</v>
      </c>
      <c r="K53" s="152">
        <f t="shared" si="30"/>
        <v>4</v>
      </c>
      <c r="L53" s="152">
        <f t="shared" si="3"/>
        <v>1</v>
      </c>
      <c r="M53" s="152">
        <f t="shared" si="4"/>
        <v>8</v>
      </c>
      <c r="N53" s="99" t="e">
        <f t="shared" ca="1" si="5"/>
        <v>#VALUE!</v>
      </c>
      <c r="O53" s="99" t="e">
        <f t="shared" ca="1" si="6"/>
        <v>#VALUE!</v>
      </c>
      <c r="P53" s="99" t="e">
        <f t="shared" ca="1" si="7"/>
        <v>#VALUE!</v>
      </c>
      <c r="Q53" s="99" t="e">
        <f t="shared" ca="1" si="8"/>
        <v>#VALUE!</v>
      </c>
      <c r="R53" s="99" t="e">
        <f t="shared" ca="1" si="9"/>
        <v>#VALUE!</v>
      </c>
      <c r="S53" s="99" t="e">
        <f t="shared" ca="1" si="10"/>
        <v>#VALUE!</v>
      </c>
      <c r="T53" s="99" t="e">
        <f t="shared" ca="1" si="11"/>
        <v>#VALUE!</v>
      </c>
      <c r="U53" s="99" t="e">
        <f t="shared" ca="1" si="12"/>
        <v>#VALUE!</v>
      </c>
      <c r="V53" s="99" t="e">
        <f t="shared" ca="1" si="13"/>
        <v>#VALUE!</v>
      </c>
      <c r="W53" s="99" t="e">
        <f t="shared" ca="1" si="14"/>
        <v>#VALUE!</v>
      </c>
      <c r="Y53" s="78"/>
      <c r="Z53" s="78"/>
      <c r="AA53" s="150"/>
      <c r="AD53" s="100"/>
      <c r="AE53" s="101" t="e">
        <f t="shared" ca="1" si="21"/>
        <v>#VALUE!</v>
      </c>
      <c r="AF53" s="101" t="e">
        <f t="shared" ca="1" si="22"/>
        <v>#VALUE!</v>
      </c>
      <c r="AG53" s="101" t="e">
        <f t="shared" ca="1" si="23"/>
        <v>#VALUE!</v>
      </c>
      <c r="AH53" s="101" t="e">
        <f t="shared" ca="1" si="24"/>
        <v>#VALUE!</v>
      </c>
      <c r="AI53" s="101" t="e">
        <f t="shared" ca="1" si="25"/>
        <v>#VALUE!</v>
      </c>
      <c r="AK53" s="100"/>
      <c r="AL53" s="101" t="e">
        <f t="shared" ca="1" si="15"/>
        <v>#VALUE!</v>
      </c>
      <c r="AM53" s="101" t="e">
        <f t="shared" ca="1" si="16"/>
        <v>#VALUE!</v>
      </c>
      <c r="AN53" s="101" t="e">
        <f t="shared" ca="1" si="17"/>
        <v>#VALUE!</v>
      </c>
      <c r="AO53" s="101" t="e">
        <f t="shared" ca="1" si="18"/>
        <v>#VALUE!</v>
      </c>
      <c r="AP53" s="101" t="e">
        <f t="shared" ca="1" si="19"/>
        <v>#VALUE!</v>
      </c>
      <c r="AQ53" s="120"/>
      <c r="AR53" s="101"/>
      <c r="AS53" s="120"/>
      <c r="AT53" s="92"/>
      <c r="AU53" s="92"/>
      <c r="AV53" s="92"/>
    </row>
    <row r="54" spans="1:48" x14ac:dyDescent="0.25">
      <c r="A54" s="150">
        <f t="shared" si="26"/>
        <v>30</v>
      </c>
      <c r="B54" s="95">
        <f t="shared" si="27"/>
        <v>4.46</v>
      </c>
      <c r="C54" s="96">
        <f t="shared" si="0"/>
        <v>4.37</v>
      </c>
      <c r="D54" s="96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ca="1" si="28"/>
        <v>#N/A</v>
      </c>
      <c r="I54" s="168">
        <f t="shared" si="29"/>
        <v>36707</v>
      </c>
      <c r="J54" s="168">
        <f t="shared" si="20"/>
        <v>36707</v>
      </c>
      <c r="K54" s="152">
        <f t="shared" si="30"/>
        <v>5</v>
      </c>
      <c r="L54" s="152">
        <f t="shared" si="3"/>
        <v>1</v>
      </c>
      <c r="M54" s="152">
        <f t="shared" si="4"/>
        <v>9</v>
      </c>
      <c r="N54" s="99" t="e">
        <f t="shared" ca="1" si="5"/>
        <v>#VALUE!</v>
      </c>
      <c r="O54" s="99" t="e">
        <f t="shared" ca="1" si="6"/>
        <v>#VALUE!</v>
      </c>
      <c r="P54" s="99" t="e">
        <f t="shared" ca="1" si="7"/>
        <v>#VALUE!</v>
      </c>
      <c r="Q54" s="99" t="e">
        <f t="shared" ca="1" si="8"/>
        <v>#VALUE!</v>
      </c>
      <c r="R54" s="99" t="e">
        <f t="shared" ca="1" si="9"/>
        <v>#VALUE!</v>
      </c>
      <c r="S54" s="99" t="e">
        <f t="shared" ca="1" si="10"/>
        <v>#VALUE!</v>
      </c>
      <c r="T54" s="99" t="e">
        <f t="shared" ca="1" si="11"/>
        <v>#VALUE!</v>
      </c>
      <c r="U54" s="99" t="e">
        <f t="shared" ca="1" si="12"/>
        <v>#VALUE!</v>
      </c>
      <c r="V54" s="99" t="e">
        <f t="shared" ca="1" si="13"/>
        <v>#VALUE!</v>
      </c>
      <c r="W54" s="99" t="e">
        <f t="shared" ca="1" si="14"/>
        <v>#VALUE!</v>
      </c>
      <c r="Y54" s="78"/>
      <c r="Z54" s="78"/>
      <c r="AA54" s="150"/>
      <c r="AD54" s="100"/>
      <c r="AE54" s="101" t="e">
        <f t="shared" ca="1" si="21"/>
        <v>#VALUE!</v>
      </c>
      <c r="AF54" s="101" t="e">
        <f t="shared" ca="1" si="22"/>
        <v>#VALUE!</v>
      </c>
      <c r="AG54" s="101" t="e">
        <f t="shared" ca="1" si="23"/>
        <v>#VALUE!</v>
      </c>
      <c r="AH54" s="101" t="e">
        <f t="shared" ca="1" si="24"/>
        <v>#VALUE!</v>
      </c>
      <c r="AI54" s="101" t="e">
        <f t="shared" ca="1" si="25"/>
        <v>#VALUE!</v>
      </c>
      <c r="AK54" s="100"/>
      <c r="AL54" s="101" t="e">
        <f t="shared" ca="1" si="15"/>
        <v>#VALUE!</v>
      </c>
      <c r="AM54" s="101" t="e">
        <f t="shared" ca="1" si="16"/>
        <v>#VALUE!</v>
      </c>
      <c r="AN54" s="101" t="e">
        <f t="shared" ca="1" si="17"/>
        <v>#VALUE!</v>
      </c>
      <c r="AO54" s="101" t="e">
        <f t="shared" ca="1" si="18"/>
        <v>#VALUE!</v>
      </c>
      <c r="AP54" s="101" t="e">
        <f t="shared" ca="1" si="19"/>
        <v>#VALUE!</v>
      </c>
      <c r="AQ54" s="120"/>
      <c r="AR54" s="101"/>
      <c r="AS54" s="120"/>
      <c r="AT54" s="92"/>
      <c r="AU54" s="92"/>
      <c r="AV54" s="92"/>
    </row>
    <row r="55" spans="1:48" x14ac:dyDescent="0.25">
      <c r="A55" s="150">
        <f t="shared" si="26"/>
        <v>31</v>
      </c>
      <c r="B55" s="95">
        <f t="shared" si="27"/>
        <v>4.46</v>
      </c>
      <c r="C55" s="96">
        <f t="shared" si="0"/>
        <v>4.37</v>
      </c>
      <c r="D55" s="96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ca="1" si="28"/>
        <v>#N/A</v>
      </c>
      <c r="I55" s="168">
        <f t="shared" si="29"/>
        <v>36708</v>
      </c>
      <c r="J55" s="168">
        <f t="shared" si="20"/>
        <v>36707</v>
      </c>
      <c r="K55" s="152">
        <f t="shared" si="30"/>
        <v>6</v>
      </c>
      <c r="L55" s="152">
        <f t="shared" si="3"/>
        <v>0</v>
      </c>
      <c r="M55" s="152">
        <f t="shared" si="4"/>
        <v>9</v>
      </c>
      <c r="N55" s="99">
        <f t="shared" ca="1" si="5"/>
        <v>0</v>
      </c>
      <c r="O55" s="99">
        <f t="shared" ca="1" si="6"/>
        <v>0</v>
      </c>
      <c r="P55" s="99">
        <f t="shared" ca="1" si="7"/>
        <v>0</v>
      </c>
      <c r="Q55" s="99">
        <f t="shared" ca="1" si="8"/>
        <v>0</v>
      </c>
      <c r="R55" s="99">
        <f t="shared" ca="1" si="9"/>
        <v>0</v>
      </c>
      <c r="S55" s="99">
        <f t="shared" ca="1" si="10"/>
        <v>0</v>
      </c>
      <c r="T55" s="99">
        <f t="shared" ca="1" si="11"/>
        <v>0</v>
      </c>
      <c r="U55" s="99">
        <f t="shared" ca="1" si="12"/>
        <v>0</v>
      </c>
      <c r="V55" s="99">
        <f t="shared" ca="1" si="13"/>
        <v>0</v>
      </c>
      <c r="W55" s="99">
        <f t="shared" ca="1" si="14"/>
        <v>0</v>
      </c>
      <c r="Y55" s="78"/>
      <c r="Z55" s="78"/>
      <c r="AA55" s="150"/>
      <c r="AD55" s="100"/>
      <c r="AE55" s="101">
        <f t="shared" ca="1" si="21"/>
        <v>0</v>
      </c>
      <c r="AF55" s="101">
        <f t="shared" ca="1" si="22"/>
        <v>0</v>
      </c>
      <c r="AG55" s="101">
        <f t="shared" ca="1" si="23"/>
        <v>0</v>
      </c>
      <c r="AH55" s="101">
        <f t="shared" ca="1" si="24"/>
        <v>0</v>
      </c>
      <c r="AI55" s="101">
        <f t="shared" ca="1" si="25"/>
        <v>0</v>
      </c>
      <c r="AK55" s="100"/>
      <c r="AL55" s="101">
        <f t="shared" ca="1" si="15"/>
        <v>0</v>
      </c>
      <c r="AM55" s="101">
        <f t="shared" ca="1" si="16"/>
        <v>0</v>
      </c>
      <c r="AN55" s="101">
        <f t="shared" ca="1" si="17"/>
        <v>0</v>
      </c>
      <c r="AO55" s="101">
        <f t="shared" ca="1" si="18"/>
        <v>0</v>
      </c>
      <c r="AP55" s="101">
        <f t="shared" ca="1" si="19"/>
        <v>0</v>
      </c>
      <c r="AQ55" s="120"/>
      <c r="AR55" s="101"/>
      <c r="AS55" s="120"/>
      <c r="AT55" s="92"/>
      <c r="AU55" s="92"/>
      <c r="AV55" s="92"/>
    </row>
    <row r="56" spans="1:48" x14ac:dyDescent="0.25">
      <c r="A56" s="94">
        <f>DATE(YEAR(A55),MONTH(A55)+1,1)</f>
        <v>32</v>
      </c>
      <c r="B56" s="107"/>
      <c r="C56" s="126"/>
      <c r="E56" s="104"/>
      <c r="F56" s="104"/>
      <c r="G56" s="104"/>
      <c r="H56" s="106"/>
      <c r="I56" s="106"/>
      <c r="J56" s="106"/>
      <c r="K56" s="106"/>
      <c r="L56" s="106"/>
      <c r="M56" s="106"/>
      <c r="N56" s="106"/>
      <c r="O56" s="106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5">
      <c r="A57" s="102"/>
      <c r="B57" s="107"/>
      <c r="C57" s="126"/>
      <c r="E57" s="104"/>
      <c r="F57" s="104"/>
      <c r="G57" s="104"/>
      <c r="H57" s="106"/>
      <c r="I57" s="106"/>
      <c r="J57" s="106"/>
      <c r="K57" s="106"/>
      <c r="L57" s="106"/>
      <c r="M57" s="106"/>
      <c r="N57" s="106"/>
      <c r="O57" s="106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5">
      <c r="A58" s="102"/>
      <c r="B58" s="107"/>
      <c r="C58" s="126"/>
      <c r="E58" s="104"/>
      <c r="F58" s="104"/>
      <c r="G58" s="104"/>
      <c r="H58" s="106"/>
      <c r="I58" s="106"/>
      <c r="J58" s="106"/>
      <c r="K58" s="106"/>
      <c r="L58" s="106"/>
      <c r="M58" s="106"/>
      <c r="N58" s="106"/>
      <c r="O58" s="106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5">
      <c r="A59" s="102"/>
      <c r="B59" s="107"/>
      <c r="C59" s="126"/>
      <c r="E59" s="104"/>
      <c r="F59" s="104"/>
      <c r="G59" s="104"/>
      <c r="H59" s="106"/>
      <c r="I59" s="106"/>
      <c r="J59" s="106"/>
      <c r="K59" s="106"/>
      <c r="L59" s="106"/>
      <c r="M59" s="106"/>
      <c r="N59" s="106"/>
      <c r="O59" s="106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5">
      <c r="A60" s="102"/>
      <c r="B60" s="107"/>
      <c r="C60" s="126"/>
      <c r="E60" s="104"/>
      <c r="F60" s="104"/>
      <c r="G60" s="104"/>
      <c r="H60" s="106"/>
      <c r="I60" s="106"/>
      <c r="J60" s="106"/>
      <c r="K60" s="106"/>
      <c r="L60" s="106"/>
      <c r="M60" s="106"/>
      <c r="N60" s="106"/>
      <c r="O60" s="106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5">
      <c r="A61" s="102"/>
      <c r="B61" s="107"/>
      <c r="C61" s="126"/>
      <c r="E61" s="104"/>
      <c r="F61" s="104"/>
      <c r="G61" s="104"/>
      <c r="H61" s="106"/>
      <c r="I61" s="106"/>
      <c r="J61" s="106"/>
      <c r="K61" s="106"/>
      <c r="L61" s="106"/>
      <c r="M61" s="106"/>
      <c r="N61" s="106"/>
      <c r="O61" s="106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5">
      <c r="A62" s="102"/>
      <c r="B62" s="107"/>
      <c r="C62" s="126"/>
      <c r="E62" s="104"/>
      <c r="F62" s="104"/>
      <c r="G62" s="104"/>
      <c r="H62" s="106"/>
      <c r="I62" s="106"/>
      <c r="J62" s="106"/>
      <c r="K62" s="106"/>
      <c r="L62" s="106"/>
      <c r="M62" s="106"/>
      <c r="N62" s="106"/>
      <c r="O62" s="106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5">
      <c r="A63" s="102"/>
      <c r="B63" s="107"/>
      <c r="C63" s="126"/>
      <c r="E63" s="104"/>
      <c r="F63" s="104"/>
      <c r="G63" s="104"/>
      <c r="H63" s="106"/>
      <c r="I63" s="106"/>
      <c r="J63" s="106"/>
      <c r="K63" s="106"/>
      <c r="L63" s="106"/>
      <c r="M63" s="106"/>
      <c r="N63" s="106"/>
      <c r="O63" s="106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5">
      <c r="A64" s="102"/>
      <c r="B64" s="107"/>
      <c r="C64" s="126"/>
      <c r="E64" s="104"/>
      <c r="F64" s="104"/>
      <c r="G64" s="104"/>
      <c r="H64" s="106"/>
      <c r="I64" s="106"/>
      <c r="J64" s="106"/>
      <c r="K64" s="106"/>
      <c r="L64" s="106"/>
      <c r="M64" s="106"/>
      <c r="N64" s="106"/>
      <c r="O64" s="106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5">
      <c r="A65" s="102"/>
      <c r="B65" s="107"/>
      <c r="C65" s="126"/>
      <c r="E65" s="104"/>
      <c r="F65" s="104"/>
      <c r="G65" s="104"/>
      <c r="H65" s="106"/>
      <c r="I65" s="106"/>
      <c r="J65" s="106"/>
      <c r="K65" s="106"/>
      <c r="L65" s="106"/>
      <c r="M65" s="106"/>
      <c r="N65" s="106"/>
      <c r="O65" s="106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5">
      <c r="A66" s="102"/>
      <c r="B66" s="107"/>
      <c r="C66" s="126"/>
      <c r="E66" s="104"/>
      <c r="F66" s="104"/>
      <c r="G66" s="104"/>
      <c r="H66" s="106"/>
      <c r="I66" s="106"/>
      <c r="J66" s="106"/>
      <c r="K66" s="106"/>
      <c r="L66" s="106"/>
      <c r="M66" s="106"/>
      <c r="N66" s="106"/>
      <c r="O66" s="106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5">
      <c r="A67" s="108"/>
      <c r="E67" s="76"/>
      <c r="F67" s="76"/>
      <c r="G67" s="76"/>
      <c r="H67" s="106"/>
      <c r="I67" s="106"/>
      <c r="J67" s="106"/>
      <c r="K67" s="106"/>
      <c r="L67" s="106"/>
      <c r="M67" s="106"/>
      <c r="N67" s="106"/>
      <c r="O67" s="106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5">
      <c r="A68" s="102"/>
      <c r="B68" s="107"/>
      <c r="C68" s="126"/>
      <c r="E68" s="104"/>
      <c r="F68" s="104"/>
      <c r="G68" s="104"/>
      <c r="H68" s="106"/>
      <c r="I68" s="106"/>
      <c r="J68" s="106"/>
      <c r="K68" s="106"/>
      <c r="L68" s="106"/>
      <c r="M68" s="106"/>
      <c r="N68" s="106"/>
      <c r="O68" s="106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5">
      <c r="B69" s="109"/>
      <c r="C69" s="112"/>
      <c r="D69" s="110"/>
      <c r="E69" s="103"/>
      <c r="F69" s="103"/>
      <c r="G69" s="103"/>
      <c r="H69" s="103"/>
      <c r="I69" s="103"/>
      <c r="J69" s="103"/>
      <c r="K69" s="103"/>
      <c r="L69" s="106"/>
      <c r="M69" s="106"/>
      <c r="N69" s="106"/>
      <c r="O69" s="106"/>
      <c r="P69" s="106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5">
      <c r="B70" s="109"/>
      <c r="C70" s="112"/>
      <c r="D70" s="110"/>
      <c r="E70" s="103"/>
      <c r="F70" s="103"/>
      <c r="G70" s="103"/>
      <c r="H70" s="103"/>
      <c r="I70" s="103"/>
      <c r="J70" s="103"/>
      <c r="K70" s="103"/>
      <c r="L70" s="106"/>
      <c r="M70" s="106"/>
      <c r="N70" s="106"/>
      <c r="O70" s="106"/>
      <c r="P70" s="106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5">
      <c r="B71" s="109"/>
      <c r="C71" s="112"/>
      <c r="D71" s="110"/>
      <c r="E71" s="103"/>
      <c r="F71" s="103"/>
      <c r="G71" s="103"/>
      <c r="H71" s="103"/>
      <c r="I71" s="103"/>
      <c r="J71" s="103"/>
      <c r="K71" s="103"/>
      <c r="L71" s="106"/>
      <c r="M71" s="106"/>
      <c r="N71" s="106"/>
      <c r="O71" s="106"/>
      <c r="P71" s="106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5">
      <c r="B72" s="109"/>
      <c r="C72" s="112"/>
      <c r="D72" s="110"/>
      <c r="E72" s="103"/>
      <c r="F72" s="103"/>
      <c r="G72" s="103"/>
      <c r="H72" s="103"/>
      <c r="I72" s="103"/>
      <c r="J72" s="103"/>
      <c r="K72" s="103"/>
      <c r="L72" s="106"/>
      <c r="M72" s="106"/>
      <c r="N72" s="106"/>
      <c r="O72" s="106"/>
      <c r="P72" s="106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5">
      <c r="B73" s="109"/>
      <c r="C73" s="112"/>
      <c r="D73" s="110"/>
      <c r="E73" s="103"/>
      <c r="F73" s="103"/>
      <c r="G73" s="103"/>
      <c r="H73" s="103"/>
      <c r="I73" s="103"/>
      <c r="J73" s="103"/>
      <c r="K73" s="103"/>
      <c r="L73" s="106"/>
      <c r="M73" s="106"/>
      <c r="N73" s="106"/>
      <c r="O73" s="106"/>
      <c r="P73" s="106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5">
      <c r="B74" s="109"/>
      <c r="C74" s="112"/>
      <c r="D74" s="110"/>
      <c r="E74" s="103"/>
      <c r="F74" s="103"/>
      <c r="G74" s="103"/>
      <c r="H74" s="103"/>
      <c r="I74" s="103"/>
      <c r="J74" s="103"/>
      <c r="K74" s="103"/>
      <c r="L74" s="106"/>
      <c r="M74" s="106"/>
      <c r="N74" s="106"/>
      <c r="O74" s="106"/>
      <c r="P74" s="106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5">
      <c r="B75" s="109"/>
      <c r="C75" s="112"/>
      <c r="D75" s="110"/>
      <c r="E75" s="103"/>
      <c r="F75" s="103"/>
      <c r="G75" s="103"/>
      <c r="H75" s="103"/>
      <c r="I75" s="103"/>
      <c r="J75" s="103"/>
      <c r="K75" s="103"/>
      <c r="L75" s="106"/>
      <c r="M75" s="106"/>
      <c r="N75" s="106"/>
      <c r="O75" s="106"/>
      <c r="P75" s="106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5">
      <c r="B76" s="109"/>
      <c r="C76" s="112"/>
      <c r="D76" s="110"/>
      <c r="E76" s="103"/>
      <c r="F76" s="103"/>
      <c r="G76" s="103"/>
      <c r="H76" s="103"/>
      <c r="I76" s="103"/>
      <c r="J76" s="103"/>
      <c r="K76" s="103"/>
      <c r="L76" s="106"/>
      <c r="M76" s="106"/>
      <c r="N76" s="106"/>
      <c r="O76" s="106"/>
      <c r="P76" s="106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5">
      <c r="B77" s="109"/>
      <c r="C77" s="112"/>
      <c r="D77" s="110"/>
      <c r="E77" s="103"/>
      <c r="F77" s="103"/>
      <c r="G77" s="103"/>
      <c r="H77" s="103"/>
      <c r="I77" s="103"/>
      <c r="J77" s="103"/>
      <c r="K77" s="103"/>
      <c r="L77" s="106"/>
      <c r="M77" s="106"/>
      <c r="N77" s="106"/>
      <c r="O77" s="106"/>
      <c r="P77" s="106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5">
      <c r="B78" s="109"/>
      <c r="C78" s="112"/>
      <c r="D78" s="110"/>
      <c r="E78" s="103"/>
      <c r="F78" s="103"/>
      <c r="G78" s="103"/>
      <c r="H78" s="103"/>
      <c r="I78" s="103"/>
      <c r="J78" s="103"/>
      <c r="K78" s="103"/>
      <c r="L78" s="106"/>
      <c r="M78" s="106"/>
      <c r="N78" s="106"/>
      <c r="O78" s="106"/>
      <c r="P78" s="106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5">
      <c r="B79" s="109"/>
      <c r="C79" s="112"/>
      <c r="D79" s="110"/>
      <c r="E79" s="103"/>
      <c r="F79" s="103"/>
      <c r="G79" s="103"/>
      <c r="H79" s="103"/>
      <c r="I79" s="103"/>
      <c r="J79" s="103"/>
      <c r="K79" s="103"/>
      <c r="L79" s="106"/>
      <c r="M79" s="106"/>
      <c r="N79" s="106"/>
      <c r="O79" s="106"/>
      <c r="P79" s="106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5">
      <c r="B80" s="109"/>
      <c r="C80" s="112"/>
      <c r="D80" s="110"/>
      <c r="E80" s="103"/>
      <c r="F80" s="103"/>
      <c r="G80" s="103"/>
      <c r="H80" s="103"/>
      <c r="I80" s="103"/>
      <c r="J80" s="103"/>
      <c r="K80" s="103"/>
      <c r="L80" s="106"/>
      <c r="M80" s="106"/>
      <c r="N80" s="106"/>
      <c r="O80" s="106"/>
      <c r="P80" s="106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8" thickBot="1" x14ac:dyDescent="0.3">
      <c r="B81" s="109"/>
      <c r="C81" s="112"/>
      <c r="D81" s="113"/>
      <c r="E81" s="103"/>
      <c r="F81" s="103"/>
      <c r="G81" s="103"/>
      <c r="H81" s="106"/>
      <c r="I81" s="106"/>
      <c r="J81" s="106"/>
      <c r="K81" s="106"/>
      <c r="L81" s="106"/>
      <c r="M81" s="106"/>
      <c r="N81" s="106"/>
      <c r="O81" s="106"/>
      <c r="P81" s="106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5">
      <c r="B82" s="109"/>
      <c r="C82" s="112"/>
      <c r="D82" s="114"/>
      <c r="E82" s="103"/>
      <c r="F82" s="103"/>
      <c r="G82" s="103"/>
      <c r="H82" s="106"/>
      <c r="I82" s="106"/>
      <c r="J82" s="106"/>
      <c r="K82" s="106"/>
      <c r="L82" s="106"/>
      <c r="M82" s="106"/>
      <c r="N82" s="106"/>
      <c r="O82" s="106"/>
      <c r="P82" s="106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8" thickBot="1" x14ac:dyDescent="0.3">
      <c r="B83" s="109"/>
      <c r="C83" s="112"/>
      <c r="D83" s="115"/>
      <c r="E83" s="103"/>
      <c r="F83" s="103"/>
      <c r="G83" s="103"/>
      <c r="H83" s="106"/>
      <c r="I83" s="106"/>
      <c r="J83" s="106"/>
      <c r="K83" s="106"/>
      <c r="L83" s="106"/>
      <c r="M83" s="106"/>
      <c r="N83" s="106"/>
      <c r="O83" s="106"/>
      <c r="P83" s="106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8" thickBot="1" x14ac:dyDescent="0.3">
      <c r="B84" s="116"/>
      <c r="C84" s="117"/>
      <c r="D84" s="115"/>
      <c r="E84" s="103"/>
      <c r="F84" s="103"/>
      <c r="G84" s="103"/>
      <c r="H84" s="106"/>
      <c r="I84" s="106"/>
      <c r="J84" s="106"/>
      <c r="K84" s="106"/>
      <c r="L84" s="106"/>
      <c r="M84" s="106"/>
      <c r="N84" s="106"/>
      <c r="O84" s="106"/>
      <c r="P84" s="106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5">
      <c r="B85" s="116"/>
      <c r="C85" s="117"/>
      <c r="D85" s="118"/>
      <c r="E85" s="103"/>
      <c r="F85" s="103"/>
      <c r="G85" s="103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5">
      <c r="B86" s="116"/>
      <c r="C86" s="117"/>
      <c r="D86" s="118"/>
      <c r="E86" s="103"/>
      <c r="F86" s="103"/>
      <c r="G86" s="103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5">
      <c r="B87" s="116"/>
      <c r="C87" s="117"/>
      <c r="D87" s="118"/>
      <c r="E87" s="103"/>
      <c r="F87" s="103"/>
      <c r="G87" s="103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5">
      <c r="B88" s="116"/>
      <c r="C88" s="117"/>
      <c r="D88" s="118"/>
      <c r="E88" s="103"/>
      <c r="F88" s="103"/>
      <c r="G88" s="103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5">
      <c r="B89" s="116"/>
      <c r="C89" s="117"/>
      <c r="D89" s="118"/>
      <c r="E89" s="103"/>
      <c r="F89" s="103"/>
      <c r="G89" s="103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5">
      <c r="B90" s="116"/>
      <c r="C90" s="117"/>
      <c r="D90" s="118"/>
      <c r="E90" s="103"/>
      <c r="F90" s="103"/>
      <c r="G90" s="103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5">
      <c r="B91" s="116"/>
      <c r="C91" s="117"/>
      <c r="D91" s="118"/>
      <c r="E91" s="103"/>
      <c r="F91" s="103"/>
      <c r="G91" s="103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5">
      <c r="B92" s="116"/>
      <c r="C92" s="117"/>
      <c r="D92" s="118"/>
      <c r="E92" s="103"/>
      <c r="F92" s="103"/>
      <c r="G92" s="103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5">
      <c r="B93" s="116"/>
      <c r="C93" s="117"/>
      <c r="D93" s="118"/>
      <c r="E93" s="103"/>
      <c r="F93" s="103"/>
      <c r="G93" s="103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5">
      <c r="B94" s="116"/>
      <c r="C94" s="117"/>
      <c r="D94" s="118"/>
      <c r="E94" s="103"/>
      <c r="F94" s="103"/>
      <c r="G94" s="103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5">
      <c r="B95" s="116"/>
      <c r="C95" s="117"/>
      <c r="D95" s="118"/>
      <c r="E95" s="103"/>
      <c r="F95" s="103"/>
      <c r="G95" s="103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5">
      <c r="B96" s="116"/>
      <c r="C96" s="117"/>
      <c r="D96" s="118"/>
      <c r="E96" s="103"/>
      <c r="F96" s="103"/>
      <c r="G96" s="103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5">
      <c r="B97" s="116"/>
      <c r="C97" s="117"/>
      <c r="D97" s="118"/>
      <c r="E97" s="103"/>
      <c r="F97" s="103"/>
      <c r="G97" s="103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5">
      <c r="B98" s="116"/>
      <c r="C98" s="117"/>
      <c r="D98" s="118"/>
      <c r="E98" s="103"/>
      <c r="F98" s="103"/>
      <c r="G98" s="103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5">
      <c r="B99" s="116"/>
      <c r="C99" s="117"/>
      <c r="D99" s="118"/>
      <c r="E99" s="103"/>
      <c r="F99" s="103"/>
      <c r="G99" s="103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5">
      <c r="B100" s="116"/>
      <c r="C100" s="117"/>
      <c r="D100" s="118"/>
      <c r="E100" s="103"/>
      <c r="F100" s="103"/>
      <c r="G100" s="103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5">
      <c r="B101" s="116"/>
      <c r="C101" s="117"/>
      <c r="D101" s="118"/>
      <c r="E101" s="103"/>
      <c r="F101" s="103"/>
      <c r="G101" s="103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5">
      <c r="B102" s="116"/>
      <c r="C102" s="117"/>
      <c r="D102" s="118"/>
      <c r="E102" s="103"/>
      <c r="F102" s="103"/>
      <c r="G102" s="103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5">
      <c r="B103" s="116"/>
      <c r="C103" s="117"/>
      <c r="D103" s="118"/>
      <c r="E103" s="103"/>
      <c r="F103" s="103"/>
      <c r="G103" s="103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5">
      <c r="B104" s="116"/>
      <c r="C104" s="117"/>
      <c r="D104" s="118"/>
      <c r="E104" s="103"/>
      <c r="F104" s="103"/>
      <c r="G104" s="103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5">
      <c r="B105" s="116"/>
      <c r="C105" s="117"/>
      <c r="D105" s="118"/>
      <c r="E105" s="103"/>
      <c r="F105" s="103"/>
      <c r="G105" s="103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5">
      <c r="B106" s="116"/>
      <c r="C106" s="117"/>
      <c r="D106" s="118"/>
      <c r="E106" s="103"/>
      <c r="F106" s="103"/>
      <c r="G106" s="103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5">
      <c r="B107" s="116"/>
      <c r="C107" s="117"/>
      <c r="D107" s="118"/>
      <c r="E107" s="103"/>
      <c r="F107" s="103"/>
      <c r="G107" s="103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5">
      <c r="B108" s="116"/>
      <c r="C108" s="117"/>
      <c r="D108" s="118"/>
      <c r="E108" s="103"/>
      <c r="F108" s="103"/>
      <c r="G108" s="103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5">
      <c r="B109" s="116"/>
      <c r="C109" s="117"/>
      <c r="D109" s="118"/>
      <c r="E109" s="103"/>
      <c r="F109" s="103"/>
      <c r="G109" s="103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5">
      <c r="B110" s="116"/>
      <c r="C110" s="117"/>
      <c r="D110" s="118"/>
      <c r="E110" s="103"/>
      <c r="F110" s="103"/>
      <c r="G110" s="103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5">
      <c r="B111" s="116"/>
      <c r="C111" s="117"/>
      <c r="D111" s="118"/>
      <c r="E111" s="103"/>
      <c r="F111" s="103"/>
      <c r="G111" s="103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5">
      <c r="B112" s="116"/>
      <c r="C112" s="117"/>
      <c r="D112" s="118"/>
      <c r="E112" s="103"/>
      <c r="F112" s="103"/>
      <c r="G112" s="103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5">
      <c r="B113" s="116"/>
      <c r="C113" s="117"/>
      <c r="D113" s="118"/>
      <c r="E113" s="103"/>
      <c r="F113" s="103"/>
      <c r="G113" s="103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5">
      <c r="B114" s="116"/>
      <c r="C114" s="117"/>
      <c r="D114" s="118"/>
      <c r="E114" s="103"/>
      <c r="F114" s="103"/>
      <c r="G114" s="103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5">
      <c r="B115" s="119"/>
      <c r="C115" s="127"/>
      <c r="D115" s="118"/>
      <c r="E115" s="103"/>
      <c r="F115" s="103"/>
      <c r="G115" s="103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5">
      <c r="B116" s="119"/>
      <c r="C116" s="127"/>
      <c r="D116" s="118"/>
      <c r="E116" s="103"/>
      <c r="F116" s="103"/>
      <c r="G116" s="103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5">
      <c r="B117" s="119"/>
      <c r="C117" s="127"/>
      <c r="D117" s="118"/>
      <c r="E117" s="103"/>
      <c r="F117" s="103"/>
      <c r="G117" s="103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5">
      <c r="B118" s="119"/>
      <c r="C118" s="127"/>
      <c r="D118" s="118"/>
      <c r="E118" s="103"/>
      <c r="F118" s="103"/>
      <c r="G118" s="103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5">
      <c r="B119" s="119"/>
      <c r="C119" s="127"/>
      <c r="D119" s="118"/>
      <c r="E119" s="103"/>
      <c r="F119" s="103"/>
      <c r="G119" s="103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5">
      <c r="B120" s="119"/>
      <c r="C120" s="127"/>
      <c r="D120" s="118"/>
      <c r="E120" s="103"/>
      <c r="F120" s="103"/>
      <c r="G120" s="103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5">
      <c r="B121" s="119"/>
      <c r="C121" s="127"/>
      <c r="D121" s="118"/>
      <c r="E121" s="103"/>
      <c r="F121" s="103"/>
      <c r="G121" s="103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5">
      <c r="B122" s="119"/>
      <c r="C122" s="127"/>
      <c r="D122" s="118"/>
      <c r="E122" s="103"/>
      <c r="F122" s="103"/>
      <c r="G122" s="103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5">
      <c r="B123" s="119"/>
      <c r="C123" s="127"/>
      <c r="D123" s="118"/>
      <c r="E123" s="103"/>
      <c r="F123" s="103"/>
      <c r="G123" s="103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5">
      <c r="B124" s="119"/>
      <c r="C124" s="127"/>
      <c r="D124" s="118"/>
      <c r="E124" s="103"/>
      <c r="F124" s="103"/>
      <c r="G124" s="103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5">
      <c r="B125" s="119"/>
      <c r="C125" s="127"/>
      <c r="D125" s="118"/>
      <c r="E125" s="103"/>
      <c r="F125" s="103"/>
      <c r="G125" s="103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5">
      <c r="B126" s="119"/>
      <c r="C126" s="127"/>
      <c r="D126" s="118"/>
      <c r="E126" s="103"/>
      <c r="F126" s="103"/>
      <c r="G126" s="103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5">
      <c r="B127" s="119"/>
      <c r="C127" s="127"/>
      <c r="D127" s="118"/>
      <c r="E127" s="103"/>
      <c r="F127" s="103"/>
      <c r="G127" s="103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CE17"/>
  <sheetViews>
    <sheetView topLeftCell="K1" workbookViewId="0">
      <selection activeCell="S6" sqref="S6"/>
    </sheetView>
  </sheetViews>
  <sheetFormatPr defaultRowHeight="13.2" x14ac:dyDescent="0.25"/>
  <cols>
    <col min="1" max="1" width="18.6640625" bestFit="1" customWidth="1"/>
    <col min="2" max="2" width="2.33203125" bestFit="1" customWidth="1"/>
    <col min="4" max="4" width="11" bestFit="1" customWidth="1"/>
    <col min="5" max="5" width="2.109375" bestFit="1" customWidth="1"/>
    <col min="6" max="6" width="2.33203125" bestFit="1" customWidth="1"/>
    <col min="7" max="7" width="8.6640625" bestFit="1" customWidth="1"/>
    <col min="8" max="8" width="10.33203125" bestFit="1" customWidth="1"/>
    <col min="9" max="12" width="7.5546875" bestFit="1" customWidth="1"/>
    <col min="13" max="13" width="8.33203125" bestFit="1" customWidth="1"/>
    <col min="14" max="17" width="7.33203125" bestFit="1" customWidth="1"/>
    <col min="18" max="18" width="9.6640625" bestFit="1" customWidth="1"/>
    <col min="19" max="19" width="7.5546875" bestFit="1" customWidth="1"/>
    <col min="20" max="20" width="7.109375" bestFit="1" customWidth="1"/>
    <col min="21" max="21" width="7.6640625" bestFit="1" customWidth="1"/>
    <col min="22" max="22" width="10.6640625" bestFit="1" customWidth="1"/>
    <col min="23" max="23" width="10.33203125" bestFit="1" customWidth="1"/>
    <col min="24" max="24" width="8.6640625" bestFit="1" customWidth="1"/>
    <col min="26" max="26" width="5.109375" bestFit="1" customWidth="1"/>
    <col min="27" max="27" width="6.33203125" bestFit="1" customWidth="1"/>
    <col min="28" max="28" width="7.109375" bestFit="1" customWidth="1"/>
    <col min="29" max="29" width="7.6640625" bestFit="1" customWidth="1"/>
    <col min="30" max="30" width="8.109375" bestFit="1" customWidth="1"/>
    <col min="31" max="31" width="7.109375" bestFit="1" customWidth="1"/>
    <col min="32" max="32" width="7.6640625" bestFit="1" customWidth="1"/>
    <col min="33" max="33" width="6.6640625" bestFit="1" customWidth="1"/>
    <col min="34" max="34" width="7.6640625" bestFit="1" customWidth="1"/>
    <col min="35" max="35" width="7.109375" bestFit="1" customWidth="1"/>
    <col min="36" max="36" width="10.6640625" bestFit="1" customWidth="1"/>
    <col min="37" max="37" width="8.5546875" bestFit="1" customWidth="1"/>
    <col min="38" max="38" width="7.109375" bestFit="1" customWidth="1"/>
    <col min="39" max="39" width="6.5546875" bestFit="1" customWidth="1"/>
    <col min="40" max="41" width="7.5546875" bestFit="1" customWidth="1"/>
    <col min="42" max="43" width="3" bestFit="1" customWidth="1"/>
    <col min="44" max="44" width="8.5546875" bestFit="1" customWidth="1"/>
    <col min="46" max="46" width="2.5546875" bestFit="1" customWidth="1"/>
    <col min="47" max="48" width="3" bestFit="1" customWidth="1"/>
    <col min="49" max="50" width="7.5546875" bestFit="1" customWidth="1"/>
    <col min="51" max="51" width="8.33203125" bestFit="1" customWidth="1"/>
    <col min="52" max="52" width="7" bestFit="1" customWidth="1"/>
    <col min="53" max="53" width="6" bestFit="1" customWidth="1"/>
    <col min="54" max="54" width="9.33203125" bestFit="1" customWidth="1"/>
    <col min="55" max="55" width="8.33203125" bestFit="1" customWidth="1"/>
    <col min="56" max="56" width="9.33203125" bestFit="1" customWidth="1"/>
    <col min="57" max="57" width="10.6640625" bestFit="1" customWidth="1"/>
    <col min="58" max="59" width="4" bestFit="1" customWidth="1"/>
    <col min="60" max="60" width="7.5546875" bestFit="1" customWidth="1"/>
    <col min="61" max="62" width="7.33203125" bestFit="1" customWidth="1"/>
    <col min="63" max="63" width="16.109375" bestFit="1" customWidth="1"/>
    <col min="64" max="64" width="15.109375" bestFit="1" customWidth="1"/>
  </cols>
  <sheetData>
    <row r="4" spans="1:83" ht="14.25" hidden="1" customHeight="1" x14ac:dyDescent="0.25"/>
    <row r="5" spans="1:83" ht="224.4" x14ac:dyDescent="0.25">
      <c r="A5" s="314" t="s">
        <v>221</v>
      </c>
      <c r="B5" s="315" t="s">
        <v>222</v>
      </c>
      <c r="C5" s="316" t="s">
        <v>223</v>
      </c>
      <c r="D5" s="316" t="s">
        <v>224</v>
      </c>
      <c r="E5" s="317" t="s">
        <v>225</v>
      </c>
      <c r="F5" s="317" t="s">
        <v>226</v>
      </c>
      <c r="G5" s="318" t="s">
        <v>227</v>
      </c>
      <c r="H5" s="319" t="s">
        <v>228</v>
      </c>
      <c r="I5" s="320" t="s">
        <v>229</v>
      </c>
      <c r="J5" s="321" t="s">
        <v>230</v>
      </c>
      <c r="K5" s="322" t="s">
        <v>231</v>
      </c>
      <c r="L5" s="322" t="s">
        <v>232</v>
      </c>
      <c r="M5" s="323" t="s">
        <v>233</v>
      </c>
      <c r="N5" s="324" t="s">
        <v>234</v>
      </c>
      <c r="O5" s="324" t="s">
        <v>235</v>
      </c>
      <c r="P5" s="324" t="s">
        <v>236</v>
      </c>
      <c r="Q5" s="324" t="s">
        <v>237</v>
      </c>
      <c r="R5" s="325" t="s">
        <v>238</v>
      </c>
      <c r="S5" s="326" t="s">
        <v>239</v>
      </c>
      <c r="T5" s="327" t="s">
        <v>240</v>
      </c>
      <c r="U5" s="328" t="s">
        <v>241</v>
      </c>
      <c r="V5" s="329" t="s">
        <v>242</v>
      </c>
      <c r="W5" s="330" t="s">
        <v>243</v>
      </c>
      <c r="X5" s="331" t="s">
        <v>244</v>
      </c>
      <c r="Y5" s="332" t="s">
        <v>245</v>
      </c>
      <c r="Z5" s="332" t="s">
        <v>246</v>
      </c>
      <c r="AA5" s="332" t="s">
        <v>247</v>
      </c>
      <c r="AB5" s="333" t="s">
        <v>248</v>
      </c>
      <c r="AC5" s="333" t="s">
        <v>249</v>
      </c>
      <c r="AD5" s="334" t="s">
        <v>250</v>
      </c>
      <c r="AE5" s="334" t="s">
        <v>251</v>
      </c>
      <c r="AF5" s="334" t="s">
        <v>252</v>
      </c>
      <c r="AG5" s="334" t="s">
        <v>253</v>
      </c>
      <c r="AH5" s="334" t="s">
        <v>234</v>
      </c>
      <c r="AI5" s="333" t="s">
        <v>254</v>
      </c>
      <c r="AJ5" s="335" t="s">
        <v>255</v>
      </c>
      <c r="AK5" s="335" t="s">
        <v>256</v>
      </c>
      <c r="AL5" s="335" t="s">
        <v>257</v>
      </c>
      <c r="AM5" s="335" t="s">
        <v>258</v>
      </c>
      <c r="AN5" s="335" t="s">
        <v>259</v>
      </c>
      <c r="AO5" s="335" t="s">
        <v>251</v>
      </c>
      <c r="AP5" s="335" t="s">
        <v>237</v>
      </c>
      <c r="AQ5" s="335" t="s">
        <v>260</v>
      </c>
      <c r="AR5" s="335" t="s">
        <v>261</v>
      </c>
      <c r="AS5" s="336"/>
      <c r="AT5" s="337"/>
      <c r="AU5" s="338" t="s">
        <v>262</v>
      </c>
      <c r="AV5" s="338" t="s">
        <v>263</v>
      </c>
      <c r="AW5" s="339" t="s">
        <v>264</v>
      </c>
      <c r="AX5" s="339" t="s">
        <v>265</v>
      </c>
      <c r="AY5" s="340" t="s">
        <v>266</v>
      </c>
      <c r="AZ5" s="338" t="s">
        <v>267</v>
      </c>
      <c r="BA5" s="338" t="s">
        <v>268</v>
      </c>
      <c r="BB5" s="340" t="s">
        <v>269</v>
      </c>
      <c r="BC5" s="340" t="s">
        <v>270</v>
      </c>
      <c r="BD5" s="340" t="s">
        <v>271</v>
      </c>
      <c r="BE5" s="341" t="s">
        <v>272</v>
      </c>
      <c r="BF5" s="338" t="s">
        <v>273</v>
      </c>
      <c r="BG5" s="338" t="s">
        <v>274</v>
      </c>
      <c r="BH5" s="339" t="s">
        <v>275</v>
      </c>
      <c r="BI5" s="342" t="s">
        <v>276</v>
      </c>
      <c r="BJ5" s="342" t="s">
        <v>277</v>
      </c>
      <c r="BK5" s="343" t="s">
        <v>278</v>
      </c>
      <c r="BL5" s="344" t="s">
        <v>279</v>
      </c>
      <c r="BM5" s="336"/>
      <c r="BN5" s="336"/>
      <c r="BO5" s="336"/>
      <c r="BP5" s="336"/>
      <c r="BQ5" s="336"/>
      <c r="BR5" s="336"/>
      <c r="BS5" s="336"/>
      <c r="BT5" s="336"/>
      <c r="BU5" s="336"/>
      <c r="BV5" s="336"/>
      <c r="BW5" s="336"/>
      <c r="BX5" s="336"/>
      <c r="BY5" s="336"/>
      <c r="BZ5" s="336"/>
      <c r="CA5" s="336"/>
      <c r="CB5" s="336"/>
      <c r="CC5" s="336"/>
      <c r="CD5" s="336"/>
      <c r="CE5" s="336"/>
    </row>
    <row r="6" spans="1:83" x14ac:dyDescent="0.25">
      <c r="A6" s="289" t="s">
        <v>192</v>
      </c>
      <c r="B6" s="290" t="s">
        <v>193</v>
      </c>
      <c r="C6" s="289" t="s">
        <v>194</v>
      </c>
      <c r="D6" s="289" t="s">
        <v>94</v>
      </c>
      <c r="E6" s="290" t="s">
        <v>195</v>
      </c>
      <c r="F6" s="290" t="s">
        <v>196</v>
      </c>
      <c r="G6" s="291">
        <v>37257</v>
      </c>
      <c r="H6" s="292">
        <v>-8250000</v>
      </c>
      <c r="I6" s="293">
        <v>0.25</v>
      </c>
      <c r="J6" s="294">
        <v>3.25</v>
      </c>
      <c r="K6" s="294">
        <v>0.06</v>
      </c>
      <c r="L6" s="294">
        <v>3.31</v>
      </c>
      <c r="M6" s="295">
        <v>2.3764979897465299E-2</v>
      </c>
      <c r="N6" s="296">
        <v>0.78500000000000003</v>
      </c>
      <c r="O6" s="296">
        <v>0.84799999999999998</v>
      </c>
      <c r="P6" s="296">
        <v>0.84799999999999998</v>
      </c>
      <c r="Q6" s="296">
        <v>0.93</v>
      </c>
      <c r="R6" s="297">
        <v>37253</v>
      </c>
      <c r="S6" s="294">
        <v>0.10059046419211953</v>
      </c>
      <c r="T6" s="298">
        <v>0.36066229705196728</v>
      </c>
      <c r="U6" s="298">
        <v>-0.313891430254159</v>
      </c>
      <c r="V6" s="299">
        <v>-829871.3295849862</v>
      </c>
      <c r="W6" s="292">
        <v>-2975463.9506787299</v>
      </c>
      <c r="X6" s="292">
        <v>-385859.65108191833</v>
      </c>
      <c r="Y6" s="292"/>
      <c r="Z6" s="300">
        <v>-825</v>
      </c>
      <c r="AA6" s="301">
        <v>0</v>
      </c>
      <c r="AB6" s="302">
        <v>0.84939193156722215</v>
      </c>
      <c r="AC6" s="302">
        <v>-7.0074834354295827</v>
      </c>
      <c r="AD6" s="303">
        <v>83360.333467921155</v>
      </c>
      <c r="AE6" s="303">
        <v>10543.899495128275</v>
      </c>
      <c r="AF6" s="303">
        <v>-22657.24740594393</v>
      </c>
      <c r="AG6" s="303">
        <v>7206.7233777890388</v>
      </c>
      <c r="AH6" s="303">
        <v>-17268.876367740198</v>
      </c>
      <c r="AI6" s="302">
        <v>0.70606980959627386</v>
      </c>
      <c r="AJ6" s="304">
        <v>-993311.00593213865</v>
      </c>
      <c r="AK6" s="304">
        <v>140111.32128691697</v>
      </c>
      <c r="AL6" s="304">
        <v>-23.743651856551878</v>
      </c>
      <c r="AM6" s="304">
        <v>89.553502980154008</v>
      </c>
      <c r="AN6" s="304">
        <v>13619.159436400398</v>
      </c>
      <c r="AO6" s="304">
        <v>11248.538674967247</v>
      </c>
      <c r="AP6" s="304">
        <v>0</v>
      </c>
      <c r="AQ6" s="304">
        <v>0</v>
      </c>
      <c r="AR6" s="304">
        <v>163439.67634715245</v>
      </c>
      <c r="AS6" s="305"/>
      <c r="AT6" s="306">
        <v>1</v>
      </c>
      <c r="AU6" s="307">
        <v>12</v>
      </c>
      <c r="AV6" s="307">
        <v>19</v>
      </c>
      <c r="AW6" s="308">
        <v>3.3260000000000001</v>
      </c>
      <c r="AX6" s="308">
        <v>3.4210000000000003</v>
      </c>
      <c r="AY6" s="309">
        <v>2.38992978137045E-2</v>
      </c>
      <c r="AZ6" s="310">
        <v>0.79249999999999998</v>
      </c>
      <c r="BA6" s="310">
        <v>0.85599999999999998</v>
      </c>
      <c r="BB6" s="309">
        <v>0.93</v>
      </c>
      <c r="BC6" s="309">
        <v>0</v>
      </c>
      <c r="BD6" s="309">
        <v>0.85599999999999998</v>
      </c>
      <c r="BE6" s="311">
        <v>-993311.00593213865</v>
      </c>
      <c r="BF6" s="307">
        <v>64</v>
      </c>
      <c r="BG6" s="307">
        <v>65</v>
      </c>
      <c r="BH6" s="308">
        <v>0.25</v>
      </c>
      <c r="BI6" s="312">
        <v>0.99561132079096881</v>
      </c>
      <c r="BJ6" s="312">
        <v>0.99552196185221098</v>
      </c>
      <c r="BK6" s="310" t="s">
        <v>197</v>
      </c>
      <c r="BL6" s="313" t="s">
        <v>198</v>
      </c>
      <c r="BM6" s="305"/>
      <c r="BN6" s="201"/>
      <c r="BO6" s="201"/>
      <c r="BP6" s="201"/>
      <c r="BQ6" s="201"/>
      <c r="BR6" s="201"/>
      <c r="BS6" s="201"/>
      <c r="BT6" s="201"/>
      <c r="BU6" s="201"/>
      <c r="BV6" s="201"/>
    </row>
    <row r="7" spans="1:83" x14ac:dyDescent="0.25">
      <c r="A7" s="289" t="s">
        <v>192</v>
      </c>
      <c r="B7" s="290" t="s">
        <v>193</v>
      </c>
      <c r="C7" s="289" t="s">
        <v>194</v>
      </c>
      <c r="D7" s="289" t="s">
        <v>94</v>
      </c>
      <c r="E7" s="290" t="s">
        <v>195</v>
      </c>
      <c r="F7" s="290" t="s">
        <v>196</v>
      </c>
      <c r="G7" s="291">
        <v>37288</v>
      </c>
      <c r="H7" s="292">
        <v>-8250000</v>
      </c>
      <c r="I7" s="293">
        <v>0.25</v>
      </c>
      <c r="J7" s="294">
        <v>3.2480000000000002</v>
      </c>
      <c r="K7" s="294">
        <v>0.05</v>
      </c>
      <c r="L7" s="294">
        <v>3.298</v>
      </c>
      <c r="M7" s="295">
        <v>2.3552572431166499E-2</v>
      </c>
      <c r="N7" s="296">
        <v>0.72499999999999998</v>
      </c>
      <c r="O7" s="296">
        <v>0.78300000000000003</v>
      </c>
      <c r="P7" s="296">
        <v>0.78300000000000003</v>
      </c>
      <c r="Q7" s="296">
        <v>0.93</v>
      </c>
      <c r="R7" s="297">
        <v>37286</v>
      </c>
      <c r="S7" s="294">
        <v>0.119128305331759</v>
      </c>
      <c r="T7" s="298">
        <v>0.37473577091897126</v>
      </c>
      <c r="U7" s="298">
        <v>-0.32103462860907495</v>
      </c>
      <c r="V7" s="299">
        <v>-982808.51898701175</v>
      </c>
      <c r="W7" s="292">
        <v>-3091570.1100815129</v>
      </c>
      <c r="X7" s="292">
        <v>-443034.42405664455</v>
      </c>
      <c r="Y7" s="292"/>
      <c r="Z7" s="300">
        <v>-825</v>
      </c>
      <c r="AA7" s="301">
        <v>0</v>
      </c>
      <c r="AB7" s="302">
        <v>0.75830522104870401</v>
      </c>
      <c r="AC7" s="302">
        <v>-6.2560180736518083</v>
      </c>
      <c r="AD7" s="303">
        <v>95515.855753920216</v>
      </c>
      <c r="AE7" s="303">
        <v>7947.5507975722185</v>
      </c>
      <c r="AF7" s="303">
        <v>-28047.36259551012</v>
      </c>
      <c r="AG7" s="303">
        <v>8869.5757476401668</v>
      </c>
      <c r="AH7" s="303">
        <v>-21421.575855510764</v>
      </c>
      <c r="AI7" s="302">
        <v>0.66057649888832248</v>
      </c>
      <c r="AJ7" s="304">
        <v>-1039551.3824677939</v>
      </c>
      <c r="AK7" s="304">
        <v>32967.601687919814</v>
      </c>
      <c r="AL7" s="304">
        <v>-40.253237774362788</v>
      </c>
      <c r="AM7" s="304">
        <v>107.92494040669408</v>
      </c>
      <c r="AN7" s="304">
        <v>16269.896423518076</v>
      </c>
      <c r="AO7" s="304">
        <v>8206.308622327866</v>
      </c>
      <c r="AP7" s="304">
        <v>0</v>
      </c>
      <c r="AQ7" s="304">
        <v>0</v>
      </c>
      <c r="AR7" s="304">
        <v>56742.863480782136</v>
      </c>
      <c r="AS7" s="305"/>
      <c r="AT7" s="306">
        <v>1</v>
      </c>
      <c r="AU7" s="307">
        <v>13</v>
      </c>
      <c r="AV7" s="307">
        <v>20</v>
      </c>
      <c r="AW7" s="308">
        <v>3.3210000000000002</v>
      </c>
      <c r="AX7" s="308">
        <v>3.371</v>
      </c>
      <c r="AY7" s="309">
        <v>2.36968871405265E-2</v>
      </c>
      <c r="AZ7" s="310">
        <v>0.73250000000000004</v>
      </c>
      <c r="BA7" s="310">
        <v>0.79100000000000004</v>
      </c>
      <c r="BB7" s="309">
        <v>0.93</v>
      </c>
      <c r="BC7" s="309">
        <v>0</v>
      </c>
      <c r="BD7" s="309">
        <v>0.79100000000000004</v>
      </c>
      <c r="BE7" s="311">
        <v>-1039551.3824677939</v>
      </c>
      <c r="BF7" s="307">
        <v>97</v>
      </c>
      <c r="BG7" s="307">
        <v>98</v>
      </c>
      <c r="BH7" s="308">
        <v>0.25</v>
      </c>
      <c r="BI7" s="312">
        <v>0.99367353397830227</v>
      </c>
      <c r="BJ7" s="312">
        <v>0.9935710352440521</v>
      </c>
      <c r="BK7" s="310" t="s">
        <v>199</v>
      </c>
      <c r="BL7" s="313" t="s">
        <v>200</v>
      </c>
      <c r="BM7" s="305"/>
      <c r="BN7" s="201"/>
      <c r="BO7" s="201"/>
      <c r="BP7" s="201"/>
      <c r="BQ7" s="201"/>
      <c r="BR7" s="201"/>
      <c r="BS7" s="201"/>
      <c r="BT7" s="201"/>
      <c r="BU7" s="201"/>
      <c r="BV7" s="201"/>
    </row>
    <row r="8" spans="1:83" x14ac:dyDescent="0.25">
      <c r="A8" s="289" t="s">
        <v>192</v>
      </c>
      <c r="B8" s="290" t="s">
        <v>193</v>
      </c>
      <c r="C8" s="289" t="s">
        <v>194</v>
      </c>
      <c r="D8" s="289" t="s">
        <v>94</v>
      </c>
      <c r="E8" s="290" t="s">
        <v>195</v>
      </c>
      <c r="F8" s="290" t="s">
        <v>196</v>
      </c>
      <c r="G8" s="291">
        <v>37316</v>
      </c>
      <c r="H8" s="292">
        <v>-8250000</v>
      </c>
      <c r="I8" s="293">
        <v>0.25</v>
      </c>
      <c r="J8" s="294">
        <v>3.1949999999999998</v>
      </c>
      <c r="K8" s="294">
        <v>0.03</v>
      </c>
      <c r="L8" s="294">
        <v>3.2250000000000001</v>
      </c>
      <c r="M8" s="295">
        <v>2.3027261633295399E-2</v>
      </c>
      <c r="N8" s="296">
        <v>0.65</v>
      </c>
      <c r="O8" s="296">
        <v>0.70199999999999996</v>
      </c>
      <c r="P8" s="296">
        <v>0.70199999999999996</v>
      </c>
      <c r="Q8" s="296">
        <v>0.93</v>
      </c>
      <c r="R8" s="297">
        <v>37314</v>
      </c>
      <c r="S8" s="294">
        <v>0.11203136587660585</v>
      </c>
      <c r="T8" s="298">
        <v>0.35995362582069368</v>
      </c>
      <c r="U8" s="298">
        <v>-0.30626599155304352</v>
      </c>
      <c r="V8" s="299">
        <v>-924258.76848199824</v>
      </c>
      <c r="W8" s="292">
        <v>-2969617.413020723</v>
      </c>
      <c r="X8" s="292">
        <v>-442922.98270811385</v>
      </c>
      <c r="Y8" s="292"/>
      <c r="Z8" s="300">
        <v>-825</v>
      </c>
      <c r="AA8" s="301">
        <v>0</v>
      </c>
      <c r="AB8" s="302">
        <v>0.75090706084760117</v>
      </c>
      <c r="AC8" s="302">
        <v>-6.1949832519927099</v>
      </c>
      <c r="AD8" s="303">
        <v>93605.156969931268</v>
      </c>
      <c r="AE8" s="303">
        <v>6044.3792133762254</v>
      </c>
      <c r="AF8" s="303">
        <v>-30787.874466149933</v>
      </c>
      <c r="AG8" s="303">
        <v>9795.0885928858861</v>
      </c>
      <c r="AH8" s="303">
        <v>-23455.815830556036</v>
      </c>
      <c r="AI8" s="302">
        <v>0.72849014819693902</v>
      </c>
      <c r="AJ8" s="304">
        <v>-977401.57562773</v>
      </c>
      <c r="AK8" s="304">
        <v>29816.984164387803</v>
      </c>
      <c r="AL8" s="304">
        <v>-89.120484721730463</v>
      </c>
      <c r="AM8" s="304">
        <v>151.97982856992166</v>
      </c>
      <c r="AN8" s="304">
        <v>17774.390260023298</v>
      </c>
      <c r="AO8" s="304">
        <v>6246.3752425329294</v>
      </c>
      <c r="AP8" s="304">
        <v>0</v>
      </c>
      <c r="AQ8" s="304">
        <v>0</v>
      </c>
      <c r="AR8" s="304">
        <v>53142.807145731756</v>
      </c>
      <c r="AS8" s="305"/>
      <c r="AT8" s="306">
        <v>1</v>
      </c>
      <c r="AU8" s="307">
        <v>14</v>
      </c>
      <c r="AV8" s="307">
        <v>21</v>
      </c>
      <c r="AW8" s="308">
        <v>3.2610000000000001</v>
      </c>
      <c r="AX8" s="308">
        <v>3.2909999999999999</v>
      </c>
      <c r="AY8" s="309">
        <v>2.3291566028777098E-2</v>
      </c>
      <c r="AZ8" s="310">
        <v>0.65749999999999997</v>
      </c>
      <c r="BA8" s="310">
        <v>0.71</v>
      </c>
      <c r="BB8" s="309">
        <v>0.93</v>
      </c>
      <c r="BC8" s="309">
        <v>0</v>
      </c>
      <c r="BD8" s="309">
        <v>0.71</v>
      </c>
      <c r="BE8" s="311">
        <v>-977401.57562773</v>
      </c>
      <c r="BF8" s="307">
        <v>125</v>
      </c>
      <c r="BG8" s="307">
        <v>126</v>
      </c>
      <c r="BH8" s="308">
        <v>0.25</v>
      </c>
      <c r="BI8" s="312">
        <v>0.99207060617160048</v>
      </c>
      <c r="BJ8" s="312">
        <v>0.99191759219903686</v>
      </c>
      <c r="BK8" s="310" t="s">
        <v>201</v>
      </c>
      <c r="BL8" s="313" t="s">
        <v>202</v>
      </c>
      <c r="BM8" s="305"/>
      <c r="BN8" s="201"/>
      <c r="BO8" s="201"/>
      <c r="BP8" s="201"/>
      <c r="BQ8" s="201"/>
      <c r="BR8" s="201"/>
      <c r="BS8" s="201"/>
      <c r="BT8" s="201"/>
      <c r="BU8" s="201"/>
      <c r="BV8" s="201"/>
    </row>
    <row r="9" spans="1:83" x14ac:dyDescent="0.25">
      <c r="A9" s="289" t="s">
        <v>192</v>
      </c>
      <c r="B9" s="290" t="s">
        <v>193</v>
      </c>
      <c r="C9" s="289" t="s">
        <v>194</v>
      </c>
      <c r="D9" s="289" t="s">
        <v>94</v>
      </c>
      <c r="E9" s="290" t="s">
        <v>195</v>
      </c>
      <c r="F9" s="290" t="s">
        <v>196</v>
      </c>
      <c r="G9" s="291">
        <v>37347</v>
      </c>
      <c r="H9" s="292">
        <v>-8250000</v>
      </c>
      <c r="I9" s="293">
        <v>0.25</v>
      </c>
      <c r="J9" s="294">
        <v>3.0950000000000002</v>
      </c>
      <c r="K9" s="294">
        <v>3.5000000000000003E-2</v>
      </c>
      <c r="L9" s="294">
        <v>3.13</v>
      </c>
      <c r="M9" s="295">
        <v>2.26849174085424E-2</v>
      </c>
      <c r="N9" s="296">
        <v>0.52249999999999996</v>
      </c>
      <c r="O9" s="296">
        <v>0.52300000000000002</v>
      </c>
      <c r="P9" s="296">
        <v>0.52300000000000002</v>
      </c>
      <c r="Q9" s="296">
        <v>0.93</v>
      </c>
      <c r="R9" s="297">
        <v>37343</v>
      </c>
      <c r="S9" s="294">
        <v>7.5301422409989549E-2</v>
      </c>
      <c r="T9" s="298">
        <v>0.31646138447290356</v>
      </c>
      <c r="U9" s="298">
        <v>-0.27380318675439969</v>
      </c>
      <c r="V9" s="299">
        <v>-621236.73488241376</v>
      </c>
      <c r="W9" s="292">
        <v>-2610806.4219014542</v>
      </c>
      <c r="X9" s="292">
        <v>-351930.13117765699</v>
      </c>
      <c r="Y9" s="292"/>
      <c r="Z9" s="300">
        <v>-825</v>
      </c>
      <c r="AA9" s="301">
        <v>0</v>
      </c>
      <c r="AB9" s="302">
        <v>0.90504694000672781</v>
      </c>
      <c r="AC9" s="302">
        <v>-7.4666372550555051</v>
      </c>
      <c r="AD9" s="303">
        <v>78013.833664063452</v>
      </c>
      <c r="AE9" s="303">
        <v>3679.8281952345847</v>
      </c>
      <c r="AF9" s="303">
        <v>-22580.330911348621</v>
      </c>
      <c r="AG9" s="303">
        <v>697.72645538846371</v>
      </c>
      <c r="AH9" s="303">
        <v>-21904.212428124134</v>
      </c>
      <c r="AI9" s="302">
        <v>0.91965692895064954</v>
      </c>
      <c r="AJ9" s="304">
        <v>-652073.49330170476</v>
      </c>
      <c r="AK9" s="304">
        <v>5232.5779419735773</v>
      </c>
      <c r="AL9" s="304">
        <v>-100.36212903598789</v>
      </c>
      <c r="AM9" s="304">
        <v>143.46002223389223</v>
      </c>
      <c r="AN9" s="304">
        <v>22304.061211714521</v>
      </c>
      <c r="AO9" s="304">
        <v>3808.7142812414095</v>
      </c>
      <c r="AP9" s="304">
        <v>0</v>
      </c>
      <c r="AQ9" s="304">
        <v>0</v>
      </c>
      <c r="AR9" s="304">
        <v>30836.758419291</v>
      </c>
      <c r="AS9" s="305"/>
      <c r="AT9" s="306">
        <v>1</v>
      </c>
      <c r="AU9" s="307">
        <v>15</v>
      </c>
      <c r="AV9" s="307">
        <v>22</v>
      </c>
      <c r="AW9" s="308">
        <v>3.1459999999999999</v>
      </c>
      <c r="AX9" s="308">
        <v>3.1759999999999997</v>
      </c>
      <c r="AY9" s="309">
        <v>2.3047576380458502E-2</v>
      </c>
      <c r="AZ9" s="310">
        <v>0.53249999999999997</v>
      </c>
      <c r="BA9" s="310">
        <v>0.53300000000000003</v>
      </c>
      <c r="BB9" s="309">
        <v>0.93</v>
      </c>
      <c r="BC9" s="309">
        <v>0</v>
      </c>
      <c r="BD9" s="309">
        <v>0.53300000000000003</v>
      </c>
      <c r="BE9" s="311">
        <v>-652073.49330170476</v>
      </c>
      <c r="BF9" s="307">
        <v>154</v>
      </c>
      <c r="BG9" s="307">
        <v>155</v>
      </c>
      <c r="BH9" s="308">
        <v>0.25</v>
      </c>
      <c r="BI9" s="312">
        <v>0.99028963661068947</v>
      </c>
      <c r="BJ9" s="312">
        <v>0.99007392962680418</v>
      </c>
      <c r="BK9" s="310" t="s">
        <v>203</v>
      </c>
      <c r="BL9" s="313" t="s">
        <v>204</v>
      </c>
      <c r="BM9" s="305"/>
      <c r="BN9" s="201"/>
      <c r="BO9" s="201"/>
      <c r="BP9" s="201"/>
      <c r="BQ9" s="201"/>
      <c r="BR9" s="201"/>
      <c r="BS9" s="201"/>
      <c r="BT9" s="201"/>
      <c r="BU9" s="201"/>
      <c r="BV9" s="201"/>
    </row>
    <row r="10" spans="1:83" x14ac:dyDescent="0.25">
      <c r="A10" s="289" t="s">
        <v>192</v>
      </c>
      <c r="B10" s="290" t="s">
        <v>193</v>
      </c>
      <c r="C10" s="289" t="s">
        <v>194</v>
      </c>
      <c r="D10" s="289" t="s">
        <v>94</v>
      </c>
      <c r="E10" s="290" t="s">
        <v>195</v>
      </c>
      <c r="F10" s="290" t="s">
        <v>196</v>
      </c>
      <c r="G10" s="291">
        <v>37377</v>
      </c>
      <c r="H10" s="292">
        <v>-8250000</v>
      </c>
      <c r="I10" s="293">
        <v>0.25</v>
      </c>
      <c r="J10" s="294">
        <v>3.125</v>
      </c>
      <c r="K10" s="294">
        <v>6.5000000000000002E-2</v>
      </c>
      <c r="L10" s="294">
        <v>3.19</v>
      </c>
      <c r="M10" s="295">
        <v>2.26737414033105E-2</v>
      </c>
      <c r="N10" s="296">
        <v>0.47</v>
      </c>
      <c r="O10" s="296">
        <v>0.47</v>
      </c>
      <c r="P10" s="296">
        <v>0.47</v>
      </c>
      <c r="Q10" s="296">
        <v>0.93</v>
      </c>
      <c r="R10" s="297">
        <v>37375</v>
      </c>
      <c r="S10" s="294">
        <v>8.4556360360052291E-2</v>
      </c>
      <c r="T10" s="298">
        <v>0.34241982957181172</v>
      </c>
      <c r="U10" s="298">
        <v>-0.29875916250443674</v>
      </c>
      <c r="V10" s="299">
        <v>-697589.97297043144</v>
      </c>
      <c r="W10" s="292">
        <v>-2824963.5939674466</v>
      </c>
      <c r="X10" s="292">
        <v>-360200.50330584357</v>
      </c>
      <c r="Y10" s="292"/>
      <c r="Z10" s="300">
        <v>-825</v>
      </c>
      <c r="AA10" s="301">
        <v>0</v>
      </c>
      <c r="AB10" s="302">
        <v>0.92660411268661402</v>
      </c>
      <c r="AC10" s="302">
        <v>-7.644483929664565</v>
      </c>
      <c r="AD10" s="303">
        <v>81049.288824528339</v>
      </c>
      <c r="AE10" s="303">
        <v>3149.4953724647971</v>
      </c>
      <c r="AF10" s="303">
        <v>-25813.145821657261</v>
      </c>
      <c r="AG10" s="303">
        <v>559.53687175473033</v>
      </c>
      <c r="AH10" s="303">
        <v>-25253.608949902529</v>
      </c>
      <c r="AI10" s="302">
        <v>0.80700927207301199</v>
      </c>
      <c r="AJ10" s="304">
        <v>-717725.63355454046</v>
      </c>
      <c r="AK10" s="304">
        <v>4460.2912600049749</v>
      </c>
      <c r="AL10" s="304">
        <v>-150.4181443802081</v>
      </c>
      <c r="AM10" s="304">
        <v>196.89367541973479</v>
      </c>
      <c r="AN10" s="304">
        <v>12832.103134068544</v>
      </c>
      <c r="AO10" s="304">
        <v>3221.4404170959024</v>
      </c>
      <c r="AP10" s="304">
        <v>0</v>
      </c>
      <c r="AQ10" s="304">
        <v>0</v>
      </c>
      <c r="AR10" s="304">
        <v>20135.66058410902</v>
      </c>
      <c r="AS10" s="305"/>
      <c r="AT10" s="306">
        <v>1</v>
      </c>
      <c r="AU10" s="307">
        <v>16</v>
      </c>
      <c r="AV10" s="307">
        <v>23</v>
      </c>
      <c r="AW10" s="308">
        <v>3.1760000000000002</v>
      </c>
      <c r="AX10" s="308">
        <v>3.2360000000000002</v>
      </c>
      <c r="AY10" s="309">
        <v>2.3083044360665099E-2</v>
      </c>
      <c r="AZ10" s="310">
        <v>0.47499999999999998</v>
      </c>
      <c r="BA10" s="310">
        <v>0.47499999999999998</v>
      </c>
      <c r="BB10" s="309">
        <v>0.93</v>
      </c>
      <c r="BC10" s="309">
        <v>0</v>
      </c>
      <c r="BD10" s="309">
        <v>0.47499999999999998</v>
      </c>
      <c r="BE10" s="311">
        <v>-717725.63355454046</v>
      </c>
      <c r="BF10" s="307">
        <v>186</v>
      </c>
      <c r="BG10" s="307">
        <v>187</v>
      </c>
      <c r="BH10" s="308">
        <v>0.25</v>
      </c>
      <c r="BI10" s="312">
        <v>0.9884621984865285</v>
      </c>
      <c r="BJ10" s="312">
        <v>0.98819423495672565</v>
      </c>
      <c r="BK10" s="310" t="s">
        <v>205</v>
      </c>
      <c r="BL10" s="313" t="s">
        <v>206</v>
      </c>
      <c r="BM10" s="305"/>
      <c r="BN10" s="201"/>
      <c r="BO10" s="201"/>
      <c r="BP10" s="201"/>
      <c r="BQ10" s="201"/>
      <c r="BR10" s="201"/>
      <c r="BS10" s="201"/>
      <c r="BT10" s="201"/>
      <c r="BU10" s="201"/>
      <c r="BV10" s="201"/>
    </row>
    <row r="11" spans="1:83" x14ac:dyDescent="0.25">
      <c r="A11" s="289" t="s">
        <v>192</v>
      </c>
      <c r="B11" s="290" t="s">
        <v>193</v>
      </c>
      <c r="C11" s="289" t="s">
        <v>194</v>
      </c>
      <c r="D11" s="289" t="s">
        <v>94</v>
      </c>
      <c r="E11" s="290" t="s">
        <v>195</v>
      </c>
      <c r="F11" s="290" t="s">
        <v>196</v>
      </c>
      <c r="G11" s="291">
        <v>37408</v>
      </c>
      <c r="H11" s="292">
        <v>-8250000</v>
      </c>
      <c r="I11" s="293">
        <v>0.25</v>
      </c>
      <c r="J11" s="294">
        <v>3.165</v>
      </c>
      <c r="K11" s="294">
        <v>0.12</v>
      </c>
      <c r="L11" s="294">
        <v>3.2850000000000001</v>
      </c>
      <c r="M11" s="295">
        <v>2.2662192864614499E-2</v>
      </c>
      <c r="N11" s="296">
        <v>0.45750000000000002</v>
      </c>
      <c r="O11" s="296">
        <v>0.45800000000000002</v>
      </c>
      <c r="P11" s="296">
        <v>0.45800000000000002</v>
      </c>
      <c r="Q11" s="296">
        <v>0.93</v>
      </c>
      <c r="R11" s="297">
        <v>37406</v>
      </c>
      <c r="S11" s="294">
        <v>0.11460610532892521</v>
      </c>
      <c r="T11" s="298">
        <v>0.40213508890184851</v>
      </c>
      <c r="U11" s="298">
        <v>-0.3534615163987409</v>
      </c>
      <c r="V11" s="299">
        <v>-945500.36896363297</v>
      </c>
      <c r="W11" s="292">
        <v>-3317614.4834402502</v>
      </c>
      <c r="X11" s="292">
        <v>-401556.97315063776</v>
      </c>
      <c r="Y11" s="292"/>
      <c r="Z11" s="300">
        <v>-825</v>
      </c>
      <c r="AA11" s="301">
        <v>0</v>
      </c>
      <c r="AB11" s="302">
        <v>0.89755523433983686</v>
      </c>
      <c r="AC11" s="302">
        <v>-7.4048306833036541</v>
      </c>
      <c r="AD11" s="303">
        <v>92214.360056501333</v>
      </c>
      <c r="AE11" s="303">
        <v>3056.7781398914772</v>
      </c>
      <c r="AF11" s="303">
        <v>-30182.139581464915</v>
      </c>
      <c r="AG11" s="303">
        <v>680.83184529235325</v>
      </c>
      <c r="AH11" s="303">
        <v>-29534.293681070336</v>
      </c>
      <c r="AI11" s="302">
        <v>0.54514775624424328</v>
      </c>
      <c r="AJ11" s="304">
        <v>-969264.93527401856</v>
      </c>
      <c r="AK11" s="304">
        <v>6182.2455785740167</v>
      </c>
      <c r="AL11" s="304">
        <v>-264.70419203210622</v>
      </c>
      <c r="AM11" s="304">
        <v>328.3349211566383</v>
      </c>
      <c r="AN11" s="304">
        <v>14994.828203975107</v>
      </c>
      <c r="AO11" s="304">
        <v>3128.5212103377562</v>
      </c>
      <c r="AP11" s="304">
        <v>0</v>
      </c>
      <c r="AQ11" s="304">
        <v>0</v>
      </c>
      <c r="AR11" s="304">
        <v>23764.566310385591</v>
      </c>
      <c r="AS11" s="305"/>
      <c r="AT11" s="306">
        <v>1</v>
      </c>
      <c r="AU11" s="307">
        <v>17</v>
      </c>
      <c r="AV11" s="307">
        <v>24</v>
      </c>
      <c r="AW11" s="308">
        <v>3.2210000000000001</v>
      </c>
      <c r="AX11" s="308">
        <v>3.3360000000000003</v>
      </c>
      <c r="AY11" s="309">
        <v>2.3119694607325301E-2</v>
      </c>
      <c r="AZ11" s="310">
        <v>0.46250000000000002</v>
      </c>
      <c r="BA11" s="310">
        <v>0.46300000000000002</v>
      </c>
      <c r="BB11" s="309">
        <v>0.93</v>
      </c>
      <c r="BC11" s="309">
        <v>0</v>
      </c>
      <c r="BD11" s="309">
        <v>0.46300000000000002</v>
      </c>
      <c r="BE11" s="311">
        <v>-969264.93527401856</v>
      </c>
      <c r="BF11" s="307">
        <v>217</v>
      </c>
      <c r="BG11" s="307">
        <v>218</v>
      </c>
      <c r="BH11" s="308">
        <v>0.25</v>
      </c>
      <c r="BI11" s="312">
        <v>0.98657926997369783</v>
      </c>
      <c r="BJ11" s="312">
        <v>0.98624966524862123</v>
      </c>
      <c r="BK11" s="310" t="s">
        <v>207</v>
      </c>
      <c r="BL11" s="313" t="s">
        <v>208</v>
      </c>
      <c r="BM11" s="305"/>
      <c r="BN11" s="201"/>
      <c r="BO11" s="201"/>
      <c r="BP11" s="201"/>
      <c r="BQ11" s="201"/>
      <c r="BR11" s="201"/>
      <c r="BS11" s="201"/>
      <c r="BT11" s="201"/>
      <c r="BU11" s="201"/>
      <c r="BV11" s="201"/>
    </row>
    <row r="12" spans="1:83" x14ac:dyDescent="0.25">
      <c r="A12" s="289" t="s">
        <v>192</v>
      </c>
      <c r="B12" s="290" t="s">
        <v>193</v>
      </c>
      <c r="C12" s="289" t="s">
        <v>194</v>
      </c>
      <c r="D12" s="289" t="s">
        <v>94</v>
      </c>
      <c r="E12" s="290" t="s">
        <v>195</v>
      </c>
      <c r="F12" s="290" t="s">
        <v>196</v>
      </c>
      <c r="G12" s="291">
        <v>37438</v>
      </c>
      <c r="H12" s="292">
        <v>-8250000</v>
      </c>
      <c r="I12" s="293">
        <v>0.25</v>
      </c>
      <c r="J12" s="294">
        <v>3.2</v>
      </c>
      <c r="K12" s="294">
        <v>0.22</v>
      </c>
      <c r="L12" s="294">
        <v>3.42</v>
      </c>
      <c r="M12" s="295">
        <v>2.2758714534247802E-2</v>
      </c>
      <c r="N12" s="296">
        <v>0.45750000000000002</v>
      </c>
      <c r="O12" s="296">
        <v>0.45800000000000002</v>
      </c>
      <c r="P12" s="296">
        <v>0.45800000000000002</v>
      </c>
      <c r="Q12" s="296">
        <v>0.93</v>
      </c>
      <c r="R12" s="297">
        <v>37434</v>
      </c>
      <c r="S12" s="294">
        <v>0.17175570551442565</v>
      </c>
      <c r="T12" s="298">
        <v>0.49471404786586909</v>
      </c>
      <c r="U12" s="298">
        <v>-0.44083986852595597</v>
      </c>
      <c r="V12" s="299">
        <v>-1416984.5704940115</v>
      </c>
      <c r="W12" s="292">
        <v>-4081390.8948934199</v>
      </c>
      <c r="X12" s="292">
        <v>-444461.97955428326</v>
      </c>
      <c r="Y12" s="292"/>
      <c r="Z12" s="300">
        <v>-825</v>
      </c>
      <c r="AA12" s="301">
        <v>0</v>
      </c>
      <c r="AB12" s="302">
        <v>0.8322233169739286</v>
      </c>
      <c r="AC12" s="302">
        <v>-6.8658423650349105</v>
      </c>
      <c r="AD12" s="303">
        <v>104704.9754426587</v>
      </c>
      <c r="AE12" s="303">
        <v>3044.3218596012002</v>
      </c>
      <c r="AF12" s="303">
        <v>-34100.38486594554</v>
      </c>
      <c r="AG12" s="303">
        <v>608.4755416989459</v>
      </c>
      <c r="AH12" s="303">
        <v>-33529.177504427957</v>
      </c>
      <c r="AI12" s="302">
        <v>0.11203722965061846</v>
      </c>
      <c r="AJ12" s="304">
        <v>-1505007.3626398414</v>
      </c>
      <c r="AK12" s="304">
        <v>68685.207655212376</v>
      </c>
      <c r="AL12" s="304">
        <v>-504.17835065093823</v>
      </c>
      <c r="AM12" s="304">
        <v>609.15696411929093</v>
      </c>
      <c r="AN12" s="304">
        <v>17113.837029865012</v>
      </c>
      <c r="AO12" s="304">
        <v>3128.7672603046522</v>
      </c>
      <c r="AP12" s="304">
        <v>0</v>
      </c>
      <c r="AQ12" s="304">
        <v>0</v>
      </c>
      <c r="AR12" s="304">
        <v>88022.792145829881</v>
      </c>
      <c r="AS12" s="305"/>
      <c r="AT12" s="306">
        <v>1</v>
      </c>
      <c r="AU12" s="307">
        <v>18</v>
      </c>
      <c r="AV12" s="307">
        <v>25</v>
      </c>
      <c r="AW12" s="308">
        <v>3.2610000000000001</v>
      </c>
      <c r="AX12" s="308">
        <v>3.4910000000000001</v>
      </c>
      <c r="AY12" s="309">
        <v>2.32560254041334E-2</v>
      </c>
      <c r="AZ12" s="310">
        <v>0.46250000000000002</v>
      </c>
      <c r="BA12" s="310">
        <v>0.46300000000000002</v>
      </c>
      <c r="BB12" s="309">
        <v>0.93</v>
      </c>
      <c r="BC12" s="309">
        <v>0</v>
      </c>
      <c r="BD12" s="309">
        <v>0.46300000000000002</v>
      </c>
      <c r="BE12" s="311">
        <v>-1505007.3626398414</v>
      </c>
      <c r="BF12" s="307">
        <v>245</v>
      </c>
      <c r="BG12" s="307">
        <v>246</v>
      </c>
      <c r="BH12" s="308">
        <v>0.25</v>
      </c>
      <c r="BI12" s="312">
        <v>0.98469082651879347</v>
      </c>
      <c r="BJ12" s="312">
        <v>0.98429852741460133</v>
      </c>
      <c r="BK12" s="310" t="s">
        <v>209</v>
      </c>
      <c r="BL12" s="313" t="s">
        <v>210</v>
      </c>
      <c r="BM12" s="305"/>
      <c r="BN12" s="201"/>
      <c r="BO12" s="201"/>
      <c r="BP12" s="201"/>
      <c r="BQ12" s="201"/>
      <c r="BR12" s="201"/>
      <c r="BS12" s="201"/>
      <c r="BT12" s="201"/>
      <c r="BU12" s="201"/>
      <c r="BV12" s="201"/>
    </row>
    <row r="13" spans="1:83" x14ac:dyDescent="0.25">
      <c r="A13" s="289" t="s">
        <v>192</v>
      </c>
      <c r="B13" s="290" t="s">
        <v>193</v>
      </c>
      <c r="C13" s="289" t="s">
        <v>194</v>
      </c>
      <c r="D13" s="289" t="s">
        <v>94</v>
      </c>
      <c r="E13" s="290" t="s">
        <v>195</v>
      </c>
      <c r="F13" s="290" t="s">
        <v>196</v>
      </c>
      <c r="G13" s="291">
        <v>37469</v>
      </c>
      <c r="H13" s="292">
        <v>-8250000</v>
      </c>
      <c r="I13" s="293">
        <v>0.25</v>
      </c>
      <c r="J13" s="294">
        <v>3.2349999999999999</v>
      </c>
      <c r="K13" s="294">
        <v>0.23499999999999999</v>
      </c>
      <c r="L13" s="294">
        <v>3.47</v>
      </c>
      <c r="M13" s="295">
        <v>2.3032629028655102E-2</v>
      </c>
      <c r="N13" s="296">
        <v>0.45750000000000002</v>
      </c>
      <c r="O13" s="296">
        <v>0.45800000000000002</v>
      </c>
      <c r="P13" s="296">
        <v>0.45800000000000002</v>
      </c>
      <c r="Q13" s="296">
        <v>0.93</v>
      </c>
      <c r="R13" s="297">
        <v>37467</v>
      </c>
      <c r="S13" s="294">
        <v>0.19301702963939388</v>
      </c>
      <c r="T13" s="298">
        <v>0.50866576509054473</v>
      </c>
      <c r="U13" s="298">
        <v>-0.4513089990959987</v>
      </c>
      <c r="V13" s="299">
        <v>-1592390.4945249995</v>
      </c>
      <c r="W13" s="292">
        <v>-4196492.5619969936</v>
      </c>
      <c r="X13" s="292">
        <v>-473193.31945500476</v>
      </c>
      <c r="Y13" s="292"/>
      <c r="Z13" s="300">
        <v>-825</v>
      </c>
      <c r="AA13" s="301">
        <v>0</v>
      </c>
      <c r="AB13" s="302">
        <v>0.76743530048960917</v>
      </c>
      <c r="AC13" s="302">
        <v>-6.3313412290392757</v>
      </c>
      <c r="AD13" s="303">
        <v>112873.51862439293</v>
      </c>
      <c r="AE13" s="303">
        <v>2874.9990179668857</v>
      </c>
      <c r="AF13" s="303">
        <v>-36553.69071655038</v>
      </c>
      <c r="AG13" s="303">
        <v>457.32084890815497</v>
      </c>
      <c r="AH13" s="303">
        <v>-36136.319256403483</v>
      </c>
      <c r="AI13" s="302">
        <v>4.7522286973884498E-2</v>
      </c>
      <c r="AJ13" s="304">
        <v>-1686626.3012022141</v>
      </c>
      <c r="AK13" s="304">
        <v>73935.479113765527</v>
      </c>
      <c r="AL13" s="304">
        <v>-679.6125087570399</v>
      </c>
      <c r="AM13" s="304">
        <v>796.25593830086291</v>
      </c>
      <c r="AN13" s="304">
        <v>18446.177910181461</v>
      </c>
      <c r="AO13" s="304">
        <v>2955.3382380895782</v>
      </c>
      <c r="AP13" s="304">
        <v>0</v>
      </c>
      <c r="AQ13" s="304">
        <v>0</v>
      </c>
      <c r="AR13" s="304">
        <v>94235.806677214568</v>
      </c>
      <c r="AS13" s="305"/>
      <c r="AT13" s="306">
        <v>1</v>
      </c>
      <c r="AU13" s="307">
        <v>19</v>
      </c>
      <c r="AV13" s="307">
        <v>26</v>
      </c>
      <c r="AW13" s="308">
        <v>3.3010000000000002</v>
      </c>
      <c r="AX13" s="308">
        <v>3.5460000000000003</v>
      </c>
      <c r="AY13" s="309">
        <v>2.3560030131535299E-2</v>
      </c>
      <c r="AZ13" s="310">
        <v>0.46250000000000002</v>
      </c>
      <c r="BA13" s="310">
        <v>0.46300000000000002</v>
      </c>
      <c r="BB13" s="309">
        <v>0.93</v>
      </c>
      <c r="BC13" s="309">
        <v>0</v>
      </c>
      <c r="BD13" s="309">
        <v>0.46300000000000002</v>
      </c>
      <c r="BE13" s="311">
        <v>-1686626.3012022141</v>
      </c>
      <c r="BF13" s="307">
        <v>278</v>
      </c>
      <c r="BG13" s="307">
        <v>279</v>
      </c>
      <c r="BH13" s="308">
        <v>0.25</v>
      </c>
      <c r="BI13" s="312">
        <v>0.98259733066905852</v>
      </c>
      <c r="BJ13" s="312">
        <v>0.98214173083183287</v>
      </c>
      <c r="BK13" s="310" t="s">
        <v>211</v>
      </c>
      <c r="BL13" s="313" t="s">
        <v>212</v>
      </c>
      <c r="BM13" s="305"/>
      <c r="BN13" s="201"/>
      <c r="BO13" s="201"/>
      <c r="BP13" s="201"/>
      <c r="BQ13" s="201"/>
      <c r="BR13" s="201"/>
      <c r="BS13" s="201"/>
      <c r="BT13" s="201"/>
      <c r="BU13" s="201"/>
      <c r="BV13" s="201"/>
    </row>
    <row r="14" spans="1:83" x14ac:dyDescent="0.25">
      <c r="A14" s="289" t="s">
        <v>192</v>
      </c>
      <c r="B14" s="290" t="s">
        <v>193</v>
      </c>
      <c r="C14" s="289" t="s">
        <v>194</v>
      </c>
      <c r="D14" s="289" t="s">
        <v>94</v>
      </c>
      <c r="E14" s="290" t="s">
        <v>195</v>
      </c>
      <c r="F14" s="290" t="s">
        <v>196</v>
      </c>
      <c r="G14" s="291">
        <v>37500</v>
      </c>
      <c r="H14" s="292">
        <v>-8250000</v>
      </c>
      <c r="I14" s="293">
        <v>0.25</v>
      </c>
      <c r="J14" s="294">
        <v>3.2349999999999999</v>
      </c>
      <c r="K14" s="294">
        <v>0.22</v>
      </c>
      <c r="L14" s="294">
        <v>3.4550000000000001</v>
      </c>
      <c r="M14" s="295">
        <v>2.3306543548447901E-2</v>
      </c>
      <c r="N14" s="296">
        <v>0.45750000000000002</v>
      </c>
      <c r="O14" s="296">
        <v>0.45800000000000002</v>
      </c>
      <c r="P14" s="296">
        <v>0.45800000000000002</v>
      </c>
      <c r="Q14" s="296">
        <v>0.93</v>
      </c>
      <c r="R14" s="297">
        <v>37497</v>
      </c>
      <c r="S14" s="294">
        <v>0.19555863024941925</v>
      </c>
      <c r="T14" s="298">
        <v>0.49874306372271188</v>
      </c>
      <c r="U14" s="298">
        <v>-0.43857714689557692</v>
      </c>
      <c r="V14" s="299">
        <v>-1613358.6995577088</v>
      </c>
      <c r="W14" s="292">
        <v>-4114630.2757123732</v>
      </c>
      <c r="X14" s="292">
        <v>-496368.8138238634</v>
      </c>
      <c r="Y14" s="292"/>
      <c r="Z14" s="300">
        <v>-825</v>
      </c>
      <c r="AA14" s="301">
        <v>0</v>
      </c>
      <c r="AB14" s="302">
        <v>0.73116195494289715</v>
      </c>
      <c r="AC14" s="302">
        <v>-6.0320861282789018</v>
      </c>
      <c r="AD14" s="303">
        <v>118120.18961691501</v>
      </c>
      <c r="AE14" s="303">
        <v>2708.9739215112327</v>
      </c>
      <c r="AF14" s="303">
        <v>-38241.994768880249</v>
      </c>
      <c r="AG14" s="303">
        <v>447.68450967982847</v>
      </c>
      <c r="AH14" s="303">
        <v>-37836.104789002471</v>
      </c>
      <c r="AI14" s="302">
        <v>9.5927199259357998E-2</v>
      </c>
      <c r="AJ14" s="304">
        <v>-1708889.6818525877</v>
      </c>
      <c r="AK14" s="304">
        <v>74669.804171269992</v>
      </c>
      <c r="AL14" s="304">
        <v>-806.16293663741089</v>
      </c>
      <c r="AM14" s="304">
        <v>931.1620363839902</v>
      </c>
      <c r="AN14" s="304">
        <v>19319.850457998691</v>
      </c>
      <c r="AO14" s="304">
        <v>2785.7964933319017</v>
      </c>
      <c r="AP14" s="304">
        <v>0</v>
      </c>
      <c r="AQ14" s="304">
        <v>0</v>
      </c>
      <c r="AR14" s="304">
        <v>95530.982294878922</v>
      </c>
      <c r="AS14" s="305"/>
      <c r="AT14" s="306">
        <v>1</v>
      </c>
      <c r="AU14" s="307">
        <v>20</v>
      </c>
      <c r="AV14" s="307">
        <v>27</v>
      </c>
      <c r="AW14" s="308">
        <v>3.3010000000000002</v>
      </c>
      <c r="AX14" s="308">
        <v>3.5310000000000001</v>
      </c>
      <c r="AY14" s="309">
        <v>2.3864034890197498E-2</v>
      </c>
      <c r="AZ14" s="310">
        <v>0.46250000000000002</v>
      </c>
      <c r="BA14" s="310">
        <v>0.46300000000000002</v>
      </c>
      <c r="BB14" s="309">
        <v>0.93</v>
      </c>
      <c r="BC14" s="309">
        <v>0</v>
      </c>
      <c r="BD14" s="309">
        <v>0.46300000000000002</v>
      </c>
      <c r="BE14" s="311">
        <v>-1708889.6818525877</v>
      </c>
      <c r="BF14" s="307">
        <v>308</v>
      </c>
      <c r="BG14" s="307">
        <v>309</v>
      </c>
      <c r="BH14" s="308">
        <v>0.25</v>
      </c>
      <c r="BI14" s="312">
        <v>0.98046324349898084</v>
      </c>
      <c r="BJ14" s="312">
        <v>0.97993971309396832</v>
      </c>
      <c r="BK14" s="310" t="s">
        <v>213</v>
      </c>
      <c r="BL14" s="313" t="s">
        <v>214</v>
      </c>
      <c r="BM14" s="305"/>
      <c r="BN14" s="201"/>
      <c r="BO14" s="201"/>
      <c r="BP14" s="201"/>
      <c r="BQ14" s="201"/>
      <c r="BR14" s="201"/>
      <c r="BS14" s="201"/>
      <c r="BT14" s="201"/>
      <c r="BU14" s="201"/>
      <c r="BV14" s="201"/>
    </row>
    <row r="15" spans="1:83" x14ac:dyDescent="0.25">
      <c r="A15" s="289" t="s">
        <v>192</v>
      </c>
      <c r="B15" s="290" t="s">
        <v>193</v>
      </c>
      <c r="C15" s="289" t="s">
        <v>194</v>
      </c>
      <c r="D15" s="289" t="s">
        <v>94</v>
      </c>
      <c r="E15" s="290" t="s">
        <v>195</v>
      </c>
      <c r="F15" s="290" t="s">
        <v>196</v>
      </c>
      <c r="G15" s="291">
        <v>37530</v>
      </c>
      <c r="H15" s="292">
        <v>-8250000</v>
      </c>
      <c r="I15" s="293">
        <v>0.25</v>
      </c>
      <c r="J15" s="294">
        <v>3.2650000000000001</v>
      </c>
      <c r="K15" s="294">
        <v>0.105</v>
      </c>
      <c r="L15" s="294">
        <v>3.37</v>
      </c>
      <c r="M15" s="295">
        <v>2.3643248381814499E-2</v>
      </c>
      <c r="N15" s="296">
        <v>0.45750000000000002</v>
      </c>
      <c r="O15" s="296">
        <v>0.45800000000000002</v>
      </c>
      <c r="P15" s="296">
        <v>0.45800000000000002</v>
      </c>
      <c r="Q15" s="296">
        <v>0.93</v>
      </c>
      <c r="R15" s="297">
        <v>37526</v>
      </c>
      <c r="S15" s="294">
        <v>0.1537479120226321</v>
      </c>
      <c r="T15" s="298">
        <v>0.41970168970163074</v>
      </c>
      <c r="U15" s="298">
        <v>-0.35887358206679931</v>
      </c>
      <c r="V15" s="299">
        <v>-1268420.2741867148</v>
      </c>
      <c r="W15" s="292">
        <v>-3462538.9400384538</v>
      </c>
      <c r="X15" s="292">
        <v>-501831.88798735931</v>
      </c>
      <c r="Y15" s="292"/>
      <c r="Z15" s="300">
        <v>-825</v>
      </c>
      <c r="AA15" s="301">
        <v>0</v>
      </c>
      <c r="AB15" s="302">
        <v>0.70383280992810104</v>
      </c>
      <c r="AC15" s="302">
        <v>-5.8066206819068329</v>
      </c>
      <c r="AD15" s="303">
        <v>118457.80844821806</v>
      </c>
      <c r="AE15" s="303">
        <v>2493.9713643305108</v>
      </c>
      <c r="AF15" s="303">
        <v>-38131.046022717223</v>
      </c>
      <c r="AG15" s="303">
        <v>246.46258779214676</v>
      </c>
      <c r="AH15" s="303">
        <v>-37926.25670926684</v>
      </c>
      <c r="AI15" s="302">
        <v>0.46078759497008814</v>
      </c>
      <c r="AJ15" s="304">
        <v>-1340265.5134225436</v>
      </c>
      <c r="AK15" s="304">
        <v>51084.774662459502</v>
      </c>
      <c r="AL15" s="304">
        <v>-736.33358316775411</v>
      </c>
      <c r="AM15" s="304">
        <v>840.78305643936619</v>
      </c>
      <c r="AN15" s="304">
        <v>19410.06507215905</v>
      </c>
      <c r="AO15" s="304">
        <v>2572.817525972845</v>
      </c>
      <c r="AP15" s="304">
        <v>0</v>
      </c>
      <c r="AQ15" s="304">
        <v>0</v>
      </c>
      <c r="AR15" s="304">
        <v>71845.239235828863</v>
      </c>
      <c r="AS15" s="305"/>
      <c r="AT15" s="306">
        <v>1</v>
      </c>
      <c r="AU15" s="307">
        <v>21</v>
      </c>
      <c r="AV15" s="307">
        <v>28</v>
      </c>
      <c r="AW15" s="308">
        <v>3.331</v>
      </c>
      <c r="AX15" s="308">
        <v>3.4409999999999998</v>
      </c>
      <c r="AY15" s="309">
        <v>2.4236772016890999E-2</v>
      </c>
      <c r="AZ15" s="310">
        <v>0.46250000000000002</v>
      </c>
      <c r="BA15" s="310">
        <v>0.46300000000000002</v>
      </c>
      <c r="BB15" s="309">
        <v>0.93</v>
      </c>
      <c r="BC15" s="309">
        <v>0</v>
      </c>
      <c r="BD15" s="309">
        <v>0.46300000000000002</v>
      </c>
      <c r="BE15" s="311">
        <v>-1340265.5134225436</v>
      </c>
      <c r="BF15" s="307">
        <v>337</v>
      </c>
      <c r="BG15" s="307">
        <v>338</v>
      </c>
      <c r="BH15" s="308">
        <v>0.25</v>
      </c>
      <c r="BI15" s="312">
        <v>0.97829496728116694</v>
      </c>
      <c r="BJ15" s="312">
        <v>0.97769494649164024</v>
      </c>
      <c r="BK15" s="310" t="s">
        <v>215</v>
      </c>
      <c r="BL15" s="313" t="s">
        <v>216</v>
      </c>
      <c r="BM15" s="305"/>
      <c r="BN15" s="201"/>
      <c r="BO15" s="201"/>
      <c r="BP15" s="201"/>
      <c r="BQ15" s="201"/>
      <c r="BR15" s="201"/>
      <c r="BS15" s="201"/>
      <c r="BT15" s="201"/>
      <c r="BU15" s="201"/>
      <c r="BV15" s="201"/>
    </row>
    <row r="16" spans="1:83" x14ac:dyDescent="0.25">
      <c r="A16" s="289" t="s">
        <v>192</v>
      </c>
      <c r="B16" s="290" t="s">
        <v>193</v>
      </c>
      <c r="C16" s="289" t="s">
        <v>194</v>
      </c>
      <c r="D16" s="289" t="s">
        <v>94</v>
      </c>
      <c r="E16" s="290" t="s">
        <v>195</v>
      </c>
      <c r="F16" s="290" t="s">
        <v>196</v>
      </c>
      <c r="G16" s="291">
        <v>37561</v>
      </c>
      <c r="H16" s="292">
        <v>-8250000</v>
      </c>
      <c r="I16" s="293">
        <v>0.25</v>
      </c>
      <c r="J16" s="294">
        <v>3.4329999999999998</v>
      </c>
      <c r="K16" s="294">
        <v>0.14000000000000001</v>
      </c>
      <c r="L16" s="294">
        <v>3.573</v>
      </c>
      <c r="M16" s="295">
        <v>2.40928657319892E-2</v>
      </c>
      <c r="N16" s="296">
        <v>0.45500000000000002</v>
      </c>
      <c r="O16" s="296">
        <v>0.45500000000000002</v>
      </c>
      <c r="P16" s="296">
        <v>0.45500000000000002</v>
      </c>
      <c r="Q16" s="296">
        <v>0.93</v>
      </c>
      <c r="R16" s="297">
        <v>37559</v>
      </c>
      <c r="S16" s="294">
        <v>0.18800285306561301</v>
      </c>
      <c r="T16" s="298">
        <v>0.4508353789902026</v>
      </c>
      <c r="U16" s="298">
        <v>-0.38643364180978812</v>
      </c>
      <c r="V16" s="299">
        <v>-1551023.5377913073</v>
      </c>
      <c r="W16" s="292">
        <v>-3719391.8766691713</v>
      </c>
      <c r="X16" s="292">
        <v>-531314.33173841948</v>
      </c>
      <c r="Y16" s="292"/>
      <c r="Z16" s="300">
        <v>-825</v>
      </c>
      <c r="AA16" s="301">
        <v>0</v>
      </c>
      <c r="AB16" s="302">
        <v>0.64339427008878203</v>
      </c>
      <c r="AC16" s="302">
        <v>-5.3080027282324513</v>
      </c>
      <c r="AD16" s="303">
        <v>132484.17514600241</v>
      </c>
      <c r="AE16" s="303">
        <v>2510.5175020569627</v>
      </c>
      <c r="AF16" s="303">
        <v>-41542.481804670155</v>
      </c>
      <c r="AG16" s="303">
        <v>-923.90250998298643</v>
      </c>
      <c r="AH16" s="303">
        <v>-42466.384314653144</v>
      </c>
      <c r="AI16" s="302">
        <v>0.30600145245391364</v>
      </c>
      <c r="AJ16" s="304">
        <v>-1631802.8514754479</v>
      </c>
      <c r="AK16" s="304">
        <v>58031.167935332051</v>
      </c>
      <c r="AL16" s="304">
        <v>-1062.098503646208</v>
      </c>
      <c r="AM16" s="304">
        <v>1190.7038016365841</v>
      </c>
      <c r="AN16" s="304">
        <v>21734.979034726042</v>
      </c>
      <c r="AO16" s="304">
        <v>2586.7930641309358</v>
      </c>
      <c r="AP16" s="304">
        <v>0</v>
      </c>
      <c r="AQ16" s="304">
        <v>0</v>
      </c>
      <c r="AR16" s="304">
        <v>80779.313684140565</v>
      </c>
      <c r="AS16" s="305"/>
      <c r="AT16" s="306">
        <v>1</v>
      </c>
      <c r="AU16" s="307">
        <v>22</v>
      </c>
      <c r="AV16" s="307">
        <v>29</v>
      </c>
      <c r="AW16" s="308">
        <v>3.5059999999999998</v>
      </c>
      <c r="AX16" s="308">
        <v>3.6509999999999998</v>
      </c>
      <c r="AY16" s="309">
        <v>2.47334438910678E-2</v>
      </c>
      <c r="AZ16" s="310">
        <v>0.46</v>
      </c>
      <c r="BA16" s="310">
        <v>0.46</v>
      </c>
      <c r="BB16" s="309">
        <v>0.93</v>
      </c>
      <c r="BC16" s="309">
        <v>0</v>
      </c>
      <c r="BD16" s="309">
        <v>0.46</v>
      </c>
      <c r="BE16" s="311">
        <v>-1631802.8514754479</v>
      </c>
      <c r="BF16" s="307">
        <v>370</v>
      </c>
      <c r="BG16" s="307">
        <v>371</v>
      </c>
      <c r="BH16" s="308">
        <v>0.25</v>
      </c>
      <c r="BI16" s="312">
        <v>0.97590357677799577</v>
      </c>
      <c r="BJ16" s="312">
        <v>0.97520912719804953</v>
      </c>
      <c r="BK16" s="310" t="s">
        <v>217</v>
      </c>
      <c r="BL16" s="313" t="s">
        <v>218</v>
      </c>
      <c r="BM16" s="305"/>
      <c r="BN16" s="201"/>
      <c r="BO16" s="201"/>
      <c r="BP16" s="201"/>
      <c r="BQ16" s="201"/>
      <c r="BR16" s="201"/>
      <c r="BS16" s="201"/>
      <c r="BT16" s="201"/>
      <c r="BU16" s="201"/>
      <c r="BV16" s="201"/>
    </row>
    <row r="17" spans="1:74" x14ac:dyDescent="0.25">
      <c r="A17" s="289" t="s">
        <v>192</v>
      </c>
      <c r="B17" s="290" t="s">
        <v>193</v>
      </c>
      <c r="C17" s="289" t="s">
        <v>194</v>
      </c>
      <c r="D17" s="289" t="s">
        <v>94</v>
      </c>
      <c r="E17" s="290" t="s">
        <v>195</v>
      </c>
      <c r="F17" s="290" t="s">
        <v>196</v>
      </c>
      <c r="G17" s="291">
        <v>37591</v>
      </c>
      <c r="H17" s="292">
        <v>-8250000</v>
      </c>
      <c r="I17" s="293">
        <v>0.25</v>
      </c>
      <c r="J17" s="294">
        <v>3.6219999999999999</v>
      </c>
      <c r="K17" s="294">
        <v>0.14000000000000001</v>
      </c>
      <c r="L17" s="294">
        <v>3.762</v>
      </c>
      <c r="M17" s="295">
        <v>2.4527979361762799E-2</v>
      </c>
      <c r="N17" s="296">
        <v>0.45250000000000001</v>
      </c>
      <c r="O17" s="296">
        <v>0.45300000000000001</v>
      </c>
      <c r="P17" s="296">
        <v>0.45300000000000001</v>
      </c>
      <c r="Q17" s="296">
        <v>0.93</v>
      </c>
      <c r="R17" s="297">
        <v>37588</v>
      </c>
      <c r="S17" s="294">
        <v>0.20805042008316701</v>
      </c>
      <c r="T17" s="298">
        <v>0.45647895497580332</v>
      </c>
      <c r="U17" s="298">
        <v>-0.38982248785661228</v>
      </c>
      <c r="V17" s="299">
        <v>-1716415.9656861278</v>
      </c>
      <c r="W17" s="292">
        <v>-3765951.3785503772</v>
      </c>
      <c r="X17" s="292">
        <v>-549915.85373332608</v>
      </c>
      <c r="Y17" s="292"/>
      <c r="Z17" s="300">
        <v>-825</v>
      </c>
      <c r="AA17" s="301">
        <v>0</v>
      </c>
      <c r="AB17" s="302">
        <v>0.59051051095662388</v>
      </c>
      <c r="AC17" s="302">
        <v>-4.8717117153921468</v>
      </c>
      <c r="AD17" s="303">
        <v>144432.94300930086</v>
      </c>
      <c r="AE17" s="303">
        <v>2519.8152327308349</v>
      </c>
      <c r="AF17" s="303">
        <v>-44675.07638869081</v>
      </c>
      <c r="AG17" s="303">
        <v>-1715.7126357426087</v>
      </c>
      <c r="AH17" s="303">
        <v>-46440.153749724792</v>
      </c>
      <c r="AI17" s="302">
        <v>0.26772772084006746</v>
      </c>
      <c r="AJ17" s="304">
        <v>-1806595.0403852926</v>
      </c>
      <c r="AK17" s="304">
        <v>65743.814988341648</v>
      </c>
      <c r="AL17" s="304">
        <v>-1357.971160287736</v>
      </c>
      <c r="AM17" s="304">
        <v>1512.0566091502551</v>
      </c>
      <c r="AN17" s="304">
        <v>23775.021537137916</v>
      </c>
      <c r="AO17" s="304">
        <v>2599.6120593063533</v>
      </c>
      <c r="AP17" s="304">
        <v>0</v>
      </c>
      <c r="AQ17" s="304">
        <v>0</v>
      </c>
      <c r="AR17" s="304">
        <v>90179.074699164834</v>
      </c>
      <c r="AS17" s="305"/>
      <c r="AT17" s="306">
        <v>1</v>
      </c>
      <c r="AU17" s="307">
        <v>23</v>
      </c>
      <c r="AV17" s="307">
        <v>30</v>
      </c>
      <c r="AW17" s="308">
        <v>3.706</v>
      </c>
      <c r="AX17" s="308">
        <v>3.851</v>
      </c>
      <c r="AY17" s="309">
        <v>2.5214094171284201E-2</v>
      </c>
      <c r="AZ17" s="310">
        <v>0.45750000000000002</v>
      </c>
      <c r="BA17" s="310">
        <v>0.45800000000000002</v>
      </c>
      <c r="BB17" s="309">
        <v>0.93</v>
      </c>
      <c r="BC17" s="309">
        <v>0</v>
      </c>
      <c r="BD17" s="309">
        <v>0.45800000000000002</v>
      </c>
      <c r="BE17" s="311">
        <v>-1806595.0403852926</v>
      </c>
      <c r="BF17" s="307">
        <v>399</v>
      </c>
      <c r="BG17" s="307">
        <v>400</v>
      </c>
      <c r="BH17" s="308">
        <v>0.25</v>
      </c>
      <c r="BI17" s="312">
        <v>0.97352508231543466</v>
      </c>
      <c r="BJ17" s="312">
        <v>0.97273249374354609</v>
      </c>
      <c r="BK17" s="310" t="s">
        <v>219</v>
      </c>
      <c r="BL17" s="313" t="s">
        <v>220</v>
      </c>
      <c r="BM17" s="305"/>
      <c r="BN17" s="201"/>
      <c r="BO17" s="201"/>
      <c r="BP17" s="201"/>
      <c r="BQ17" s="201"/>
      <c r="BR17" s="201"/>
      <c r="BS17" s="201"/>
      <c r="BT17" s="201"/>
      <c r="BU17" s="201"/>
      <c r="BV17" s="201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F528"/>
  <sheetViews>
    <sheetView tabSelected="1" workbookViewId="0">
      <selection activeCell="B5" sqref="B5"/>
    </sheetView>
  </sheetViews>
  <sheetFormatPr defaultRowHeight="13.2" x14ac:dyDescent="0.25"/>
  <cols>
    <col min="1" max="1" width="9.6640625" style="55" customWidth="1"/>
    <col min="2" max="3" width="10.6640625" style="55" customWidth="1"/>
    <col min="4" max="4" width="12.6640625" style="55" customWidth="1"/>
    <col min="5" max="5" width="15.6640625" style="55" bestFit="1" customWidth="1"/>
    <col min="6" max="6" width="15" style="55" bestFit="1" customWidth="1"/>
    <col min="7" max="7" width="15" style="55" customWidth="1"/>
    <col min="8" max="8" width="15.6640625" style="55" bestFit="1" customWidth="1"/>
    <col min="9" max="9" width="13" style="55" bestFit="1" customWidth="1"/>
    <col min="10" max="41" width="9.6640625" style="55" customWidth="1"/>
    <col min="42" max="50" width="12.6640625" style="55" customWidth="1"/>
    <col min="51" max="51" width="8.6640625" style="55" customWidth="1"/>
    <col min="52" max="53" width="10.6640625" style="55" customWidth="1"/>
    <col min="54" max="54" width="8.6640625" style="55" customWidth="1"/>
    <col min="55" max="55" width="12" style="55" customWidth="1"/>
    <col min="56" max="82" width="9.109375" style="55" customWidth="1"/>
  </cols>
  <sheetData>
    <row r="1" spans="1:71" ht="21" x14ac:dyDescent="0.4">
      <c r="A1" s="55" t="s">
        <v>288</v>
      </c>
      <c r="B1" s="54" t="s">
        <v>145</v>
      </c>
      <c r="D1" s="55" t="s">
        <v>293</v>
      </c>
      <c r="E1" s="190">
        <f ca="1">'opt calc'!AD31</f>
        <v>21</v>
      </c>
      <c r="F1"/>
      <c r="G1" s="387"/>
      <c r="H1"/>
      <c r="I1"/>
      <c r="K1" s="193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 s="144"/>
      <c r="AZ1" s="57"/>
      <c r="BA1" s="54" t="s">
        <v>18</v>
      </c>
      <c r="BB1" s="58"/>
      <c r="BC1" s="58"/>
      <c r="BD1" s="58"/>
    </row>
    <row r="2" spans="1:71" ht="21" x14ac:dyDescent="0.4">
      <c r="A2" s="54" t="s">
        <v>22</v>
      </c>
      <c r="B2" s="55" t="s">
        <v>289</v>
      </c>
      <c r="D2" s="190" t="s">
        <v>292</v>
      </c>
      <c r="E2" s="387"/>
      <c r="F2"/>
      <c r="G2"/>
      <c r="I2" s="59"/>
      <c r="K2" s="19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144"/>
      <c r="AZ2" s="54"/>
      <c r="BA2" s="54"/>
      <c r="BB2" s="60"/>
      <c r="BC2" s="60"/>
      <c r="BD2" s="60"/>
    </row>
    <row r="3" spans="1:71" ht="21" x14ac:dyDescent="0.4">
      <c r="A3" s="54"/>
      <c r="D3" s="190"/>
      <c r="E3" s="387"/>
      <c r="F3"/>
      <c r="G3"/>
      <c r="I3" s="59"/>
      <c r="K3" s="19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144"/>
      <c r="AZ3" s="54"/>
      <c r="BA3" s="54"/>
      <c r="BB3" s="60"/>
      <c r="BC3" s="60"/>
      <c r="BD3" s="60"/>
    </row>
    <row r="4" spans="1:71" x14ac:dyDescent="0.25">
      <c r="A4" s="54" t="s">
        <v>156</v>
      </c>
      <c r="B4" s="140">
        <f ca="1">B8+B9</f>
        <v>2.4855140186915885</v>
      </c>
      <c r="C4" s="140">
        <f ca="1">C8+C9</f>
        <v>2.4855140186915885</v>
      </c>
      <c r="D4" s="140">
        <f ca="1">D8+D9</f>
        <v>2.4855140186915885</v>
      </c>
      <c r="E4" s="140">
        <f ca="1">E8+E9</f>
        <v>2.4855140186915885</v>
      </c>
      <c r="F4"/>
      <c r="G4"/>
      <c r="H4"/>
      <c r="I4" t="s">
        <v>19</v>
      </c>
      <c r="J4" t="s">
        <v>23</v>
      </c>
      <c r="K4" t="s">
        <v>287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Y4" s="121">
        <v>1.5</v>
      </c>
      <c r="BB4" s="60"/>
      <c r="BC4" s="60"/>
      <c r="BD4" s="60"/>
    </row>
    <row r="5" spans="1:71" x14ac:dyDescent="0.25">
      <c r="A5" s="60" t="s">
        <v>150</v>
      </c>
      <c r="B5" s="144" t="s">
        <v>191</v>
      </c>
      <c r="C5" s="144" t="s">
        <v>191</v>
      </c>
      <c r="D5" s="144" t="s">
        <v>191</v>
      </c>
      <c r="E5" s="144" t="s">
        <v>191</v>
      </c>
      <c r="F5"/>
      <c r="G5"/>
      <c r="H5" s="55" t="s">
        <v>282</v>
      </c>
      <c r="I5" s="158">
        <v>2.23</v>
      </c>
      <c r="J5" s="55">
        <f ca="1">D23</f>
        <v>2.2749999999999999</v>
      </c>
      <c r="K5" s="157">
        <f ca="1">I5-J5</f>
        <v>-4.4999999999999929E-2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144"/>
      <c r="AY5" s="121"/>
      <c r="BB5" s="60"/>
      <c r="BC5" s="60">
        <f>AVERAGE(BC8:BC11)</f>
        <v>0.52625</v>
      </c>
      <c r="BD5" s="60"/>
    </row>
    <row r="6" spans="1:71" ht="16.2" thickBot="1" x14ac:dyDescent="0.35">
      <c r="A6" s="69" t="s">
        <v>151</v>
      </c>
      <c r="B6" s="258">
        <v>37347</v>
      </c>
      <c r="C6" s="258">
        <v>37347</v>
      </c>
      <c r="D6" s="258">
        <v>37347</v>
      </c>
      <c r="E6" s="258">
        <v>37347</v>
      </c>
      <c r="F6"/>
      <c r="G6"/>
      <c r="H6" s="54" t="s">
        <v>283</v>
      </c>
      <c r="I6" s="158">
        <v>2.23</v>
      </c>
      <c r="J6" s="55">
        <f ca="1">D24</f>
        <v>2.2650000000000001</v>
      </c>
      <c r="K6" s="157">
        <f t="shared" ref="K6:K12" ca="1" si="0">I6-J6</f>
        <v>-3.5000000000000142E-2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s="260"/>
      <c r="AV6" s="164"/>
      <c r="AW6" s="164"/>
      <c r="AX6" s="164"/>
      <c r="AY6" s="164">
        <v>180</v>
      </c>
      <c r="BB6" s="60"/>
      <c r="BC6" s="60"/>
      <c r="BD6" s="60"/>
    </row>
    <row r="7" spans="1:71" ht="16.8" thickTop="1" thickBot="1" x14ac:dyDescent="0.35">
      <c r="A7" s="69" t="s">
        <v>152</v>
      </c>
      <c r="B7" s="258">
        <v>37530</v>
      </c>
      <c r="C7" s="258">
        <v>37530</v>
      </c>
      <c r="D7" s="258">
        <v>37530</v>
      </c>
      <c r="E7" s="258">
        <v>37530</v>
      </c>
      <c r="F7"/>
      <c r="G7"/>
      <c r="H7" s="55" t="s">
        <v>286</v>
      </c>
      <c r="I7" s="55">
        <v>2.4</v>
      </c>
      <c r="J7" s="55">
        <f ca="1">AVERAGE(D25:D31)</f>
        <v>2.459857142857143</v>
      </c>
      <c r="K7" s="157">
        <f t="shared" ca="1" si="0"/>
        <v>-5.9857142857143053E-2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260"/>
      <c r="AV7" s="165" t="s">
        <v>171</v>
      </c>
      <c r="AW7" s="75"/>
      <c r="AX7" s="75"/>
      <c r="AY7" s="265">
        <v>120</v>
      </c>
      <c r="BB7" s="60"/>
      <c r="BC7" s="60"/>
      <c r="BD7" s="60"/>
      <c r="BF7" s="53">
        <v>3.19</v>
      </c>
      <c r="BG7" s="55">
        <v>0.25</v>
      </c>
      <c r="BH7" s="55">
        <f>BF7+BG7</f>
        <v>3.44</v>
      </c>
    </row>
    <row r="8" spans="1:71" ht="18" thickTop="1" x14ac:dyDescent="0.3">
      <c r="A8" s="69" t="s">
        <v>53</v>
      </c>
      <c r="B8" s="187">
        <f ca="1">'opt calc'!$B9</f>
        <v>2.4855140186915885</v>
      </c>
      <c r="C8" s="187">
        <f ca="1">'opt calc'!D9</f>
        <v>2.4855140186915885</v>
      </c>
      <c r="D8" s="187">
        <f ca="1">'opt calc'!$F9</f>
        <v>2.4855140186915885</v>
      </c>
      <c r="E8" s="187">
        <f ca="1">'opt calc'!$H9</f>
        <v>2.4855140186915885</v>
      </c>
      <c r="F8"/>
      <c r="G8"/>
      <c r="H8" s="386" t="s">
        <v>284</v>
      </c>
      <c r="I8">
        <v>2.5</v>
      </c>
      <c r="J8">
        <f ca="1">D32</f>
        <v>2.8180000000000001</v>
      </c>
      <c r="K8" s="157">
        <f t="shared" ca="1" si="0"/>
        <v>-0.31800000000000006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260"/>
      <c r="AV8" s="164" t="s">
        <v>170</v>
      </c>
      <c r="AW8" s="75"/>
      <c r="AX8" s="75"/>
      <c r="AY8" s="266">
        <v>10</v>
      </c>
      <c r="BB8" s="60"/>
      <c r="BC8" s="60">
        <v>0.51</v>
      </c>
      <c r="BD8" s="60"/>
      <c r="BF8" s="53">
        <v>3.33</v>
      </c>
      <c r="BG8" s="55">
        <v>0.2</v>
      </c>
      <c r="BH8" s="55">
        <f>BF8+BG8</f>
        <v>3.5300000000000002</v>
      </c>
      <c r="BO8" s="52" t="s">
        <v>159</v>
      </c>
      <c r="BQ8" s="52">
        <v>0</v>
      </c>
      <c r="BR8" s="52" t="s">
        <v>281</v>
      </c>
      <c r="BS8" s="383" t="s">
        <v>191</v>
      </c>
    </row>
    <row r="9" spans="1:71" ht="13.8" thickBot="1" x14ac:dyDescent="0.3">
      <c r="A9" s="60" t="s">
        <v>35</v>
      </c>
      <c r="B9" s="184">
        <f ca="1">'opt calc'!$B11</f>
        <v>0</v>
      </c>
      <c r="C9" s="184">
        <f ca="1">'opt calc'!$D11</f>
        <v>0</v>
      </c>
      <c r="D9" s="184">
        <f ca="1">'opt calc'!$F11</f>
        <v>0</v>
      </c>
      <c r="E9" s="184">
        <f ca="1">'opt calc'!H11</f>
        <v>0</v>
      </c>
      <c r="F9"/>
      <c r="G9"/>
      <c r="H9" s="386" t="s">
        <v>285</v>
      </c>
      <c r="I9">
        <v>2.5</v>
      </c>
      <c r="J9">
        <f ca="1">D33</f>
        <v>3.048</v>
      </c>
      <c r="K9" s="157">
        <f t="shared" ca="1" si="0"/>
        <v>-0.54800000000000004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260"/>
      <c r="AV9" s="165" t="s">
        <v>166</v>
      </c>
      <c r="AW9" s="75"/>
      <c r="AX9" s="75"/>
      <c r="AY9" s="267">
        <v>0.25</v>
      </c>
      <c r="BB9" s="60"/>
      <c r="BC9" s="60">
        <v>0.56499999999999995</v>
      </c>
      <c r="BD9" s="60"/>
      <c r="BF9" s="53">
        <v>3.3149999999999999</v>
      </c>
      <c r="BG9" s="55">
        <v>0.21</v>
      </c>
      <c r="BH9" s="55">
        <f>BF9+BG9</f>
        <v>3.5249999999999999</v>
      </c>
    </row>
    <row r="10" spans="1:71" ht="13.8" thickTop="1" x14ac:dyDescent="0.25">
      <c r="A10" s="140" t="s">
        <v>185</v>
      </c>
      <c r="B10" s="186">
        <v>0</v>
      </c>
      <c r="C10" s="186">
        <v>0</v>
      </c>
      <c r="D10" s="186">
        <v>0</v>
      </c>
      <c r="E10" s="186">
        <v>0</v>
      </c>
      <c r="F10"/>
      <c r="G10"/>
      <c r="H10" s="54" t="s">
        <v>115</v>
      </c>
      <c r="I10" s="158">
        <v>3.06</v>
      </c>
      <c r="J10" s="55">
        <f ca="1">AVERAGE(D34:D45)</f>
        <v>3.0757499999999998</v>
      </c>
      <c r="K10" s="157">
        <f t="shared" ca="1" si="0"/>
        <v>-1.5749999999999709E-2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260"/>
      <c r="AV10" s="164" t="s">
        <v>167</v>
      </c>
      <c r="AW10" s="75"/>
      <c r="AX10" s="75"/>
      <c r="AY10" s="194">
        <f>AY9*AY7</f>
        <v>30</v>
      </c>
      <c r="BB10" s="60"/>
      <c r="BC10" s="60">
        <v>0.56499999999999995</v>
      </c>
      <c r="BD10" s="60"/>
      <c r="BF10" s="53">
        <v>3.25</v>
      </c>
      <c r="BG10" s="55">
        <v>0.21</v>
      </c>
      <c r="BH10" s="55">
        <f>BF10+BG10</f>
        <v>3.46</v>
      </c>
    </row>
    <row r="11" spans="1:71" ht="13.8" thickBot="1" x14ac:dyDescent="0.3">
      <c r="A11" s="55" t="s">
        <v>52</v>
      </c>
      <c r="B11" s="183">
        <v>0</v>
      </c>
      <c r="C11" s="183">
        <v>0</v>
      </c>
      <c r="D11" s="183">
        <v>0</v>
      </c>
      <c r="E11" s="183">
        <v>0</v>
      </c>
      <c r="F11"/>
      <c r="G11"/>
      <c r="H11" s="54" t="s">
        <v>116</v>
      </c>
      <c r="I11" s="158">
        <v>3.18</v>
      </c>
      <c r="J11" s="55">
        <f ca="1">AVERAGE(D46:D57)</f>
        <v>3.2045000000000008</v>
      </c>
      <c r="K11" s="157">
        <f t="shared" ca="1" si="0"/>
        <v>-2.4500000000000632E-2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260"/>
      <c r="AV11" s="164" t="s">
        <v>172</v>
      </c>
      <c r="AW11" s="75"/>
      <c r="AX11" s="75"/>
      <c r="AY11" s="264">
        <f>AY8/AY7</f>
        <v>8.3333333333333329E-2</v>
      </c>
      <c r="BB11" s="60"/>
      <c r="BC11" s="60">
        <v>0.46500000000000002</v>
      </c>
      <c r="BD11" s="60"/>
    </row>
    <row r="12" spans="1:71" ht="14.4" thickTop="1" thickBot="1" x14ac:dyDescent="0.3">
      <c r="A12" s="55" t="s">
        <v>113</v>
      </c>
      <c r="B12" s="176">
        <v>1</v>
      </c>
      <c r="C12" s="176">
        <v>1</v>
      </c>
      <c r="D12" s="176">
        <v>1</v>
      </c>
      <c r="E12" s="176">
        <v>1</v>
      </c>
      <c r="F12"/>
      <c r="G12"/>
      <c r="H12" s="54" t="s">
        <v>280</v>
      </c>
      <c r="I12" s="158">
        <v>3.25</v>
      </c>
      <c r="J12" s="55">
        <f ca="1">AVERAGE(D58:D69)</f>
        <v>3.2569166666666658</v>
      </c>
      <c r="K12" s="157">
        <f t="shared" ca="1" si="0"/>
        <v>-6.9166666666657939E-3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260"/>
      <c r="AV12" s="164" t="s">
        <v>169</v>
      </c>
      <c r="AW12" s="75"/>
      <c r="AX12" s="75">
        <v>3</v>
      </c>
      <c r="AY12" s="268">
        <f>AY11*AX12</f>
        <v>0.25</v>
      </c>
      <c r="BB12" s="60"/>
      <c r="BC12" s="60"/>
      <c r="BD12" s="60"/>
    </row>
    <row r="13" spans="1:71" ht="13.8" thickTop="1" x14ac:dyDescent="0.25">
      <c r="A13" s="55" t="s">
        <v>112</v>
      </c>
      <c r="B13" s="176">
        <v>3</v>
      </c>
      <c r="C13" s="176">
        <v>3</v>
      </c>
      <c r="D13" s="176">
        <v>3</v>
      </c>
      <c r="E13" s="176">
        <v>3</v>
      </c>
      <c r="F13"/>
      <c r="G13"/>
      <c r="H13" s="38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144"/>
      <c r="AT13" s="144"/>
      <c r="AV13" s="164" t="s">
        <v>168</v>
      </c>
      <c r="AW13" s="75"/>
      <c r="AX13" s="75"/>
      <c r="AY13" s="271">
        <f>(AY10*AY12)/AY8</f>
        <v>0.75</v>
      </c>
      <c r="BB13" s="60"/>
      <c r="BC13" s="60"/>
      <c r="BD13" s="60"/>
    </row>
    <row r="14" spans="1:71" ht="13.8" thickBot="1" x14ac:dyDescent="0.3">
      <c r="A14" s="55" t="s">
        <v>107</v>
      </c>
      <c r="B14" s="195">
        <v>2.44</v>
      </c>
      <c r="C14" s="195">
        <v>2.44</v>
      </c>
      <c r="D14" s="195">
        <v>2.44</v>
      </c>
      <c r="E14" s="195">
        <v>2.44</v>
      </c>
      <c r="F14"/>
      <c r="G14"/>
      <c r="AR14"/>
      <c r="AS14" s="144"/>
      <c r="AT14" s="157"/>
      <c r="AV14" s="164"/>
      <c r="AW14" s="164"/>
      <c r="AX14" s="164"/>
      <c r="AY14" s="164"/>
      <c r="BB14" s="60"/>
      <c r="BC14" s="60"/>
      <c r="BD14" s="60"/>
    </row>
    <row r="15" spans="1:71" ht="13.8" thickTop="1" x14ac:dyDescent="0.25">
      <c r="A15" s="55" t="s">
        <v>37</v>
      </c>
      <c r="B15" s="140">
        <f ca="1">'opt calc'!$B21</f>
        <v>0.60310320483814184</v>
      </c>
      <c r="C15" s="140">
        <f ca="1">'opt calc'!$D21</f>
        <v>0.60310320483814184</v>
      </c>
      <c r="D15" s="140">
        <f ca="1">'opt calc'!F21</f>
        <v>0.60310320483814184</v>
      </c>
      <c r="E15" s="199">
        <f ca="1">'opt calc'!$H21</f>
        <v>0.60310320483814184</v>
      </c>
      <c r="F15"/>
      <c r="G15"/>
      <c r="AR15"/>
      <c r="AS15" s="144"/>
      <c r="AT15" s="157"/>
      <c r="AV15" s="164"/>
      <c r="AW15" s="164"/>
      <c r="AX15" s="164"/>
      <c r="AY15" s="164">
        <f>(AY13*AY8)/AY7</f>
        <v>6.25E-2</v>
      </c>
      <c r="BB15" s="60"/>
      <c r="BC15" s="60"/>
      <c r="BD15" s="60"/>
    </row>
    <row r="16" spans="1:71" x14ac:dyDescent="0.25">
      <c r="A16" s="55" t="s">
        <v>28</v>
      </c>
      <c r="B16" s="185">
        <f ca="1">'opt calc'!$B22</f>
        <v>0.14634671304834967</v>
      </c>
      <c r="C16" s="185">
        <f ca="1">'opt calc'!$D22</f>
        <v>0.14634671304834967</v>
      </c>
      <c r="D16" s="185">
        <f ca="1">'opt calc'!$F22</f>
        <v>0.14634671304834967</v>
      </c>
      <c r="E16" s="185">
        <f ca="1">'opt calc'!$H22</f>
        <v>0.14634671304834967</v>
      </c>
      <c r="F16"/>
      <c r="G16"/>
      <c r="AR16"/>
      <c r="AS16" s="55">
        <v>7</v>
      </c>
      <c r="AV16" s="75"/>
      <c r="AW16" s="165"/>
      <c r="AX16" s="75"/>
      <c r="AY16" s="75">
        <f>(((0.19*(30.5*0.15))+(0.05*(30.5*0.85))))/31</f>
        <v>6.985483870967743E-2</v>
      </c>
      <c r="BB16" s="60"/>
      <c r="BC16" s="60"/>
      <c r="BD16" s="60"/>
      <c r="BI16" s="55">
        <f>AVERAGE(BK32:BK35)*1.12</f>
        <v>0</v>
      </c>
    </row>
    <row r="17" spans="1:84" x14ac:dyDescent="0.25">
      <c r="A17" s="55" t="s">
        <v>33</v>
      </c>
      <c r="B17" s="140">
        <f ca="1">'opt calc'!$B23</f>
        <v>1.2790792311681976E-2</v>
      </c>
      <c r="C17" s="140">
        <f ca="1">'opt calc'!$D23</f>
        <v>1.2790792311681976E-2</v>
      </c>
      <c r="D17" s="140">
        <f ca="1">'opt calc'!$F23</f>
        <v>1.2790792311681976E-2</v>
      </c>
      <c r="E17" s="140">
        <f ca="1">'opt calc'!$H23</f>
        <v>1.2790792311681976E-2</v>
      </c>
      <c r="F17"/>
      <c r="G17"/>
      <c r="AR17"/>
      <c r="AS17" s="144"/>
      <c r="AT17" s="157"/>
      <c r="AV17" s="75"/>
      <c r="AW17" s="194"/>
      <c r="AX17" s="75"/>
      <c r="AY17" s="75">
        <f>AY7*AY9</f>
        <v>30</v>
      </c>
      <c r="BB17" s="60"/>
      <c r="BC17" s="60"/>
      <c r="BD17" s="60"/>
    </row>
    <row r="18" spans="1:84" x14ac:dyDescent="0.25">
      <c r="B18" s="140"/>
      <c r="C18" s="191"/>
      <c r="D18" s="140"/>
      <c r="E18" s="133"/>
      <c r="F18"/>
      <c r="G18"/>
      <c r="AR18"/>
      <c r="AS18" s="144">
        <v>0.3</v>
      </c>
      <c r="AT18" s="157"/>
      <c r="AV18" s="75"/>
      <c r="AW18" s="164">
        <f>(20*0.85)/30</f>
        <v>0.56666666666666665</v>
      </c>
      <c r="AX18" s="75"/>
      <c r="AY18" s="75"/>
      <c r="BB18" s="60"/>
      <c r="BC18" s="60"/>
      <c r="BD18" s="60"/>
    </row>
    <row r="19" spans="1:84" x14ac:dyDescent="0.25">
      <c r="A19" s="54" t="s">
        <v>186</v>
      </c>
      <c r="B19" s="140"/>
      <c r="D19" s="140"/>
      <c r="E19" s="140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s="144">
        <v>0.28000000000000003</v>
      </c>
      <c r="AT19" s="157"/>
      <c r="AY19" s="121"/>
      <c r="BB19" s="60"/>
      <c r="BC19" s="60"/>
      <c r="BD19" s="60"/>
    </row>
    <row r="20" spans="1:84" x14ac:dyDescent="0.25">
      <c r="A20" s="384"/>
      <c r="B20" s="385"/>
      <c r="C20" s="140"/>
      <c r="D20" s="140"/>
      <c r="E20" s="14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s="144"/>
      <c r="AT20" s="157">
        <f>0.47*2</f>
        <v>0.94</v>
      </c>
      <c r="AY20" s="121"/>
      <c r="BB20" s="60"/>
      <c r="BC20" s="60"/>
      <c r="BD20" s="60"/>
    </row>
    <row r="21" spans="1:84" x14ac:dyDescent="0.25">
      <c r="A21" s="53"/>
      <c r="B21" s="53"/>
      <c r="E21" s="284"/>
      <c r="G21" s="55" t="s">
        <v>291</v>
      </c>
      <c r="H21" s="61" t="s">
        <v>23</v>
      </c>
      <c r="I21" s="134"/>
      <c r="J21" s="144" t="s">
        <v>114</v>
      </c>
      <c r="L21" s="54" t="s">
        <v>114</v>
      </c>
      <c r="BA21" s="122"/>
      <c r="BD21" s="60"/>
      <c r="BE21" s="60"/>
      <c r="BF21" s="60"/>
      <c r="CE21" s="55"/>
      <c r="CF21" s="55"/>
    </row>
    <row r="22" spans="1:84" ht="13.8" thickBot="1" x14ac:dyDescent="0.3">
      <c r="A22" s="62"/>
      <c r="B22" s="63" t="s">
        <v>24</v>
      </c>
      <c r="C22" s="63" t="s">
        <v>19</v>
      </c>
      <c r="D22" s="63" t="s">
        <v>23</v>
      </c>
      <c r="E22" s="63" t="s">
        <v>31</v>
      </c>
      <c r="F22" s="63" t="s">
        <v>30</v>
      </c>
      <c r="G22" s="63" t="s">
        <v>22</v>
      </c>
      <c r="H22" s="63" t="s">
        <v>22</v>
      </c>
      <c r="I22" s="135" t="s">
        <v>153</v>
      </c>
      <c r="J22" s="55" t="s">
        <v>288</v>
      </c>
      <c r="K22" s="55" t="s">
        <v>22</v>
      </c>
      <c r="L22" s="55" t="s">
        <v>290</v>
      </c>
      <c r="O22" s="63" t="s">
        <v>20</v>
      </c>
      <c r="P22" s="54" t="s">
        <v>21</v>
      </c>
      <c r="AS22" s="55" t="s">
        <v>163</v>
      </c>
      <c r="BD22" s="60"/>
      <c r="BE22" s="60"/>
      <c r="CE22" s="55"/>
      <c r="CF22" s="55"/>
    </row>
    <row r="23" spans="1:84" x14ac:dyDescent="0.25">
      <c r="A23" s="53">
        <v>1</v>
      </c>
      <c r="B23" s="64">
        <v>37288</v>
      </c>
      <c r="C23" s="53">
        <f ca="1">[4]!'NGG2,PRIM ACT 1,1'</f>
        <v>2.31</v>
      </c>
      <c r="D23" s="53">
        <f t="shared" ref="D23:D86" ca="1" si="1">VLOOKUP($B23,curvesettle,2,FALSE)</f>
        <v>2.2749999999999999</v>
      </c>
      <c r="E23" s="156">
        <f ca="1">K5</f>
        <v>-4.4999999999999929E-2</v>
      </c>
      <c r="F23" s="65">
        <f t="shared" ref="F23:F54" ca="1" si="2">IF(D$1="settle",D23,IF(D$1="EOL",D23+E23,IF(ISNUMBER(C23),C23,D23)))</f>
        <v>2.31</v>
      </c>
      <c r="G23" s="66">
        <f ca="1">IF($D$2="settle",H23,IF($D$2="straddles",K23,IF($D$2="custom",H23+I23,0)))</f>
        <v>0.63475375128385381</v>
      </c>
      <c r="H23" s="66">
        <f t="shared" ref="H23:H86" ca="1" si="3">VLOOKUP($B23,curvesettle,3,FALSE)</f>
        <v>0.98</v>
      </c>
      <c r="I23" s="66">
        <v>-0.2</v>
      </c>
      <c r="J23" s="156">
        <v>0.28000000000000003</v>
      </c>
      <c r="K23" s="66">
        <f t="shared" ref="K23:K54" ca="1" si="4">bsd(6,1,$F23,$F23,$O23-TODAY(),$H23,$P23,J23/2)</f>
        <v>0.63475375128385381</v>
      </c>
      <c r="L23" s="65">
        <f ca="1">bsd(1,3,$F23,$F23,$O23-TODAY(),$G23,$P23,J23/2)</f>
        <v>0.27999999434633249</v>
      </c>
      <c r="N23" s="55">
        <f t="shared" ref="N23:N54" ca="1" si="5">A23</f>
        <v>1</v>
      </c>
      <c r="O23" s="67">
        <f t="shared" ref="O23:O54" ca="1" si="6">VLOOKUP(B23,expiration,3,FALSE)</f>
        <v>37284</v>
      </c>
      <c r="P23" s="57">
        <f t="shared" ref="P23:P86" ca="1" si="7">VLOOKUP($B23,curvesettle,4,FALSE)</f>
        <v>2.1780849295643299E-2</v>
      </c>
      <c r="Q23" s="192">
        <f ca="1">IF(Q$22="nymex",expiry!H63+1,B23)</f>
        <v>37288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S23" s="269">
        <f ca="1">_xll.OSTRIP(F23,F23,Q23-TODAY(),B23-Q23,B24-Q23-1,1,P23,G23,K23,1,0,1,0)</f>
        <v>0.1045248827847735</v>
      </c>
      <c r="AT23" s="140" t="e">
        <f ca="1">AS23-#REF!</f>
        <v>#REF!</v>
      </c>
      <c r="AU23" s="140"/>
      <c r="AV23" s="66">
        <v>0.05</v>
      </c>
      <c r="AW23" s="66">
        <v>0</v>
      </c>
      <c r="AX23" s="65"/>
      <c r="AY23" s="65" t="e">
        <f t="shared" ref="AY23:AY33" ca="1" si="8">bsd(1,3,$AU23,$AV23,$O23-TODAY()+1,$G23,$P23,BI23/2)</f>
        <v>#VALUE!</v>
      </c>
      <c r="AZ23" s="65" t="e">
        <f ca="1">bsd(2,3,$AU23,$AU23,$O23-TODAY()+1,$G23,$P23,BJ23/2)</f>
        <v>#VALUE!</v>
      </c>
      <c r="BC23" s="66">
        <v>0.05</v>
      </c>
      <c r="BD23" s="53">
        <v>2.2749999999999999</v>
      </c>
      <c r="BE23" s="53" t="e">
        <f>[2]!'NGc1 LAST'</f>
        <v>#REF!</v>
      </c>
      <c r="BI23" s="55">
        <f ca="1">(H23/SQRT(252))*F23</f>
        <v>0.14260599566638144</v>
      </c>
      <c r="BK23" s="53">
        <f>[2]!'CLc1 LAST'</f>
        <v>27.58</v>
      </c>
      <c r="CC23" s="55">
        <v>-25</v>
      </c>
      <c r="CD23" s="55">
        <f>CC23/1000</f>
        <v>-2.5000000000000001E-2</v>
      </c>
      <c r="CE23" s="55"/>
      <c r="CF23" s="55"/>
    </row>
    <row r="24" spans="1:84" x14ac:dyDescent="0.25">
      <c r="A24" s="53">
        <f t="shared" ref="A24:A87" si="9">A23+1</f>
        <v>2</v>
      </c>
      <c r="B24" s="64">
        <v>37316</v>
      </c>
      <c r="C24" s="53">
        <f ca="1">[4]!'NGH2,PRIM ACT 1,1'</f>
        <v>2.2999999999999998</v>
      </c>
      <c r="D24" s="53">
        <f t="shared" ca="1" si="1"/>
        <v>2.2650000000000001</v>
      </c>
      <c r="E24" s="156">
        <f ca="1">K6</f>
        <v>-3.5000000000000142E-2</v>
      </c>
      <c r="F24" s="65">
        <f t="shared" ca="1" si="2"/>
        <v>2.2999999999999998</v>
      </c>
      <c r="G24" s="66">
        <f t="shared" ref="G24:G87" ca="1" si="10">IF($D$2="settle",H24,IF($D$2="straddles",K24,IF($D$2="custom",H24+I24,0)))</f>
        <v>0.59777808534138632</v>
      </c>
      <c r="H24" s="66">
        <f t="shared" ca="1" si="3"/>
        <v>0.92</v>
      </c>
      <c r="I24" s="66">
        <v>0</v>
      </c>
      <c r="J24" s="156">
        <v>0.4</v>
      </c>
      <c r="K24" s="66">
        <f t="shared" ca="1" si="4"/>
        <v>0.59777808534138632</v>
      </c>
      <c r="L24" s="65">
        <f t="shared" ref="L24:L53" ca="1" si="11">bsd(1,3,$F24,$F24,$O24-TODAY(),$G24,$P24,J24/2)</f>
        <v>0.39999993079638507</v>
      </c>
      <c r="N24" s="55">
        <f t="shared" ca="1" si="5"/>
        <v>2</v>
      </c>
      <c r="O24" s="67">
        <f t="shared" ca="1" si="6"/>
        <v>37312</v>
      </c>
      <c r="P24" s="57">
        <f t="shared" ca="1" si="7"/>
        <v>2.1145658071011701E-2</v>
      </c>
      <c r="Q24" s="192">
        <f ca="1">IF(Q$22="nymex",expiry!H64+1,B24)</f>
        <v>37316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S24" s="269" t="e">
        <f ca="1">_xll.OSTRIP(F24,F24,Q24-TODAY(),B24-Q24,B25-Q24-1,1,P24,G24,R24,1,0,1,0)</f>
        <v>#VALUE!</v>
      </c>
      <c r="AT24" s="140" t="e">
        <f ca="1">AS24-#REF!</f>
        <v>#VALUE!</v>
      </c>
      <c r="AU24" s="140"/>
      <c r="AV24" s="66">
        <v>0.08</v>
      </c>
      <c r="AW24" s="66">
        <v>0</v>
      </c>
      <c r="AX24" s="65"/>
      <c r="AY24" s="65" t="e">
        <f t="shared" ca="1" si="8"/>
        <v>#VALUE!</v>
      </c>
      <c r="BC24" s="66">
        <v>0.15</v>
      </c>
      <c r="BD24" s="53">
        <f>[2]!'NGc2 cls'</f>
        <v>2.74</v>
      </c>
      <c r="BE24" s="53" t="e">
        <f>[2]!'NGc2 LAST'</f>
        <v>#REF!</v>
      </c>
      <c r="BK24" s="53">
        <f>[2]!'CLc2 LAST'</f>
        <v>27.66</v>
      </c>
      <c r="CC24" s="55">
        <v>-36</v>
      </c>
      <c r="CD24" s="55">
        <f t="shared" ref="CD24:CD58" si="12">CC24/1000</f>
        <v>-3.5999999999999997E-2</v>
      </c>
      <c r="CE24" s="55"/>
      <c r="CF24" s="55"/>
    </row>
    <row r="25" spans="1:84" x14ac:dyDescent="0.25">
      <c r="A25" s="53">
        <f t="shared" si="9"/>
        <v>3</v>
      </c>
      <c r="B25" s="64">
        <v>37347</v>
      </c>
      <c r="C25" s="53">
        <f ca="1">[4]!'NGJ2,PRIM ACT 1,1'</f>
        <v>2.3199999999999998</v>
      </c>
      <c r="D25" s="53">
        <f t="shared" ca="1" si="1"/>
        <v>2.2879999999999998</v>
      </c>
      <c r="E25" s="156">
        <f ca="1">K$7</f>
        <v>-5.9857142857143053E-2</v>
      </c>
      <c r="F25" s="65">
        <f t="shared" ca="1" si="2"/>
        <v>2.3199999999999998</v>
      </c>
      <c r="G25" s="66">
        <f t="shared" ca="1" si="10"/>
        <v>0.49724218829597672</v>
      </c>
      <c r="H25" s="66">
        <f t="shared" ca="1" si="3"/>
        <v>0.80300000000000005</v>
      </c>
      <c r="I25" s="66">
        <v>0</v>
      </c>
      <c r="J25" s="156">
        <v>0.42</v>
      </c>
      <c r="K25" s="66">
        <f t="shared" ca="1" si="4"/>
        <v>0.49724218829597672</v>
      </c>
      <c r="L25" s="65">
        <f t="shared" ca="1" si="11"/>
        <v>0.4199998245544041</v>
      </c>
      <c r="N25" s="55">
        <f t="shared" ca="1" si="5"/>
        <v>3</v>
      </c>
      <c r="O25" s="67">
        <f t="shared" ca="1" si="6"/>
        <v>37340</v>
      </c>
      <c r="P25" s="57">
        <f t="shared" ca="1" si="7"/>
        <v>2.07759939054513E-2</v>
      </c>
      <c r="Q25" s="192">
        <f ca="1">IF(Q$22="nymex",expiry!H65+1,B25)</f>
        <v>37347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S25" s="269" t="e">
        <f ca="1">_xll.OSTRIP(F25,F25,Q25-TODAY(),B25-Q25,B26-Q25-1,1,P25,G25,R25,1,0,1,0)</f>
        <v>#VALUE!</v>
      </c>
      <c r="AT25" s="140" t="e">
        <f ca="1">AS25-#REF!</f>
        <v>#VALUE!</v>
      </c>
      <c r="AU25" s="140"/>
      <c r="AV25" s="66">
        <v>0.05</v>
      </c>
      <c r="AW25" s="66">
        <v>0</v>
      </c>
      <c r="AX25" s="65"/>
      <c r="AY25" s="65" t="e">
        <f t="shared" ca="1" si="8"/>
        <v>#VALUE!</v>
      </c>
      <c r="BC25" s="66">
        <v>0.15</v>
      </c>
      <c r="BD25" s="53">
        <f>[2]!'NGc3 cls'</f>
        <v>3.06</v>
      </c>
      <c r="BE25" s="53" t="e">
        <f>[2]!'NGc3 LAST'</f>
        <v>#REF!</v>
      </c>
      <c r="BK25" s="53">
        <f>[2]!'CLc3 LAST'</f>
        <v>27.61</v>
      </c>
      <c r="CC25" s="55">
        <v>-68</v>
      </c>
      <c r="CD25" s="55">
        <f t="shared" si="12"/>
        <v>-6.8000000000000005E-2</v>
      </c>
      <c r="CE25" s="55"/>
      <c r="CF25" s="55"/>
    </row>
    <row r="26" spans="1:84" x14ac:dyDescent="0.25">
      <c r="A26" s="53">
        <f t="shared" si="9"/>
        <v>4</v>
      </c>
      <c r="B26" s="64">
        <v>37377</v>
      </c>
      <c r="C26" s="53">
        <f ca="1">[4]!'NGK2,PRIM ACT 1,1'</f>
        <v>2.38</v>
      </c>
      <c r="D26" s="53">
        <f t="shared" ca="1" si="1"/>
        <v>2.3519999999999999</v>
      </c>
      <c r="E26" s="156">
        <f t="shared" ref="E26:E31" ca="1" si="13">K$7</f>
        <v>-5.9857142857143053E-2</v>
      </c>
      <c r="F26" s="65">
        <f t="shared" ca="1" si="2"/>
        <v>2.38</v>
      </c>
      <c r="G26" s="66">
        <f t="shared" ca="1" si="10"/>
        <v>0.45889725065837711</v>
      </c>
      <c r="H26" s="66">
        <f t="shared" ca="1" si="3"/>
        <v>0.66</v>
      </c>
      <c r="I26" s="66">
        <v>0</v>
      </c>
      <c r="J26" s="156">
        <v>0.47</v>
      </c>
      <c r="K26" s="66">
        <f t="shared" ca="1" si="4"/>
        <v>0.45889725065837711</v>
      </c>
      <c r="L26" s="65">
        <f t="shared" ca="1" si="11"/>
        <v>0.46999992902896892</v>
      </c>
      <c r="N26" s="55">
        <f t="shared" ca="1" si="5"/>
        <v>4</v>
      </c>
      <c r="O26" s="67">
        <f t="shared" ca="1" si="6"/>
        <v>37371</v>
      </c>
      <c r="P26" s="57">
        <f t="shared" ca="1" si="7"/>
        <v>2.0033459902157401E-2</v>
      </c>
      <c r="Q26" s="192">
        <f ca="1">IF(Q$22="nymex",expiry!H66+1,B26)</f>
        <v>37377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S26" s="269" t="e">
        <f ca="1">_xll.OSTRIP(F26,F26,Q26-TODAY(),B26-Q26,B27-Q26-1,1,P26,G26,R26,1,0,1,0)</f>
        <v>#VALUE!</v>
      </c>
      <c r="AT26" s="140" t="e">
        <f ca="1">AS26-#REF!</f>
        <v>#VALUE!</v>
      </c>
      <c r="AU26" s="140"/>
      <c r="AV26" s="66">
        <v>-0.12</v>
      </c>
      <c r="AW26" s="66">
        <v>0</v>
      </c>
      <c r="AX26" s="65"/>
      <c r="AY26" s="65" t="e">
        <f t="shared" ca="1" si="8"/>
        <v>#VALUE!</v>
      </c>
      <c r="BC26" s="66">
        <v>0.25</v>
      </c>
      <c r="BD26" s="53">
        <f>[2]!'NGc4 cls'</f>
        <v>3.2050000000000001</v>
      </c>
      <c r="BE26" s="53" t="e">
        <f>[2]!'NGc4 LAST'</f>
        <v>#REF!</v>
      </c>
      <c r="BK26" s="53">
        <f>[2]!'CLc4 LAST'</f>
        <v>27.26</v>
      </c>
      <c r="CC26" s="55">
        <v>-101</v>
      </c>
      <c r="CD26" s="55">
        <f t="shared" si="12"/>
        <v>-0.10100000000000001</v>
      </c>
      <c r="CE26" s="55"/>
      <c r="CF26" s="55"/>
    </row>
    <row r="27" spans="1:84" x14ac:dyDescent="0.25">
      <c r="A27" s="53">
        <f t="shared" si="9"/>
        <v>5</v>
      </c>
      <c r="B27" s="64">
        <v>37408</v>
      </c>
      <c r="C27" s="53">
        <f ca="1">[4]!'NGM2,PRIM ACT 1,1'</f>
        <v>2.4500000000000002</v>
      </c>
      <c r="D27" s="53">
        <f t="shared" ca="1" si="1"/>
        <v>2.4209999999999998</v>
      </c>
      <c r="E27" s="156">
        <f t="shared" ca="1" si="13"/>
        <v>-5.9857142857143053E-2</v>
      </c>
      <c r="F27" s="65">
        <f t="shared" ca="1" si="2"/>
        <v>2.4500000000000002</v>
      </c>
      <c r="G27" s="66">
        <f t="shared" ca="1" si="10"/>
        <v>0.436820667080277</v>
      </c>
      <c r="H27" s="66">
        <f t="shared" ca="1" si="3"/>
        <v>0.59299999999999997</v>
      </c>
      <c r="I27" s="66">
        <v>0</v>
      </c>
      <c r="J27" s="156">
        <v>0.52500000000000002</v>
      </c>
      <c r="K27" s="66">
        <f t="shared" ca="1" si="4"/>
        <v>0.436820667080277</v>
      </c>
      <c r="L27" s="65">
        <f t="shared" ca="1" si="11"/>
        <v>0.524999946475603</v>
      </c>
      <c r="N27" s="55">
        <f t="shared" ca="1" si="5"/>
        <v>5</v>
      </c>
      <c r="O27" s="67">
        <f t="shared" ca="1" si="6"/>
        <v>37404</v>
      </c>
      <c r="P27" s="57">
        <f t="shared" ca="1" si="7"/>
        <v>2.0156242730434901E-2</v>
      </c>
      <c r="Q27" s="192">
        <f ca="1">IF(Q$22="nymex",expiry!H67+1,B27)</f>
        <v>37408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S27" s="269" t="e">
        <f ca="1">_xll.OSTRIP(F27,F27,Q27-TODAY(),B27-Q27,B28-Q27-1,1,P27,G27,R27,1,0,1,0)</f>
        <v>#VALUE!</v>
      </c>
      <c r="AT27" s="140" t="e">
        <f ca="1">AS27-#REF!</f>
        <v>#VALUE!</v>
      </c>
      <c r="AU27" s="140"/>
      <c r="AV27" s="66">
        <v>-0.11</v>
      </c>
      <c r="AW27" s="66">
        <v>0</v>
      </c>
      <c r="AX27" s="65"/>
      <c r="AY27" s="65" t="e">
        <f t="shared" ca="1" si="8"/>
        <v>#VALUE!</v>
      </c>
      <c r="BC27" s="66">
        <v>0.05</v>
      </c>
      <c r="BD27" s="53">
        <f>[2]!'NGc5 cls'</f>
        <v>3.177</v>
      </c>
      <c r="BE27" s="53" t="e">
        <f>[2]!'NGc5 LAST'</f>
        <v>#REF!</v>
      </c>
      <c r="BK27" s="53">
        <f>[2]!'CLc5 LAST'</f>
        <v>26.94</v>
      </c>
      <c r="CC27" s="55">
        <v>-134</v>
      </c>
      <c r="CD27" s="55">
        <f t="shared" si="12"/>
        <v>-0.13400000000000001</v>
      </c>
      <c r="CE27" s="55"/>
      <c r="CF27" s="55"/>
    </row>
    <row r="28" spans="1:84" x14ac:dyDescent="0.25">
      <c r="A28" s="53">
        <f t="shared" si="9"/>
        <v>6</v>
      </c>
      <c r="B28" s="64">
        <v>37438</v>
      </c>
      <c r="C28" s="53">
        <f ca="1">[4]!'NGN2,PRIM ACT 1,1'</f>
        <v>2.5099999999999998</v>
      </c>
      <c r="D28" s="53">
        <f t="shared" ca="1" si="1"/>
        <v>2.4830000000000001</v>
      </c>
      <c r="E28" s="156">
        <f t="shared" ca="1" si="13"/>
        <v>-5.9857142857143053E-2</v>
      </c>
      <c r="F28" s="65">
        <f t="shared" ca="1" si="2"/>
        <v>2.5099999999999998</v>
      </c>
      <c r="G28" s="66">
        <f t="shared" ca="1" si="10"/>
        <v>0.44615296764897799</v>
      </c>
      <c r="H28" s="66">
        <f t="shared" ca="1" si="3"/>
        <v>0.57299999999999995</v>
      </c>
      <c r="I28" s="66">
        <v>0</v>
      </c>
      <c r="J28" s="156">
        <v>0.6</v>
      </c>
      <c r="K28" s="66">
        <f t="shared" ca="1" si="4"/>
        <v>0.44615296764897799</v>
      </c>
      <c r="L28" s="65">
        <f t="shared" ca="1" si="11"/>
        <v>0.59999995572790521</v>
      </c>
      <c r="N28" s="55">
        <f t="shared" ca="1" si="5"/>
        <v>6</v>
      </c>
      <c r="O28" s="67">
        <f t="shared" ca="1" si="6"/>
        <v>37432</v>
      </c>
      <c r="P28" s="57">
        <f t="shared" ca="1" si="7"/>
        <v>2.0283118325021401E-2</v>
      </c>
      <c r="Q28" s="192">
        <f ca="1">IF(Q$22="nymex",expiry!H68+1,B28)</f>
        <v>37438</v>
      </c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S28" s="269" t="e">
        <f ca="1">_xll.OSTRIP(F28,F28,Q28-TODAY(),B28-Q28,B29-Q28-1,1,P28,G28,R28,1,0,1,0)</f>
        <v>#VALUE!</v>
      </c>
      <c r="AT28" s="140" t="e">
        <f ca="1">AS28-#REF!</f>
        <v>#VALUE!</v>
      </c>
      <c r="AU28" s="140"/>
      <c r="AV28" s="66">
        <v>-0.05</v>
      </c>
      <c r="AW28" s="66">
        <v>0</v>
      </c>
      <c r="AX28" s="65"/>
      <c r="AY28" s="65" t="e">
        <f t="shared" ca="1" si="8"/>
        <v>#VALUE!</v>
      </c>
      <c r="BC28" s="66">
        <v>0.05</v>
      </c>
      <c r="BD28" s="53">
        <f>[2]!'NGc6 cls'</f>
        <v>3.105</v>
      </c>
      <c r="BE28" s="53" t="e">
        <f>[2]!'NGc6 LAST'</f>
        <v>#REF!</v>
      </c>
      <c r="BK28" s="53">
        <f>[2]!'CLc6 LAST'</f>
        <v>0</v>
      </c>
      <c r="CC28" s="55">
        <v>-141</v>
      </c>
      <c r="CD28" s="55">
        <f t="shared" si="12"/>
        <v>-0.14099999999999999</v>
      </c>
      <c r="CE28" s="55"/>
      <c r="CF28" s="55"/>
    </row>
    <row r="29" spans="1:84" x14ac:dyDescent="0.25">
      <c r="A29" s="53">
        <f t="shared" si="9"/>
        <v>7</v>
      </c>
      <c r="B29" s="64">
        <v>37469</v>
      </c>
      <c r="C29" s="53">
        <f ca="1">[4]!'NGQ2,PRIM ACT 1,1'</f>
        <v>2.5499999999999998</v>
      </c>
      <c r="D29" s="53">
        <f t="shared" ca="1" si="1"/>
        <v>2.536</v>
      </c>
      <c r="E29" s="156">
        <f t="shared" ca="1" si="13"/>
        <v>-5.9857142857143053E-2</v>
      </c>
      <c r="F29" s="65">
        <f t="shared" ca="1" si="2"/>
        <v>2.5499999999999998</v>
      </c>
      <c r="G29" s="66">
        <f t="shared" ca="1" si="10"/>
        <v>0.45881277191675413</v>
      </c>
      <c r="H29" s="66">
        <f t="shared" ca="1" si="3"/>
        <v>0.56799999999999995</v>
      </c>
      <c r="I29" s="66">
        <v>0</v>
      </c>
      <c r="J29" s="156">
        <v>0.68</v>
      </c>
      <c r="K29" s="66">
        <f t="shared" ca="1" si="4"/>
        <v>0.45881277191675413</v>
      </c>
      <c r="L29" s="65">
        <f t="shared" ca="1" si="11"/>
        <v>0.67999995384018952</v>
      </c>
      <c r="N29" s="55">
        <f t="shared" ca="1" si="5"/>
        <v>7</v>
      </c>
      <c r="O29" s="67">
        <f t="shared" ca="1" si="6"/>
        <v>37463</v>
      </c>
      <c r="P29" s="57">
        <f t="shared" ca="1" si="7"/>
        <v>2.0560063885965998E-2</v>
      </c>
      <c r="Q29" s="192">
        <f ca="1">IF(Q$22="nymex",expiry!H69+1,B29)</f>
        <v>37469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S29" s="269" t="e">
        <f ca="1">_xll.OSTRIP(F29,F29,Q29-TODAY(),B29-Q29,B30-Q29-1,1,P29,G29,R29,1,0,1,0)</f>
        <v>#VALUE!</v>
      </c>
      <c r="AT29" s="140" t="e">
        <f ca="1">AS29-#REF!</f>
        <v>#VALUE!</v>
      </c>
      <c r="AU29" s="140"/>
      <c r="AV29" s="66">
        <v>0</v>
      </c>
      <c r="AW29" s="66">
        <v>-0.15</v>
      </c>
      <c r="AX29" s="65"/>
      <c r="AY29" s="65" t="e">
        <f t="shared" ca="1" si="8"/>
        <v>#VALUE!</v>
      </c>
      <c r="BC29" s="66">
        <v>0.05</v>
      </c>
      <c r="BD29" s="53">
        <f>[2]!'NGc7 cls'</f>
        <v>3.012</v>
      </c>
      <c r="BE29" s="53" t="e">
        <f>[2]!'NGc7 LAST'</f>
        <v>#REF!</v>
      </c>
      <c r="BK29" s="53">
        <f>[2]!'CLc7 LAST'</f>
        <v>26.33</v>
      </c>
      <c r="CC29" s="55">
        <v>-141</v>
      </c>
      <c r="CD29" s="55">
        <f t="shared" si="12"/>
        <v>-0.14099999999999999</v>
      </c>
      <c r="CE29" s="55"/>
      <c r="CF29" s="55"/>
    </row>
    <row r="30" spans="1:84" x14ac:dyDescent="0.25">
      <c r="A30" s="53">
        <f t="shared" si="9"/>
        <v>8</v>
      </c>
      <c r="B30" s="64">
        <v>37500</v>
      </c>
      <c r="C30" s="53">
        <f ca="1">[4]!'NGU2,PRIM ACT 1,1'</f>
        <v>2.5750000000000002</v>
      </c>
      <c r="D30" s="53">
        <f t="shared" ca="1" si="1"/>
        <v>2.5510000000000002</v>
      </c>
      <c r="E30" s="156">
        <f t="shared" ca="1" si="13"/>
        <v>-5.9857142857143053E-2</v>
      </c>
      <c r="F30" s="65">
        <f t="shared" ca="1" si="2"/>
        <v>2.5750000000000002</v>
      </c>
      <c r="G30" s="66">
        <f t="shared" ca="1" si="10"/>
        <v>0.454148079110402</v>
      </c>
      <c r="H30" s="66">
        <f t="shared" ca="1" si="3"/>
        <v>0.56299999999999994</v>
      </c>
      <c r="I30" s="66">
        <v>0</v>
      </c>
      <c r="J30" s="156">
        <v>0.73</v>
      </c>
      <c r="K30" s="66">
        <f t="shared" ca="1" si="4"/>
        <v>0.454148079110402</v>
      </c>
      <c r="L30" s="65">
        <f t="shared" ca="1" si="11"/>
        <v>0.7299999248660578</v>
      </c>
      <c r="N30" s="55">
        <f t="shared" ca="1" si="5"/>
        <v>8</v>
      </c>
      <c r="O30" s="67">
        <f t="shared" ca="1" si="6"/>
        <v>37495</v>
      </c>
      <c r="P30" s="57">
        <f t="shared" ca="1" si="7"/>
        <v>2.1094384134566099E-2</v>
      </c>
      <c r="Q30" s="192">
        <f ca="1">IF(Q$22="nymex",expiry!H70+1,B30)</f>
        <v>37500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S30" s="269" t="e">
        <f ca="1">_xll.OSTRIP(F30,F30,Q30-TODAY(),B30-Q30,B31-Q30-1,1,P30,G30,R30,1,0,1,0)</f>
        <v>#VALUE!</v>
      </c>
      <c r="AT30" s="140" t="e">
        <f ca="1">AS30-#REF!</f>
        <v>#VALUE!</v>
      </c>
      <c r="AU30" s="140"/>
      <c r="AV30" s="66">
        <v>-0.05</v>
      </c>
      <c r="AW30" s="66">
        <v>-0.25</v>
      </c>
      <c r="AX30" s="65"/>
      <c r="AY30" s="65" t="e">
        <f t="shared" ca="1" si="8"/>
        <v>#VALUE!</v>
      </c>
      <c r="BC30" s="66">
        <v>0.05</v>
      </c>
      <c r="BD30" s="53">
        <f>[2]!'NGc8 cls'</f>
        <v>3.0350000000000001</v>
      </c>
      <c r="BE30" s="53" t="e">
        <f>[2]!'NGc8 LAST'</f>
        <v>#REF!</v>
      </c>
      <c r="BK30" s="53">
        <f>[2]!'CLc8 LAST'</f>
        <v>0</v>
      </c>
      <c r="CC30" s="55">
        <v>-141</v>
      </c>
      <c r="CD30" s="55">
        <f t="shared" si="12"/>
        <v>-0.14099999999999999</v>
      </c>
      <c r="CE30" s="55"/>
      <c r="CF30" s="55"/>
    </row>
    <row r="31" spans="1:84" x14ac:dyDescent="0.25">
      <c r="A31" s="53">
        <f t="shared" si="9"/>
        <v>9</v>
      </c>
      <c r="B31" s="64">
        <v>37530</v>
      </c>
      <c r="C31" s="53">
        <f ca="1">[4]!'NGV2,PRIM ACT 1,1'</f>
        <v>2.61</v>
      </c>
      <c r="D31" s="53">
        <f t="shared" ca="1" si="1"/>
        <v>2.5880000000000001</v>
      </c>
      <c r="E31" s="156">
        <f t="shared" ca="1" si="13"/>
        <v>-5.9857142857143053E-2</v>
      </c>
      <c r="F31" s="65">
        <f t="shared" ca="1" si="2"/>
        <v>2.61</v>
      </c>
      <c r="G31" s="66">
        <f t="shared" ca="1" si="10"/>
        <v>0.47021915179215995</v>
      </c>
      <c r="H31" s="66">
        <f t="shared" ca="1" si="3"/>
        <v>0.56000000000000005</v>
      </c>
      <c r="I31" s="66">
        <v>0</v>
      </c>
      <c r="J31" s="156">
        <v>0.81</v>
      </c>
      <c r="K31" s="66">
        <f t="shared" ca="1" si="4"/>
        <v>0.47021915179215995</v>
      </c>
      <c r="L31" s="65">
        <f t="shared" ca="1" si="11"/>
        <v>0.80999994337746184</v>
      </c>
      <c r="N31" s="55">
        <f t="shared" ca="1" si="5"/>
        <v>9</v>
      </c>
      <c r="O31" s="67">
        <f t="shared" ca="1" si="6"/>
        <v>37524</v>
      </c>
      <c r="P31" s="57">
        <f t="shared" ca="1" si="7"/>
        <v>2.1628704479852899E-2</v>
      </c>
      <c r="Q31" s="192">
        <f ca="1">IF(Q$22="nymex",expiry!H71+1,B31)</f>
        <v>37530</v>
      </c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S31" s="269" t="e">
        <f ca="1">_xll.OSTRIP(F31,F31,Q31-TODAY(),B31-Q31,B32-Q31-1,1,P31,G31,R31,1,0,1,0)</f>
        <v>#VALUE!</v>
      </c>
      <c r="AT31" s="140" t="e">
        <f ca="1">AS31-#REF!</f>
        <v>#VALUE!</v>
      </c>
      <c r="AU31" s="140"/>
      <c r="AV31" s="66">
        <v>0.05</v>
      </c>
      <c r="AW31" s="66">
        <v>0.2</v>
      </c>
      <c r="AX31" s="65"/>
      <c r="AY31" s="65" t="e">
        <f t="shared" ca="1" si="8"/>
        <v>#VALUE!</v>
      </c>
      <c r="BC31" s="66">
        <v>0.05</v>
      </c>
      <c r="BD31" s="53">
        <f>[2]!'NGc9 cls'</f>
        <v>3.07</v>
      </c>
      <c r="BE31" s="53" t="e">
        <f>[2]!'NGc9 LAST'</f>
        <v>#REF!</v>
      </c>
      <c r="BK31" s="53">
        <f>[2]!'CLc9 LAST'</f>
        <v>0</v>
      </c>
      <c r="CC31" s="55">
        <v>-136</v>
      </c>
      <c r="CD31" s="55">
        <f t="shared" si="12"/>
        <v>-0.13600000000000001</v>
      </c>
      <c r="CE31" s="55"/>
      <c r="CF31" s="55"/>
    </row>
    <row r="32" spans="1:84" x14ac:dyDescent="0.25">
      <c r="A32" s="53">
        <f t="shared" si="9"/>
        <v>10</v>
      </c>
      <c r="B32" s="64">
        <v>37561</v>
      </c>
      <c r="C32" s="53">
        <f ca="1">[4]!'NGX2,PRIM ACT 1,1'</f>
        <v>2.835</v>
      </c>
      <c r="D32" s="53">
        <f t="shared" ca="1" si="1"/>
        <v>2.8180000000000001</v>
      </c>
      <c r="E32" s="156">
        <f ca="1">K8</f>
        <v>-0.31800000000000006</v>
      </c>
      <c r="F32" s="65">
        <f t="shared" ca="1" si="2"/>
        <v>2.835</v>
      </c>
      <c r="G32" s="66">
        <f t="shared" ca="1" si="10"/>
        <v>0.47496461078618135</v>
      </c>
      <c r="H32" s="66">
        <f t="shared" ca="1" si="3"/>
        <v>0.56000000000000005</v>
      </c>
      <c r="I32" s="66">
        <v>0</v>
      </c>
      <c r="J32" s="156">
        <v>0.94</v>
      </c>
      <c r="K32" s="66">
        <f t="shared" ca="1" si="4"/>
        <v>0.47496461078618135</v>
      </c>
      <c r="L32" s="65">
        <f t="shared" ca="1" si="11"/>
        <v>0.93999992346061934</v>
      </c>
      <c r="N32" s="55">
        <f t="shared" ca="1" si="5"/>
        <v>10</v>
      </c>
      <c r="O32" s="67">
        <f t="shared" ca="1" si="6"/>
        <v>37557</v>
      </c>
      <c r="P32" s="57">
        <f t="shared" ca="1" si="7"/>
        <v>2.2229563577716799E-2</v>
      </c>
      <c r="Q32" s="192">
        <f ca="1">IF(Q$22="nymex",expiry!H72+1,B32)</f>
        <v>37561</v>
      </c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S32" s="269" t="e">
        <f ca="1">_xll.OSTRIP(F32,F32,Q32-TODAY(),B32-Q32,B33-Q32-1,1,P32,G32,R32,1,0,1,0)</f>
        <v>#VALUE!</v>
      </c>
      <c r="AT32" s="140" t="e">
        <f ca="1">AS32-#REF!</f>
        <v>#VALUE!</v>
      </c>
      <c r="AU32" s="140"/>
      <c r="AV32" s="66">
        <v>0</v>
      </c>
      <c r="AW32" s="66">
        <v>0.2</v>
      </c>
      <c r="AX32" s="65"/>
      <c r="AY32" s="65" t="e">
        <f t="shared" ca="1" si="8"/>
        <v>#VALUE!</v>
      </c>
      <c r="BC32" s="66">
        <v>0.05</v>
      </c>
      <c r="BD32" s="53">
        <f>[2]!'NGc10 cls'</f>
        <v>3.1120000000000001</v>
      </c>
      <c r="BE32" s="53" t="e">
        <f>[2]!'NGc10 LAST'</f>
        <v>#REF!</v>
      </c>
      <c r="BK32" s="53">
        <f>[2]!'CLc10 LAST'</f>
        <v>0</v>
      </c>
      <c r="CC32" s="55">
        <v>-148</v>
      </c>
      <c r="CD32" s="55">
        <f t="shared" si="12"/>
        <v>-0.14799999999999999</v>
      </c>
      <c r="CE32" s="55"/>
      <c r="CF32" s="55"/>
    </row>
    <row r="33" spans="1:84" x14ac:dyDescent="0.25">
      <c r="A33" s="53">
        <f t="shared" si="9"/>
        <v>11</v>
      </c>
      <c r="B33" s="64">
        <v>37591</v>
      </c>
      <c r="C33" s="53">
        <f ca="1">[4]!'NGZ2,PRIM ACT 1,1'</f>
        <v>3.06</v>
      </c>
      <c r="D33" s="53">
        <f t="shared" ca="1" si="1"/>
        <v>3.048</v>
      </c>
      <c r="E33" s="156">
        <f ca="1">K9</f>
        <v>-0.54800000000000004</v>
      </c>
      <c r="F33" s="65">
        <f t="shared" ca="1" si="2"/>
        <v>3.06</v>
      </c>
      <c r="G33" s="66">
        <f t="shared" ca="1" si="10"/>
        <v>0.47562160119712515</v>
      </c>
      <c r="H33" s="66">
        <f t="shared" ca="1" si="3"/>
        <v>0.55300000000000005</v>
      </c>
      <c r="I33" s="66">
        <v>0</v>
      </c>
      <c r="J33" s="156">
        <v>1.06</v>
      </c>
      <c r="K33" s="66">
        <f t="shared" ca="1" si="4"/>
        <v>0.47562160119712515</v>
      </c>
      <c r="L33" s="65">
        <f t="shared" ca="1" si="11"/>
        <v>1.0599999224246899</v>
      </c>
      <c r="N33" s="55">
        <f t="shared" ca="1" si="5"/>
        <v>11</v>
      </c>
      <c r="O33" s="67">
        <f t="shared" ca="1" si="6"/>
        <v>37585</v>
      </c>
      <c r="P33" s="57">
        <f t="shared" ca="1" si="7"/>
        <v>2.2969120664737601E-2</v>
      </c>
      <c r="Q33" s="192">
        <f ca="1">IF(Q$22="nymex",expiry!H73+1,B33)</f>
        <v>37591</v>
      </c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S33" s="269" t="e">
        <f ca="1">_xll.OSTRIP(F33,F33,Q33-TODAY(),B33-Q33,B34-Q33-1,1,P33,G33,R33,1,0,1,0)</f>
        <v>#VALUE!</v>
      </c>
      <c r="AT33" s="140" t="e">
        <f ca="1">AS33-#REF!</f>
        <v>#VALUE!</v>
      </c>
      <c r="AU33" s="140"/>
      <c r="AV33" s="66">
        <v>0</v>
      </c>
      <c r="AW33" s="66">
        <v>0</v>
      </c>
      <c r="AX33" s="65"/>
      <c r="AY33" s="65" t="e">
        <f t="shared" ca="1" si="8"/>
        <v>#VALUE!</v>
      </c>
      <c r="BC33" s="66">
        <v>0.05</v>
      </c>
      <c r="BD33" s="53">
        <f>[2]!'NGc11 cls'</f>
        <v>3.1469999999999998</v>
      </c>
      <c r="BE33" s="53" t="e">
        <f>[2]!'NGc11 LAST'</f>
        <v>#REF!</v>
      </c>
      <c r="BK33" s="53">
        <f>[2]!'CLc11 LAST'</f>
        <v>0</v>
      </c>
      <c r="CC33" s="55">
        <v>-139</v>
      </c>
      <c r="CD33" s="55">
        <f t="shared" si="12"/>
        <v>-0.13900000000000001</v>
      </c>
      <c r="CE33" s="55"/>
      <c r="CF33" s="55"/>
    </row>
    <row r="34" spans="1:84" x14ac:dyDescent="0.25">
      <c r="A34" s="53">
        <f t="shared" si="9"/>
        <v>12</v>
      </c>
      <c r="B34" s="64">
        <v>37622</v>
      </c>
      <c r="C34" s="53">
        <f ca="1">[4]!'NGF3,PRIM ACT 1,1'</f>
        <v>3.17</v>
      </c>
      <c r="D34" s="53">
        <f t="shared" ca="1" si="1"/>
        <v>3.1680000000000001</v>
      </c>
      <c r="E34" s="156">
        <f t="shared" ref="E34:E45" ca="1" si="14">K$10</f>
        <v>-1.5749999999999709E-2</v>
      </c>
      <c r="F34" s="65">
        <f t="shared" ca="1" si="2"/>
        <v>3.17</v>
      </c>
      <c r="G34" s="66">
        <f t="shared" ca="1" si="10"/>
        <v>0.48162527569454416</v>
      </c>
      <c r="H34" s="66">
        <f t="shared" ca="1" si="3"/>
        <v>0.54800000000000004</v>
      </c>
      <c r="I34" s="66">
        <v>0</v>
      </c>
      <c r="J34" s="156">
        <v>1.1599999999999999</v>
      </c>
      <c r="K34" s="66">
        <f t="shared" ca="1" si="4"/>
        <v>0.48162527569454416</v>
      </c>
      <c r="L34" s="65">
        <f t="shared" ca="1" si="11"/>
        <v>1.1599999380376049</v>
      </c>
      <c r="N34" s="55">
        <f t="shared" ca="1" si="5"/>
        <v>12</v>
      </c>
      <c r="O34" s="67">
        <f t="shared" ca="1" si="6"/>
        <v>37616</v>
      </c>
      <c r="P34" s="57">
        <f t="shared" ca="1" si="7"/>
        <v>2.3684821247730501E-2</v>
      </c>
      <c r="Q34" s="192">
        <f ca="1">IF(Q$22="nymex",expiry!H74+1,B34)</f>
        <v>37622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S34" s="269" t="e">
        <f ca="1">_xll.OSTRIP(F34,F34,Q34-TODAY(),B34-Q34,B35-Q34-1,1,P34,G34,R34,1,0,1,0)</f>
        <v>#VALUE!</v>
      </c>
      <c r="AW34" s="66">
        <v>0.05</v>
      </c>
      <c r="BC34" s="66">
        <v>-0.05</v>
      </c>
      <c r="BD34" s="53">
        <f>[2]!'NGc12 cls'</f>
        <v>3.1459999999999999</v>
      </c>
      <c r="BE34" s="53" t="e">
        <f>[2]!'NGc12 LAST'</f>
        <v>#REF!</v>
      </c>
      <c r="BK34" s="53">
        <f>[2]!'CLc12 LAST'</f>
        <v>0</v>
      </c>
      <c r="CC34" s="55">
        <v>-162</v>
      </c>
      <c r="CD34" s="55">
        <f t="shared" si="12"/>
        <v>-0.16200000000000001</v>
      </c>
      <c r="CE34" s="55"/>
      <c r="CF34" s="55"/>
    </row>
    <row r="35" spans="1:84" x14ac:dyDescent="0.25">
      <c r="A35" s="53">
        <f t="shared" si="9"/>
        <v>13</v>
      </c>
      <c r="B35" s="64">
        <v>37653</v>
      </c>
      <c r="C35" s="53">
        <f>[4]!'NGG3,PRIM ACT 1,1'</f>
        <v>3.15</v>
      </c>
      <c r="D35" s="53">
        <f t="shared" ca="1" si="1"/>
        <v>3.1179999999999999</v>
      </c>
      <c r="E35" s="156">
        <f t="shared" ca="1" si="14"/>
        <v>-1.5749999999999709E-2</v>
      </c>
      <c r="F35" s="65">
        <f t="shared" ca="1" si="2"/>
        <v>3.15</v>
      </c>
      <c r="G35" s="66">
        <f t="shared" ca="1" si="10"/>
        <v>0.11121914325094971</v>
      </c>
      <c r="H35" s="66">
        <f t="shared" ca="1" si="3"/>
        <v>0.54300000000000004</v>
      </c>
      <c r="I35" s="66">
        <v>0</v>
      </c>
      <c r="J35" s="156">
        <v>0.28000000000000003</v>
      </c>
      <c r="K35" s="66">
        <f t="shared" ca="1" si="4"/>
        <v>0.11121914325094971</v>
      </c>
      <c r="L35" s="65">
        <f t="shared" ca="1" si="11"/>
        <v>0.27996089644913802</v>
      </c>
      <c r="N35" s="55">
        <f t="shared" ca="1" si="5"/>
        <v>13</v>
      </c>
      <c r="O35" s="67">
        <f t="shared" ca="1" si="6"/>
        <v>37649</v>
      </c>
      <c r="P35" s="57">
        <f t="shared" ca="1" si="7"/>
        <v>2.4485717541272E-2</v>
      </c>
      <c r="Q35" s="192">
        <f ca="1">IF(Q$22="nymex",expiry!H75+1,B35)</f>
        <v>37653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S35" s="269" t="e">
        <f ca="1">_xll.OSTRIP(F35,F35,Q35-TODAY(),B35-Q35,B36-Q35-1,1,P35,G35,R35,1,0,1,0)</f>
        <v>#VALUE!</v>
      </c>
      <c r="AW35" s="66">
        <v>0.05</v>
      </c>
      <c r="BC35" s="66">
        <v>-0.05</v>
      </c>
      <c r="BD35" s="53">
        <f>[2]!'NGc13 cls'</f>
        <v>3.157</v>
      </c>
      <c r="BE35" s="53" t="e">
        <f>[2]!'NGc13 LAST'</f>
        <v>#REF!</v>
      </c>
      <c r="BK35" s="53">
        <f>[2]!'CLc13 LAST'</f>
        <v>0</v>
      </c>
      <c r="CC35" s="55">
        <v>-162</v>
      </c>
      <c r="CD35" s="55">
        <f t="shared" si="12"/>
        <v>-0.16200000000000001</v>
      </c>
      <c r="CE35" s="55"/>
      <c r="CF35" s="55"/>
    </row>
    <row r="36" spans="1:84" x14ac:dyDescent="0.25">
      <c r="A36" s="53">
        <f t="shared" si="9"/>
        <v>14</v>
      </c>
      <c r="B36" s="64">
        <v>37681</v>
      </c>
      <c r="C36" s="53">
        <f ca="1">[4]!'NGH3,PRIM ACT 1,1'</f>
        <v>3.0950000000000002</v>
      </c>
      <c r="D36" s="53">
        <f t="shared" ca="1" si="1"/>
        <v>3.0630000000000002</v>
      </c>
      <c r="E36" s="156">
        <f t="shared" ca="1" si="14"/>
        <v>-1.5749999999999709E-2</v>
      </c>
      <c r="F36" s="65">
        <f t="shared" ca="1" si="2"/>
        <v>3.0950000000000002</v>
      </c>
      <c r="G36" s="66">
        <f t="shared" ca="1" si="10"/>
        <v>0.10961591972285328</v>
      </c>
      <c r="H36" s="66">
        <f t="shared" ca="1" si="3"/>
        <v>0.53300000000000003</v>
      </c>
      <c r="I36" s="66">
        <v>0</v>
      </c>
      <c r="J36" s="156">
        <v>0.28000000000000003</v>
      </c>
      <c r="K36" s="66">
        <f t="shared" ca="1" si="4"/>
        <v>0.10961591972285328</v>
      </c>
      <c r="L36" s="65">
        <f t="shared" ca="1" si="11"/>
        <v>0.27995699118810968</v>
      </c>
      <c r="N36" s="55">
        <f t="shared" ca="1" si="5"/>
        <v>14</v>
      </c>
      <c r="O36" s="67">
        <f t="shared" ca="1" si="6"/>
        <v>37677</v>
      </c>
      <c r="P36" s="57">
        <f t="shared" ca="1" si="7"/>
        <v>2.53610969536586E-2</v>
      </c>
      <c r="Q36" s="192">
        <f ca="1">IF(Q$22="nymex",expiry!H76+1,B36)</f>
        <v>37681</v>
      </c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S36" s="269" t="e">
        <f ca="1">_xll.OSTRIP(F36,F36,Q36-TODAY(),B36-Q36,B37-Q36-1,1,P36,G36,R36,1,0,1,0)</f>
        <v>#VALUE!</v>
      </c>
      <c r="AW36" s="66">
        <v>0.05</v>
      </c>
      <c r="BC36" s="66">
        <v>-0.05</v>
      </c>
      <c r="BD36" s="53">
        <f>[2]!'NGc14 cls'</f>
        <v>3.3170000000000002</v>
      </c>
      <c r="BE36" s="53" t="e">
        <f>[2]!'NGc14 LAST'</f>
        <v>#REF!</v>
      </c>
      <c r="CC36" s="55">
        <v>-157</v>
      </c>
      <c r="CD36" s="55">
        <f t="shared" si="12"/>
        <v>-0.157</v>
      </c>
      <c r="CE36" s="55"/>
      <c r="CF36" s="55"/>
    </row>
    <row r="37" spans="1:84" x14ac:dyDescent="0.25">
      <c r="A37" s="53">
        <f t="shared" si="9"/>
        <v>15</v>
      </c>
      <c r="B37" s="64">
        <v>37712</v>
      </c>
      <c r="C37" s="53">
        <f>[4]!'NGJ3,PRIM ACT 1,1'</f>
        <v>2.93</v>
      </c>
      <c r="D37" s="53">
        <f t="shared" ca="1" si="1"/>
        <v>2.9279999999999999</v>
      </c>
      <c r="E37" s="156">
        <f t="shared" ca="1" si="14"/>
        <v>-1.5749999999999709E-2</v>
      </c>
      <c r="F37" s="65">
        <f t="shared" ca="1" si="2"/>
        <v>2.93</v>
      </c>
      <c r="G37" s="66">
        <f t="shared" ca="1" si="10"/>
        <v>0.11228019380736319</v>
      </c>
      <c r="H37" s="66">
        <f t="shared" ca="1" si="3"/>
        <v>0.503</v>
      </c>
      <c r="I37" s="66">
        <v>0</v>
      </c>
      <c r="J37" s="156">
        <v>0.28000000000000003</v>
      </c>
      <c r="K37" s="66">
        <f t="shared" ca="1" si="4"/>
        <v>0.11228019380736319</v>
      </c>
      <c r="L37" s="65">
        <f t="shared" ca="1" si="11"/>
        <v>0.2799673971358132</v>
      </c>
      <c r="N37" s="55">
        <f t="shared" ca="1" si="5"/>
        <v>15</v>
      </c>
      <c r="O37" s="67">
        <f t="shared" ca="1" si="6"/>
        <v>37706</v>
      </c>
      <c r="P37" s="57">
        <f t="shared" ca="1" si="7"/>
        <v>2.6151762451951801E-2</v>
      </c>
      <c r="Q37" s="192">
        <f ca="1">IF(Q$22="nymex",expiry!H77+1,B37)</f>
        <v>37712</v>
      </c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S37" s="269" t="e">
        <f ca="1">_xll.OSTRIP(F37,F37,Q37-TODAY(),B37-Q37,B38-Q37-1,1,P37,G37,R37,1,0,1,0)</f>
        <v>#VALUE!</v>
      </c>
      <c r="AW37" s="66">
        <v>0.05</v>
      </c>
      <c r="BC37" s="66">
        <v>-0.05</v>
      </c>
      <c r="BD37" s="53">
        <f>[2]!'NGc15 cls'</f>
        <v>3.4780000000000002</v>
      </c>
      <c r="BE37" s="53" t="e">
        <f>[2]!'NGc15 LAST'</f>
        <v>#REF!</v>
      </c>
      <c r="CC37" s="55">
        <v>-147</v>
      </c>
      <c r="CD37" s="55">
        <f t="shared" si="12"/>
        <v>-0.14699999999999999</v>
      </c>
      <c r="CE37" s="55"/>
      <c r="CF37" s="55"/>
    </row>
    <row r="38" spans="1:84" x14ac:dyDescent="0.25">
      <c r="A38" s="53">
        <f t="shared" si="9"/>
        <v>16</v>
      </c>
      <c r="B38" s="64">
        <v>37742</v>
      </c>
      <c r="C38" s="53">
        <f>[4]!'NGK3,PRIM ACT 1,1'</f>
        <v>2.94</v>
      </c>
      <c r="D38" s="53">
        <f t="shared" ca="1" si="1"/>
        <v>2.923</v>
      </c>
      <c r="E38" s="156">
        <f t="shared" ca="1" si="14"/>
        <v>-1.5749999999999709E-2</v>
      </c>
      <c r="F38" s="65">
        <f t="shared" ca="1" si="2"/>
        <v>2.94</v>
      </c>
      <c r="G38" s="66">
        <f t="shared" ca="1" si="10"/>
        <v>0.10865547047500818</v>
      </c>
      <c r="H38" s="66">
        <f t="shared" ca="1" si="3"/>
        <v>0.42499999999999999</v>
      </c>
      <c r="I38" s="66">
        <v>0</v>
      </c>
      <c r="J38" s="156">
        <v>0.28000000000000003</v>
      </c>
      <c r="K38" s="66">
        <f t="shared" ca="1" si="4"/>
        <v>0.10865547047500818</v>
      </c>
      <c r="L38" s="65">
        <f t="shared" ca="1" si="11"/>
        <v>0.27998860683530413</v>
      </c>
      <c r="N38" s="55">
        <f t="shared" ca="1" si="5"/>
        <v>16</v>
      </c>
      <c r="O38" s="67">
        <f t="shared" ca="1" si="6"/>
        <v>37736</v>
      </c>
      <c r="P38" s="57">
        <f t="shared" ca="1" si="7"/>
        <v>2.70235470347737E-2</v>
      </c>
      <c r="Q38" s="192">
        <f ca="1">IF(Q$22="nymex",expiry!H78+1,B38)</f>
        <v>37742</v>
      </c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S38" s="269" t="e">
        <f ca="1">_xll.OSTRIP(F38,F38,Q38-TODAY(),B38-Q38,B39-Q38-1,1,P38,G38,R38,1,0,1,0)</f>
        <v>#VALUE!</v>
      </c>
      <c r="AW38" s="66">
        <v>0.05</v>
      </c>
      <c r="BC38" s="66">
        <v>-0.05</v>
      </c>
      <c r="BD38" s="53">
        <f>[2]!'NGc16 cls'</f>
        <v>3.5550000000000002</v>
      </c>
      <c r="BE38" s="53" t="e">
        <f>[2]!'NGc16 LAST'</f>
        <v>#REF!</v>
      </c>
      <c r="CC38" s="55">
        <v>-170</v>
      </c>
      <c r="CD38" s="55">
        <f t="shared" si="12"/>
        <v>-0.17</v>
      </c>
      <c r="CE38" s="55"/>
      <c r="CF38" s="55"/>
    </row>
    <row r="39" spans="1:84" x14ac:dyDescent="0.25">
      <c r="A39" s="53">
        <f t="shared" si="9"/>
        <v>17</v>
      </c>
      <c r="B39" s="64">
        <v>37773</v>
      </c>
      <c r="C39" s="53">
        <f>[4]!'NGM3,PRIM ACT 1,1'</f>
        <v>2.923</v>
      </c>
      <c r="D39" s="53">
        <f t="shared" ca="1" si="1"/>
        <v>2.9630000000000001</v>
      </c>
      <c r="E39" s="156">
        <f t="shared" ca="1" si="14"/>
        <v>-1.5749999999999709E-2</v>
      </c>
      <c r="F39" s="65">
        <f t="shared" ca="1" si="2"/>
        <v>2.923</v>
      </c>
      <c r="G39" s="66">
        <f t="shared" ca="1" si="10"/>
        <v>0.10614183277266946</v>
      </c>
      <c r="H39" s="66">
        <f t="shared" ca="1" si="3"/>
        <v>0.41</v>
      </c>
      <c r="I39" s="66">
        <v>0</v>
      </c>
      <c r="J39" s="156">
        <v>0.28000000000000003</v>
      </c>
      <c r="K39" s="66">
        <f t="shared" ca="1" si="4"/>
        <v>0.10614183277266946</v>
      </c>
      <c r="L39" s="65">
        <f t="shared" ca="1" si="11"/>
        <v>0.27998904587170337</v>
      </c>
      <c r="N39" s="55">
        <f t="shared" ca="1" si="5"/>
        <v>17</v>
      </c>
      <c r="O39" s="67">
        <f t="shared" ca="1" si="6"/>
        <v>37768</v>
      </c>
      <c r="P39" s="57">
        <f t="shared" ca="1" si="7"/>
        <v>2.78505455310585E-2</v>
      </c>
      <c r="Q39" s="192">
        <f ca="1">IF(Q$22="nymex",expiry!H79+1,B39)</f>
        <v>37773</v>
      </c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S39" s="269" t="e">
        <f ca="1">_xll.OSTRIP(F39,F39,Q39-TODAY(),B39-Q39,B40-Q39-1,1,P39,G39,R39,1,0,1,0)</f>
        <v>#VALUE!</v>
      </c>
      <c r="AW39" s="66">
        <v>0.05</v>
      </c>
      <c r="BD39" s="53">
        <f>[2]!'NGc17 cls'</f>
        <v>3.4449999999999998</v>
      </c>
      <c r="BE39" s="53" t="e">
        <f>[2]!'NGc17 LAST'</f>
        <v>#REF!</v>
      </c>
      <c r="CC39" s="55">
        <v>-165</v>
      </c>
      <c r="CD39" s="55">
        <f t="shared" si="12"/>
        <v>-0.16500000000000001</v>
      </c>
      <c r="CE39" s="55"/>
      <c r="CF39" s="55"/>
    </row>
    <row r="40" spans="1:84" x14ac:dyDescent="0.25">
      <c r="A40" s="53">
        <f t="shared" si="9"/>
        <v>18</v>
      </c>
      <c r="B40" s="64">
        <v>37803</v>
      </c>
      <c r="C40" s="53">
        <f ca="1">[4]!'NGN3,PRIM ACT 1,1'</f>
        <v>3.0150000000000001</v>
      </c>
      <c r="D40" s="53">
        <f t="shared" ca="1" si="1"/>
        <v>3.0030000000000001</v>
      </c>
      <c r="E40" s="156">
        <f t="shared" ca="1" si="14"/>
        <v>-1.5749999999999709E-2</v>
      </c>
      <c r="F40" s="65">
        <f t="shared" ca="1" si="2"/>
        <v>3.0150000000000001</v>
      </c>
      <c r="G40" s="66">
        <f t="shared" ca="1" si="10"/>
        <v>0.100412676617499</v>
      </c>
      <c r="H40" s="66">
        <f t="shared" ca="1" si="3"/>
        <v>0.40500000000000003</v>
      </c>
      <c r="I40" s="66">
        <v>0</v>
      </c>
      <c r="J40" s="156">
        <v>0.28000000000000003</v>
      </c>
      <c r="K40" s="66">
        <f t="shared" ca="1" si="4"/>
        <v>0.100412676617499</v>
      </c>
      <c r="L40" s="65">
        <f t="shared" ca="1" si="11"/>
        <v>0.27998694512864919</v>
      </c>
      <c r="N40" s="55">
        <f t="shared" ca="1" si="5"/>
        <v>18</v>
      </c>
      <c r="O40" s="67">
        <f t="shared" ca="1" si="6"/>
        <v>37797</v>
      </c>
      <c r="P40" s="57">
        <f t="shared" ca="1" si="7"/>
        <v>2.8705110886401802E-2</v>
      </c>
      <c r="Q40" s="192">
        <f ca="1">IF(Q$22="nymex",expiry!H80+1,B40)</f>
        <v>37803</v>
      </c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S40" s="269" t="e">
        <f ca="1">_xll.OSTRIP(F40,F40,Q40-TODAY(),B40-Q40,B41-Q40-1,1,P40,G40,R40,1,0,1,0)</f>
        <v>#VALUE!</v>
      </c>
      <c r="AW40" s="66">
        <v>0.05</v>
      </c>
      <c r="BD40" s="53">
        <f>[2]!'NGc18 cls'</f>
        <v>3.3180000000000001</v>
      </c>
      <c r="BE40" s="53" t="e">
        <f>[2]!'NGc18 LAST'</f>
        <v>#REF!</v>
      </c>
      <c r="CC40" s="55">
        <v>-185</v>
      </c>
      <c r="CD40" s="55">
        <f t="shared" si="12"/>
        <v>-0.185</v>
      </c>
      <c r="CE40" s="55"/>
      <c r="CF40" s="55"/>
    </row>
    <row r="41" spans="1:84" x14ac:dyDescent="0.25">
      <c r="A41" s="53">
        <f t="shared" si="9"/>
        <v>19</v>
      </c>
      <c r="B41" s="64">
        <v>37834</v>
      </c>
      <c r="C41" s="53">
        <f>[4]!'NGQ3,PRIM ACT 1,1'</f>
        <v>3.0750000000000002</v>
      </c>
      <c r="D41" s="53">
        <f t="shared" ca="1" si="1"/>
        <v>3.0449999999999999</v>
      </c>
      <c r="E41" s="156">
        <f t="shared" ca="1" si="14"/>
        <v>-1.5749999999999709E-2</v>
      </c>
      <c r="F41" s="65">
        <f t="shared" ca="1" si="2"/>
        <v>3.0750000000000002</v>
      </c>
      <c r="G41" s="66">
        <f t="shared" ca="1" si="10"/>
        <v>9.5911872361824954E-2</v>
      </c>
      <c r="H41" s="66">
        <f t="shared" ca="1" si="3"/>
        <v>0.40500000000000003</v>
      </c>
      <c r="I41" s="66">
        <v>0</v>
      </c>
      <c r="J41" s="156">
        <v>0.28000000000000003</v>
      </c>
      <c r="K41" s="66">
        <f t="shared" ca="1" si="4"/>
        <v>9.5911872361824954E-2</v>
      </c>
      <c r="L41" s="65">
        <f t="shared" ca="1" si="11"/>
        <v>0.27998300592205005</v>
      </c>
      <c r="N41" s="55">
        <f t="shared" ca="1" si="5"/>
        <v>19</v>
      </c>
      <c r="O41" s="67">
        <f t="shared" ca="1" si="6"/>
        <v>37830</v>
      </c>
      <c r="P41" s="57">
        <f t="shared" ca="1" si="7"/>
        <v>2.9520453177735599E-2</v>
      </c>
      <c r="Q41" s="192">
        <f ca="1">IF(Q$22="nymex",expiry!H81+1,B41)</f>
        <v>37834</v>
      </c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S41" s="269" t="e">
        <f ca="1">_xll.OSTRIP(F41,F41,Q41-TODAY(),B41-Q41,B42-Q41-1,1,P41,G41,R41,1,0,1,0)</f>
        <v>#VALUE!</v>
      </c>
      <c r="AW41" s="66">
        <v>0.1</v>
      </c>
      <c r="BD41" s="53">
        <f>[2]!'NGc19 cls'</f>
        <v>3.1379999999999999</v>
      </c>
      <c r="BE41" s="53" t="e">
        <f>[2]!'NGc19 LAST'</f>
        <v>#REF!</v>
      </c>
      <c r="CC41" s="55">
        <v>-172</v>
      </c>
      <c r="CD41" s="55">
        <f t="shared" si="12"/>
        <v>-0.17199999999999999</v>
      </c>
      <c r="CE41" s="55"/>
      <c r="CF41" s="55"/>
    </row>
    <row r="42" spans="1:84" x14ac:dyDescent="0.25">
      <c r="A42" s="53">
        <f t="shared" si="9"/>
        <v>20</v>
      </c>
      <c r="B42" s="64">
        <v>37865</v>
      </c>
      <c r="C42" s="53">
        <f>[4]!'NGU3,PRIM ACT 1,1'</f>
        <v>3.0750000000000002</v>
      </c>
      <c r="D42" s="53">
        <f t="shared" ca="1" si="1"/>
        <v>3.0449999999999999</v>
      </c>
      <c r="E42" s="156">
        <f t="shared" ca="1" si="14"/>
        <v>-1.5749999999999709E-2</v>
      </c>
      <c r="F42" s="65">
        <f t="shared" ca="1" si="2"/>
        <v>3.0750000000000002</v>
      </c>
      <c r="G42" s="66">
        <f t="shared" ca="1" si="10"/>
        <v>9.3894754068105851E-2</v>
      </c>
      <c r="H42" s="66">
        <f t="shared" ca="1" si="3"/>
        <v>0.40500000000000003</v>
      </c>
      <c r="I42" s="66">
        <v>0</v>
      </c>
      <c r="J42" s="156">
        <v>0.28000000000000003</v>
      </c>
      <c r="K42" s="66">
        <f t="shared" ca="1" si="4"/>
        <v>9.3894754068105851E-2</v>
      </c>
      <c r="L42" s="65">
        <f t="shared" ca="1" si="11"/>
        <v>0.27997947682914504</v>
      </c>
      <c r="N42" s="55">
        <f t="shared" ca="1" si="5"/>
        <v>20</v>
      </c>
      <c r="O42" s="67">
        <f t="shared" ca="1" si="6"/>
        <v>37859</v>
      </c>
      <c r="P42" s="57">
        <f t="shared" ca="1" si="7"/>
        <v>3.0346320792436401E-2</v>
      </c>
      <c r="Q42" s="192">
        <f ca="1">IF(Q$22="nymex",expiry!H82+1,B42)</f>
        <v>37865</v>
      </c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S42" s="269" t="e">
        <f ca="1">_xll.OSTRIP(F42,F42,Q42-TODAY(),B42-Q42,B43-Q42-1,1,P42,G42,R42,1,0,1,0)</f>
        <v>#VALUE!</v>
      </c>
      <c r="AW42" s="66">
        <v>0.2</v>
      </c>
      <c r="BD42" s="53">
        <f>[2]!'NGc20 cls'</f>
        <v>3.1429999999999998</v>
      </c>
      <c r="BE42" s="53" t="e">
        <f>[2]!'NGc20 LAST'</f>
        <v>#REF!</v>
      </c>
      <c r="CC42" s="55">
        <v>-172</v>
      </c>
      <c r="CD42" s="55">
        <f t="shared" si="12"/>
        <v>-0.17199999999999999</v>
      </c>
      <c r="CE42" s="55"/>
      <c r="CF42" s="55"/>
    </row>
    <row r="43" spans="1:84" x14ac:dyDescent="0.25">
      <c r="A43" s="53">
        <f t="shared" si="9"/>
        <v>21</v>
      </c>
      <c r="B43" s="64">
        <v>37895</v>
      </c>
      <c r="C43" s="53">
        <f>[4]!'NGV3,PRIM ACT 1,1'</f>
        <v>3.06</v>
      </c>
      <c r="D43" s="53">
        <f t="shared" ca="1" si="1"/>
        <v>3.085</v>
      </c>
      <c r="E43" s="156">
        <f t="shared" ca="1" si="14"/>
        <v>-1.5749999999999709E-2</v>
      </c>
      <c r="F43" s="65">
        <f t="shared" ca="1" si="2"/>
        <v>3.06</v>
      </c>
      <c r="G43" s="66">
        <f t="shared" ca="1" si="10"/>
        <v>9.2427484559761103E-2</v>
      </c>
      <c r="H43" s="66">
        <f t="shared" ca="1" si="3"/>
        <v>0.4</v>
      </c>
      <c r="I43" s="66">
        <v>0</v>
      </c>
      <c r="J43" s="156">
        <v>0.28000000000000003</v>
      </c>
      <c r="K43" s="66">
        <f t="shared" ca="1" si="4"/>
        <v>9.2427484559761103E-2</v>
      </c>
      <c r="L43" s="65">
        <f t="shared" ca="1" si="11"/>
        <v>0.27997774902355843</v>
      </c>
      <c r="N43" s="55">
        <f t="shared" ca="1" si="5"/>
        <v>21</v>
      </c>
      <c r="O43" s="67">
        <f t="shared" ca="1" si="6"/>
        <v>37889</v>
      </c>
      <c r="P43" s="57">
        <f t="shared" ca="1" si="7"/>
        <v>3.1172188637070199E-2</v>
      </c>
      <c r="Q43" s="192">
        <f ca="1">IF(Q$22="nymex",expiry!H83+1,B43)</f>
        <v>37895</v>
      </c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S43" s="269" t="e">
        <f ca="1">_xll.OSTRIP(F43,F43,Q43-TODAY(),B43-Q43,B44-Q43-1,1,P43,G43,R43,1,0,1,0)</f>
        <v>#VALUE!</v>
      </c>
      <c r="AW43" s="66">
        <v>0.3</v>
      </c>
      <c r="BD43" s="53">
        <f>[2]!'NGc21 cls'</f>
        <v>3.1709999999999998</v>
      </c>
      <c r="BE43" s="53" t="e">
        <f>[2]!'NGc21 LAST'</f>
        <v>#REF!</v>
      </c>
      <c r="CC43" s="55">
        <v>-172</v>
      </c>
      <c r="CD43" s="55">
        <f t="shared" si="12"/>
        <v>-0.17199999999999999</v>
      </c>
      <c r="CE43" s="55"/>
      <c r="CF43" s="55"/>
    </row>
    <row r="44" spans="1:84" x14ac:dyDescent="0.25">
      <c r="A44" s="53">
        <f t="shared" si="9"/>
        <v>22</v>
      </c>
      <c r="B44" s="64">
        <v>37926</v>
      </c>
      <c r="C44" s="53">
        <f>[4]!'NGX3,PRIM ACT 1,1'</f>
        <v>3.21</v>
      </c>
      <c r="D44" s="53">
        <f t="shared" ca="1" si="1"/>
        <v>3.2330000000000001</v>
      </c>
      <c r="E44" s="156">
        <f t="shared" ca="1" si="14"/>
        <v>-1.5749999999999709E-2</v>
      </c>
      <c r="F44" s="65">
        <f t="shared" ca="1" si="2"/>
        <v>3.21</v>
      </c>
      <c r="G44" s="66">
        <f t="shared" ca="1" si="10"/>
        <v>8.622962622633798E-2</v>
      </c>
      <c r="H44" s="66">
        <f t="shared" ca="1" si="3"/>
        <v>0.4</v>
      </c>
      <c r="I44" s="66">
        <v>0</v>
      </c>
      <c r="J44" s="156">
        <v>0.28000000000000003</v>
      </c>
      <c r="K44" s="66">
        <f t="shared" ca="1" si="4"/>
        <v>8.622962622633798E-2</v>
      </c>
      <c r="L44" s="65">
        <f t="shared" ca="1" si="11"/>
        <v>0.27997076423750356</v>
      </c>
      <c r="N44" s="55">
        <f t="shared" ca="1" si="5"/>
        <v>22</v>
      </c>
      <c r="O44" s="67">
        <f t="shared" ca="1" si="6"/>
        <v>37922</v>
      </c>
      <c r="P44" s="57">
        <f t="shared" ca="1" si="7"/>
        <v>3.1942240182241101E-2</v>
      </c>
      <c r="Q44" s="192">
        <f ca="1">IF(Q$22="nymex",expiry!H84+1,B44)</f>
        <v>37926</v>
      </c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S44" s="269" t="e">
        <f ca="1">_xll.OSTRIP(F44,F44,Q44-TODAY(),B44-Q44,B45-Q44-1,1,P44,G44,R44,1,0,1,0)</f>
        <v>#VALUE!</v>
      </c>
      <c r="AW44" s="66">
        <v>0.3</v>
      </c>
      <c r="BD44" s="53">
        <f>[2]!'NGc22 cls'</f>
        <v>3.1960000000000002</v>
      </c>
      <c r="BE44" s="53" t="e">
        <f>[2]!'NGc22 LAST'</f>
        <v>#REF!</v>
      </c>
      <c r="BF44" s="69"/>
      <c r="CC44" s="55">
        <v>-172</v>
      </c>
      <c r="CD44" s="55">
        <f t="shared" si="12"/>
        <v>-0.17199999999999999</v>
      </c>
      <c r="CE44" s="55"/>
      <c r="CF44" s="55"/>
    </row>
    <row r="45" spans="1:84" x14ac:dyDescent="0.25">
      <c r="A45" s="53">
        <f t="shared" si="9"/>
        <v>23</v>
      </c>
      <c r="B45" s="64">
        <v>37956</v>
      </c>
      <c r="C45" s="53">
        <f>[4]!'NGZ3,PRIM ACT 1,1'</f>
        <v>3.19</v>
      </c>
      <c r="D45" s="53">
        <f t="shared" ca="1" si="1"/>
        <v>3.335</v>
      </c>
      <c r="E45" s="156">
        <f t="shared" ca="1" si="14"/>
        <v>-1.5749999999999709E-2</v>
      </c>
      <c r="F45" s="65">
        <f t="shared" ca="1" si="2"/>
        <v>3.19</v>
      </c>
      <c r="G45" s="66">
        <f t="shared" ca="1" si="10"/>
        <v>8.5368438480601591E-2</v>
      </c>
      <c r="H45" s="66">
        <f t="shared" ca="1" si="3"/>
        <v>0.39800000000000002</v>
      </c>
      <c r="I45" s="66">
        <v>0</v>
      </c>
      <c r="J45" s="156">
        <v>0.28000000000000003</v>
      </c>
      <c r="K45" s="66">
        <f t="shared" ca="1" si="4"/>
        <v>8.5368438480601591E-2</v>
      </c>
      <c r="L45" s="65">
        <f t="shared" ca="1" si="11"/>
        <v>0.27996766900493064</v>
      </c>
      <c r="N45" s="55">
        <f t="shared" ca="1" si="5"/>
        <v>23</v>
      </c>
      <c r="O45" s="67">
        <f t="shared" ca="1" si="6"/>
        <v>37949</v>
      </c>
      <c r="P45" s="57">
        <f t="shared" ca="1" si="7"/>
        <v>3.2701454698897098E-2</v>
      </c>
      <c r="Q45" s="192">
        <f ca="1">IF(Q$22="nymex",expiry!H85+1,B45)</f>
        <v>37956</v>
      </c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S45" s="269" t="e">
        <f ca="1">_xll.OSTRIP(F45,F45,Q45-TODAY(),B45-Q45,B46-Q45-1,1,P45,G45,R45,1,0,1,0)</f>
        <v>#VALUE!</v>
      </c>
      <c r="AW45" s="66">
        <v>0.25</v>
      </c>
      <c r="BD45" s="53">
        <f>[2]!'NGc23 cls'</f>
        <v>3.2160000000000002</v>
      </c>
      <c r="BE45" s="53" t="e">
        <f>[2]!'NGc23 LAST'</f>
        <v>#REF!</v>
      </c>
      <c r="BF45" s="69"/>
      <c r="CC45" s="55">
        <v>-172</v>
      </c>
      <c r="CD45" s="55">
        <f t="shared" si="12"/>
        <v>-0.17199999999999999</v>
      </c>
      <c r="CE45" s="55"/>
      <c r="CF45" s="55"/>
    </row>
    <row r="46" spans="1:84" x14ac:dyDescent="0.25">
      <c r="A46" s="53">
        <f t="shared" si="9"/>
        <v>24</v>
      </c>
      <c r="B46" s="64">
        <v>37987</v>
      </c>
      <c r="C46" s="53">
        <f>[4]!'NGF4,PRIM ACT 1,1'</f>
        <v>3.2559999999999998</v>
      </c>
      <c r="D46" s="53">
        <f t="shared" ca="1" si="1"/>
        <v>3.42</v>
      </c>
      <c r="E46" s="156">
        <f t="shared" ref="E46:E57" ca="1" si="15">K$11</f>
        <v>-2.4500000000000632E-2</v>
      </c>
      <c r="F46" s="65">
        <f t="shared" ca="1" si="2"/>
        <v>3.2559999999999998</v>
      </c>
      <c r="G46" s="66">
        <f t="shared" ca="1" si="10"/>
        <v>8.2102597608122135E-2</v>
      </c>
      <c r="H46" s="66">
        <f t="shared" ca="1" si="3"/>
        <v>0.39800000000000002</v>
      </c>
      <c r="I46" s="66">
        <v>0</v>
      </c>
      <c r="J46" s="156">
        <v>0.28000000000000003</v>
      </c>
      <c r="K46" s="66">
        <f t="shared" ca="1" si="4"/>
        <v>8.2102597608122135E-2</v>
      </c>
      <c r="L46" s="65">
        <f t="shared" ca="1" si="11"/>
        <v>0.27996042246379904</v>
      </c>
      <c r="N46" s="55">
        <f t="shared" ca="1" si="5"/>
        <v>24</v>
      </c>
      <c r="O46" s="67">
        <f t="shared" ca="1" si="6"/>
        <v>37981</v>
      </c>
      <c r="P46" s="57">
        <f t="shared" ca="1" si="7"/>
        <v>3.3436178609494799E-2</v>
      </c>
      <c r="Q46" s="192">
        <f ca="1">IF(Q$22="nymex",expiry!H86+1,B46)</f>
        <v>37987</v>
      </c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S46" s="269" t="e">
        <f ca="1">_xll.OSTRIP(F46,F46,Q46-TODAY(),B46-Q46,B47-Q46-1,1,P46,G46,R46,1,0,1,0)</f>
        <v>#VALUE!</v>
      </c>
      <c r="AW46" s="66">
        <v>0.05</v>
      </c>
      <c r="BD46" s="53">
        <f>[2]!'NGc24 cls'</f>
        <v>3.2160000000000002</v>
      </c>
      <c r="BE46" s="53" t="e">
        <f>[2]!'NGc24 LAST'</f>
        <v>#REF!</v>
      </c>
      <c r="BF46" s="69"/>
      <c r="CC46" s="55">
        <v>-186</v>
      </c>
      <c r="CD46" s="55">
        <f t="shared" si="12"/>
        <v>-0.186</v>
      </c>
      <c r="CE46" s="55"/>
      <c r="CF46" s="55"/>
    </row>
    <row r="47" spans="1:84" x14ac:dyDescent="0.25">
      <c r="A47" s="53">
        <f t="shared" si="9"/>
        <v>25</v>
      </c>
      <c r="B47" s="64">
        <v>38018</v>
      </c>
      <c r="C47" s="53">
        <f>[4]!'NGG4,PRIM ACT 1,1'</f>
        <v>3.35</v>
      </c>
      <c r="D47" s="53">
        <f t="shared" ca="1" si="1"/>
        <v>3.3010000000000002</v>
      </c>
      <c r="E47" s="156">
        <f t="shared" ca="1" si="15"/>
        <v>-2.4500000000000632E-2</v>
      </c>
      <c r="F47" s="65">
        <f t="shared" ca="1" si="2"/>
        <v>3.35</v>
      </c>
      <c r="G47" s="66">
        <f t="shared" ca="1" si="10"/>
        <v>7.850215432843291E-2</v>
      </c>
      <c r="H47" s="66">
        <f t="shared" ca="1" si="3"/>
        <v>0.37</v>
      </c>
      <c r="I47" s="66">
        <v>0</v>
      </c>
      <c r="J47" s="156">
        <v>0.28000000000000003</v>
      </c>
      <c r="K47" s="66">
        <f t="shared" ca="1" si="4"/>
        <v>7.850215432843291E-2</v>
      </c>
      <c r="L47" s="65">
        <f t="shared" ca="1" si="11"/>
        <v>0.27997211623676233</v>
      </c>
      <c r="N47" s="55">
        <f t="shared" ca="1" si="5"/>
        <v>25</v>
      </c>
      <c r="O47" s="67">
        <f t="shared" ca="1" si="6"/>
        <v>38013</v>
      </c>
      <c r="P47" s="57">
        <f t="shared" ca="1" si="7"/>
        <v>3.4638956672782897E-2</v>
      </c>
      <c r="Q47" s="192">
        <f ca="1">IF(Q$22="nymex",expiry!H87+1,B47)</f>
        <v>38018</v>
      </c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S47" s="269" t="e">
        <f ca="1">_xll.OSTRIP(F47,F47,Q47-TODAY(),B47-Q47,B48-Q47-1,1,P47,G47,R47,1,0,1,0)</f>
        <v>#VALUE!</v>
      </c>
      <c r="AW47" s="66">
        <v>0.05</v>
      </c>
      <c r="BD47" s="53">
        <f>[2]!'NGc25 cls'</f>
        <v>3.2210000000000001</v>
      </c>
      <c r="BE47" s="53" t="e">
        <f>[2]!'NGc25 LAST'</f>
        <v>#REF!</v>
      </c>
      <c r="BF47" s="69"/>
      <c r="CC47" s="55">
        <v>-181</v>
      </c>
      <c r="CD47" s="55">
        <f t="shared" si="12"/>
        <v>-0.18099999999999999</v>
      </c>
      <c r="CE47" s="55"/>
      <c r="CF47" s="55"/>
    </row>
    <row r="48" spans="1:84" x14ac:dyDescent="0.25">
      <c r="A48" s="53">
        <f t="shared" si="9"/>
        <v>26</v>
      </c>
      <c r="B48" s="64">
        <v>38047</v>
      </c>
      <c r="C48" s="53">
        <f>[4]!'NGH4,PRIM ACT 1,1'</f>
        <v>3.25</v>
      </c>
      <c r="D48" s="53">
        <f t="shared" ca="1" si="1"/>
        <v>3.25</v>
      </c>
      <c r="E48" s="156">
        <f t="shared" ca="1" si="15"/>
        <v>-2.4500000000000632E-2</v>
      </c>
      <c r="F48" s="65">
        <f t="shared" ca="1" si="2"/>
        <v>3.25</v>
      </c>
      <c r="G48" s="66">
        <f t="shared" ca="1" si="10"/>
        <v>7.9803694961907645E-2</v>
      </c>
      <c r="H48" s="66">
        <f t="shared" ca="1" si="3"/>
        <v>0.36499999999999999</v>
      </c>
      <c r="I48" s="66">
        <v>0</v>
      </c>
      <c r="J48" s="156">
        <v>0.28000000000000003</v>
      </c>
      <c r="K48" s="66">
        <f t="shared" ca="1" si="4"/>
        <v>7.9803694961907645E-2</v>
      </c>
      <c r="L48" s="65">
        <f t="shared" ca="1" si="11"/>
        <v>0.27997264160650914</v>
      </c>
      <c r="N48" s="55">
        <f t="shared" ca="1" si="5"/>
        <v>26</v>
      </c>
      <c r="O48" s="67">
        <f t="shared" ca="1" si="6"/>
        <v>38041</v>
      </c>
      <c r="P48" s="57">
        <f t="shared" ca="1" si="7"/>
        <v>3.5468569142181203E-2</v>
      </c>
      <c r="Q48" s="192">
        <f ca="1">IF(Q$22="nymex",expiry!H88+1,B48)</f>
        <v>38047</v>
      </c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S48" s="269" t="e">
        <f ca="1">_xll.OSTRIP(F48,F48,Q48-TODAY(),B48-Q48,B49-Q48-1,1,P48,G48,R48,1,0,1,0)</f>
        <v>#VALUE!</v>
      </c>
      <c r="AW48" s="66">
        <v>0.05</v>
      </c>
      <c r="BD48" s="53">
        <f>[2]!'NGc26 cls'</f>
        <v>3.371</v>
      </c>
      <c r="BE48" s="53" t="e">
        <f>[2]!'NGc26 LAST'</f>
        <v>#REF!</v>
      </c>
      <c r="BF48" s="69"/>
      <c r="CC48" s="55">
        <v>-179</v>
      </c>
      <c r="CD48" s="55">
        <f t="shared" si="12"/>
        <v>-0.17899999999999999</v>
      </c>
      <c r="CE48" s="55"/>
      <c r="CF48" s="55"/>
    </row>
    <row r="49" spans="1:84" x14ac:dyDescent="0.25">
      <c r="A49" s="53">
        <f t="shared" si="9"/>
        <v>27</v>
      </c>
      <c r="B49" s="64">
        <f t="shared" ref="B49:B80" si="16">DATE(YEAR(B48),MONTH(B48)+1,1)</f>
        <v>38078</v>
      </c>
      <c r="C49" s="53">
        <f>[4]!'NGJ4,PRIM ACT 1,1'</f>
        <v>3.08</v>
      </c>
      <c r="D49" s="53">
        <f t="shared" ca="1" si="1"/>
        <v>3.0310000000000001</v>
      </c>
      <c r="E49" s="156">
        <f t="shared" ca="1" si="15"/>
        <v>-2.4500000000000632E-2</v>
      </c>
      <c r="F49" s="65">
        <f t="shared" ca="1" si="2"/>
        <v>3.08</v>
      </c>
      <c r="G49" s="66">
        <f t="shared" ca="1" si="10"/>
        <v>8.2978750544575736E-2</v>
      </c>
      <c r="H49" s="66">
        <f t="shared" ca="1" si="3"/>
        <v>0.35</v>
      </c>
      <c r="I49" s="66">
        <v>0</v>
      </c>
      <c r="J49" s="156">
        <v>0.28000000000000003</v>
      </c>
      <c r="K49" s="66">
        <f t="shared" ca="1" si="4"/>
        <v>8.2978750544575736E-2</v>
      </c>
      <c r="L49" s="65">
        <f t="shared" ca="1" si="11"/>
        <v>0.27997910808667203</v>
      </c>
      <c r="N49" s="55">
        <f t="shared" ca="1" si="5"/>
        <v>27</v>
      </c>
      <c r="O49" s="67">
        <f t="shared" ca="1" si="6"/>
        <v>38072</v>
      </c>
      <c r="P49" s="57">
        <f t="shared" ca="1" si="7"/>
        <v>3.6244658435981701E-2</v>
      </c>
      <c r="Q49" s="192">
        <f ca="1">IF(Q$22="nymex",expiry!H89+1,B49)</f>
        <v>38078</v>
      </c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S49" s="269" t="e">
        <f ca="1">_xll.OSTRIP(F49,F49,Q49-TODAY(),B49-Q49,B50-Q49-1,1,P49,G49,R49,1,0,1,0)</f>
        <v>#VALUE!</v>
      </c>
      <c r="AW49" s="66">
        <v>0.05</v>
      </c>
      <c r="BA49" s="65"/>
      <c r="BB49" s="67"/>
      <c r="BC49" s="60"/>
      <c r="BD49" s="53">
        <f>[2]!'NGc27 cls'</f>
        <v>3.5259999999999998</v>
      </c>
      <c r="BE49" s="53" t="e">
        <f>[2]!'NGc27 LAST'</f>
        <v>#REF!</v>
      </c>
      <c r="BF49" s="69"/>
      <c r="CC49" s="55">
        <v>-179</v>
      </c>
      <c r="CD49" s="55">
        <f t="shared" si="12"/>
        <v>-0.17899999999999999</v>
      </c>
      <c r="CE49" s="55"/>
      <c r="CF49" s="55"/>
    </row>
    <row r="50" spans="1:84" x14ac:dyDescent="0.25">
      <c r="A50" s="53">
        <f t="shared" si="9"/>
        <v>28</v>
      </c>
      <c r="B50" s="64">
        <f t="shared" si="16"/>
        <v>38108</v>
      </c>
      <c r="C50" s="53">
        <f>[4]!'NGK4,PRIM ACT 1,1'</f>
        <v>3.0830000000000002</v>
      </c>
      <c r="D50" s="53">
        <f t="shared" ca="1" si="1"/>
        <v>3.0339999999999998</v>
      </c>
      <c r="E50" s="156">
        <f t="shared" ca="1" si="15"/>
        <v>-2.4500000000000632E-2</v>
      </c>
      <c r="F50" s="65">
        <f t="shared" ca="1" si="2"/>
        <v>3.0830000000000002</v>
      </c>
      <c r="G50" s="66">
        <f t="shared" ca="1" si="10"/>
        <v>8.1713349421449977E-2</v>
      </c>
      <c r="H50" s="66">
        <f t="shared" ca="1" si="3"/>
        <v>0.32</v>
      </c>
      <c r="I50" s="66">
        <v>0</v>
      </c>
      <c r="J50" s="156">
        <v>0.28000000000000003</v>
      </c>
      <c r="K50" s="66">
        <f t="shared" ca="1" si="4"/>
        <v>8.1713349421449977E-2</v>
      </c>
      <c r="L50" s="65">
        <f t="shared" ca="1" si="11"/>
        <v>0.27998794518412673</v>
      </c>
      <c r="N50" s="55">
        <f t="shared" ca="1" si="5"/>
        <v>28</v>
      </c>
      <c r="O50" s="67">
        <f t="shared" ca="1" si="6"/>
        <v>38104</v>
      </c>
      <c r="P50" s="57">
        <f t="shared" ca="1" si="7"/>
        <v>3.7021069033523098E-2</v>
      </c>
      <c r="Q50" s="192">
        <f ca="1">IF(Q$22="nymex",expiry!H90+1,B50)</f>
        <v>38108</v>
      </c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S50" s="269" t="e">
        <f ca="1">_xll.OSTRIP(F50,F50,Q50-TODAY(),B50-Q50,B51-Q50-1,1,P50,G50,R50,1,0,1,0)</f>
        <v>#VALUE!</v>
      </c>
      <c r="AW50" s="66">
        <v>0.05</v>
      </c>
      <c r="BA50" s="65"/>
      <c r="BB50" s="67"/>
      <c r="BC50" s="60"/>
      <c r="BD50" s="53">
        <f>[2]!'NGc28 cls'</f>
        <v>3.581</v>
      </c>
      <c r="BE50" s="53" t="e">
        <f>[2]!'NGc28 LAST'</f>
        <v>#REF!</v>
      </c>
      <c r="BF50" s="69"/>
      <c r="CC50" s="55">
        <v>-169</v>
      </c>
      <c r="CD50" s="55">
        <f t="shared" si="12"/>
        <v>-0.16900000000000001</v>
      </c>
      <c r="CE50" s="55"/>
      <c r="CF50" s="55"/>
    </row>
    <row r="51" spans="1:84" x14ac:dyDescent="0.25">
      <c r="A51" s="53">
        <f t="shared" si="9"/>
        <v>29</v>
      </c>
      <c r="B51" s="64">
        <f t="shared" si="16"/>
        <v>38139</v>
      </c>
      <c r="C51" s="53">
        <f>[4]!'NGM4,PRIM ACT 1,1'</f>
        <v>3.1230000000000002</v>
      </c>
      <c r="D51" s="53">
        <f t="shared" ca="1" si="1"/>
        <v>3.0739999999999998</v>
      </c>
      <c r="E51" s="156">
        <f t="shared" ca="1" si="15"/>
        <v>-2.4500000000000632E-2</v>
      </c>
      <c r="F51" s="65">
        <f t="shared" ca="1" si="2"/>
        <v>3.1230000000000002</v>
      </c>
      <c r="G51" s="66">
        <f t="shared" ca="1" si="10"/>
        <v>7.971331783963434E-2</v>
      </c>
      <c r="H51" s="66">
        <f t="shared" ca="1" si="3"/>
        <v>0.315</v>
      </c>
      <c r="I51" s="66">
        <v>0</v>
      </c>
      <c r="J51" s="156">
        <v>0.28000000000000003</v>
      </c>
      <c r="K51" s="66">
        <f t="shared" ca="1" si="4"/>
        <v>7.971331783963434E-2</v>
      </c>
      <c r="L51" s="65">
        <f t="shared" ca="1" si="11"/>
        <v>0.27998767367648991</v>
      </c>
      <c r="N51" s="55">
        <f t="shared" ca="1" si="5"/>
        <v>29</v>
      </c>
      <c r="O51" s="67">
        <f t="shared" ca="1" si="6"/>
        <v>38132</v>
      </c>
      <c r="P51" s="57">
        <f t="shared" ca="1" si="7"/>
        <v>3.7717515784331003E-2</v>
      </c>
      <c r="Q51" s="192">
        <f ca="1">IF(Q$22="nymex",expiry!H91+1,B51)</f>
        <v>38139</v>
      </c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S51" s="269" t="e">
        <f ca="1">_xll.OSTRIP(F51,F51,Q51-TODAY(),B51-Q51,B52-Q51-1,1,P51,G51,R51,1,0,1,0)</f>
        <v>#VALUE!</v>
      </c>
      <c r="AW51" s="66">
        <v>0.05</v>
      </c>
      <c r="BA51" s="65"/>
      <c r="BB51" s="67"/>
      <c r="BC51" s="60"/>
      <c r="BD51" s="53">
        <f>[2]!'NGc29 cls'</f>
        <v>3.4670000000000001</v>
      </c>
      <c r="BE51" s="53" t="e">
        <f>[2]!'NGc29 LAST'</f>
        <v>#REF!</v>
      </c>
      <c r="BF51" s="69"/>
      <c r="CC51" s="55">
        <v>-164</v>
      </c>
      <c r="CD51" s="55">
        <f t="shared" si="12"/>
        <v>-0.16400000000000001</v>
      </c>
      <c r="CE51" s="55"/>
      <c r="CF51" s="55"/>
    </row>
    <row r="52" spans="1:84" x14ac:dyDescent="0.25">
      <c r="A52" s="53">
        <f t="shared" si="9"/>
        <v>30</v>
      </c>
      <c r="B52" s="64">
        <f t="shared" si="16"/>
        <v>38169</v>
      </c>
      <c r="C52" s="53">
        <f>[4]!'NGN4,PRIM ACT 1,1'</f>
        <v>3.1629999999999998</v>
      </c>
      <c r="D52" s="53">
        <f t="shared" ca="1" si="1"/>
        <v>3.1139999999999999</v>
      </c>
      <c r="E52" s="156">
        <f t="shared" ca="1" si="15"/>
        <v>-2.4500000000000632E-2</v>
      </c>
      <c r="F52" s="65">
        <f t="shared" ca="1" si="2"/>
        <v>3.1629999999999998</v>
      </c>
      <c r="G52" s="66">
        <f t="shared" ca="1" si="10"/>
        <v>7.7722470382084116E-2</v>
      </c>
      <c r="H52" s="66">
        <f t="shared" ca="1" si="3"/>
        <v>0.315</v>
      </c>
      <c r="I52" s="66">
        <v>0</v>
      </c>
      <c r="J52" s="156">
        <v>0.28000000000000003</v>
      </c>
      <c r="K52" s="66">
        <f t="shared" ca="1" si="4"/>
        <v>7.7722470382084116E-2</v>
      </c>
      <c r="L52" s="65">
        <f t="shared" ca="1" si="11"/>
        <v>0.27998564562129857</v>
      </c>
      <c r="N52" s="55">
        <f t="shared" ca="1" si="5"/>
        <v>30</v>
      </c>
      <c r="O52" s="67">
        <f t="shared" ca="1" si="6"/>
        <v>38163</v>
      </c>
      <c r="P52" s="57">
        <f t="shared" ca="1" si="7"/>
        <v>3.8437177597991E-2</v>
      </c>
      <c r="Q52" s="192">
        <f ca="1">IF(Q$22="nymex",expiry!H92+1,B52)</f>
        <v>38169</v>
      </c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S52" s="269" t="e">
        <f ca="1">_xll.OSTRIP(F52,F52,Q52-TODAY(),B52-Q52,B53-Q52-1,1,P52,G52,R52,1,0,1,0)</f>
        <v>#VALUE!</v>
      </c>
      <c r="AW52" s="66">
        <v>0.05</v>
      </c>
      <c r="BA52" s="65"/>
      <c r="BB52" s="67"/>
      <c r="BC52" s="60"/>
      <c r="BD52" s="53">
        <f>[2]!'NGc30 cls'</f>
        <v>3.335</v>
      </c>
      <c r="BE52" s="53" t="e">
        <f>[2]!'NGc30 LAST'</f>
        <v>#REF!</v>
      </c>
      <c r="BF52" s="69"/>
      <c r="CC52" s="55">
        <v>-155</v>
      </c>
      <c r="CD52" s="55">
        <f t="shared" si="12"/>
        <v>-0.155</v>
      </c>
      <c r="CE52" s="55"/>
      <c r="CF52" s="55"/>
    </row>
    <row r="53" spans="1:84" x14ac:dyDescent="0.25">
      <c r="A53" s="53">
        <f t="shared" si="9"/>
        <v>31</v>
      </c>
      <c r="B53" s="64">
        <f t="shared" si="16"/>
        <v>38200</v>
      </c>
      <c r="C53" s="53">
        <f>[4]!'NGQ4,PRIM ACT 1,1'</f>
        <v>3.2130000000000001</v>
      </c>
      <c r="D53" s="53">
        <f t="shared" ca="1" si="1"/>
        <v>3.1640000000000001</v>
      </c>
      <c r="E53" s="156">
        <f t="shared" ca="1" si="15"/>
        <v>-2.4500000000000632E-2</v>
      </c>
      <c r="F53" s="65">
        <f t="shared" ca="1" si="2"/>
        <v>3.2130000000000001</v>
      </c>
      <c r="G53" s="66">
        <f t="shared" ca="1" si="10"/>
        <v>7.5567533185845998E-2</v>
      </c>
      <c r="H53" s="66">
        <f t="shared" ca="1" si="3"/>
        <v>0.315</v>
      </c>
      <c r="I53" s="66">
        <v>0</v>
      </c>
      <c r="J53" s="156">
        <v>0.28000000000000003</v>
      </c>
      <c r="K53" s="66">
        <f t="shared" ca="1" si="4"/>
        <v>7.5567533185845998E-2</v>
      </c>
      <c r="L53" s="65">
        <f t="shared" ca="1" si="11"/>
        <v>0.27998321942245941</v>
      </c>
      <c r="N53" s="55">
        <f t="shared" ca="1" si="5"/>
        <v>31</v>
      </c>
      <c r="O53" s="67">
        <f t="shared" ca="1" si="6"/>
        <v>38195</v>
      </c>
      <c r="P53" s="57">
        <f t="shared" ca="1" si="7"/>
        <v>3.9098228026385802E-2</v>
      </c>
      <c r="Q53" s="192">
        <f ca="1">IF(Q$22="nymex",expiry!H93+1,B53)</f>
        <v>38200</v>
      </c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S53" s="269" t="e">
        <f ca="1">_xll.OSTRIP(F53,F53,Q53-TODAY(),B53-Q53,B54-Q53-1,1,P53,G53,R53,1,0,1,0)</f>
        <v>#VALUE!</v>
      </c>
      <c r="AW53" s="66">
        <v>0.1</v>
      </c>
      <c r="BA53" s="65"/>
      <c r="BB53" s="67"/>
      <c r="BC53" s="60"/>
      <c r="BD53" s="53">
        <f>[2]!'NGc31 cls'</f>
        <v>3.137</v>
      </c>
      <c r="BE53" s="53" t="e">
        <f>[2]!'NGc31 LAST'</f>
        <v>#REF!</v>
      </c>
      <c r="BF53" s="69"/>
      <c r="CC53" s="55">
        <v>-155</v>
      </c>
      <c r="CD53" s="55">
        <f t="shared" si="12"/>
        <v>-0.155</v>
      </c>
      <c r="CE53" s="55"/>
      <c r="CF53" s="55"/>
    </row>
    <row r="54" spans="1:84" x14ac:dyDescent="0.25">
      <c r="A54" s="53">
        <f t="shared" si="9"/>
        <v>32</v>
      </c>
      <c r="B54" s="64">
        <f t="shared" si="16"/>
        <v>38231</v>
      </c>
      <c r="C54" s="53">
        <f>[4]!'NGU4,PRIM ACT 1,1'</f>
        <v>3.198</v>
      </c>
      <c r="D54" s="53">
        <f t="shared" ca="1" si="1"/>
        <v>3.149</v>
      </c>
      <c r="E54" s="156">
        <f t="shared" ca="1" si="15"/>
        <v>-2.4500000000000632E-2</v>
      </c>
      <c r="F54" s="65">
        <f t="shared" ca="1" si="2"/>
        <v>3.198</v>
      </c>
      <c r="G54" s="66">
        <f t="shared" ca="1" si="10"/>
        <v>7.5097062947682272E-2</v>
      </c>
      <c r="H54" s="66">
        <f t="shared" ca="1" si="3"/>
        <v>0.315</v>
      </c>
      <c r="I54" s="66">
        <v>0</v>
      </c>
      <c r="J54" s="156">
        <v>0.28000000000000003</v>
      </c>
      <c r="K54" s="66">
        <f t="shared" ca="1" si="4"/>
        <v>7.5097062947682272E-2</v>
      </c>
      <c r="N54" s="55">
        <f t="shared" ca="1" si="5"/>
        <v>32</v>
      </c>
      <c r="O54" s="67">
        <f t="shared" ca="1" si="6"/>
        <v>38225</v>
      </c>
      <c r="P54" s="57">
        <f t="shared" ca="1" si="7"/>
        <v>3.9742489332663701E-2</v>
      </c>
      <c r="Q54" s="192">
        <f ca="1">IF(Q$22="nymex",expiry!H94+1,B54)</f>
        <v>38231</v>
      </c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S54" s="269" t="e">
        <f ca="1">_xll.OSTRIP(F54,F54,Q54-TODAY(),B54-Q54,B55-Q54-1,1,P54,G54,R54,1,0,1,0)</f>
        <v>#VALUE!</v>
      </c>
      <c r="AW54" s="66">
        <v>0.2</v>
      </c>
      <c r="BA54" s="65"/>
      <c r="BB54" s="67"/>
      <c r="BC54" s="60"/>
      <c r="BD54" s="53">
        <f>[2]!'NGc32 cls'</f>
        <v>3.133</v>
      </c>
      <c r="BE54" s="53" t="e">
        <f>[2]!'NGc32 LAST'</f>
        <v>#REF!</v>
      </c>
      <c r="BF54" s="69"/>
      <c r="CC54" s="55">
        <v>-155</v>
      </c>
      <c r="CD54" s="55">
        <f t="shared" si="12"/>
        <v>-0.155</v>
      </c>
      <c r="CE54" s="55"/>
      <c r="CF54" s="55"/>
    </row>
    <row r="55" spans="1:84" x14ac:dyDescent="0.25">
      <c r="A55" s="53">
        <f t="shared" si="9"/>
        <v>33</v>
      </c>
      <c r="B55" s="64">
        <f t="shared" si="16"/>
        <v>38261</v>
      </c>
      <c r="C55" s="53">
        <f>[4]!'NGV4,PRIM ACT 1,1'</f>
        <v>3.2130000000000001</v>
      </c>
      <c r="D55" s="53">
        <f t="shared" ca="1" si="1"/>
        <v>3.1640000000000001</v>
      </c>
      <c r="E55" s="156">
        <f t="shared" ca="1" si="15"/>
        <v>-2.4500000000000632E-2</v>
      </c>
      <c r="F55" s="65">
        <f t="shared" ref="F55:F86" ca="1" si="17">IF(D$1="settle",D55,IF(D$1="EOL",D55+E55,IF(ISNUMBER(C55),C55,D55)))</f>
        <v>3.2130000000000001</v>
      </c>
      <c r="G55" s="66">
        <f t="shared" ca="1" si="10"/>
        <v>7.3919042879487654E-2</v>
      </c>
      <c r="H55" s="66">
        <f t="shared" ca="1" si="3"/>
        <v>0.315</v>
      </c>
      <c r="I55" s="66">
        <v>0</v>
      </c>
      <c r="J55" s="156">
        <v>0.28000000000000003</v>
      </c>
      <c r="K55" s="66">
        <f t="shared" ref="K55:K86" ca="1" si="18">bsd(6,1,$F55,$F55,$O55-TODAY(),$H55,$P55,J55/2)</f>
        <v>7.3919042879487654E-2</v>
      </c>
      <c r="N55" s="55">
        <f t="shared" ref="N55:N86" ca="1" si="19">A55</f>
        <v>33</v>
      </c>
      <c r="O55" s="67">
        <f t="shared" ref="O55:O86" ca="1" si="20">VLOOKUP(B55,expiration,3,FALSE)</f>
        <v>38257</v>
      </c>
      <c r="P55" s="57">
        <f t="shared" ca="1" si="7"/>
        <v>4.0386750778223797E-2</v>
      </c>
      <c r="Q55" s="192">
        <f ca="1">IF(Q$22="nymex",expiry!H95+1,B55)</f>
        <v>38261</v>
      </c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S55" s="269" t="e">
        <f ca="1">_xll.OSTRIP(F55,F55,Q55-TODAY(),B55-Q55,B56-Q55-1,1,P55,G55,R55,1,0,1,0)</f>
        <v>#VALUE!</v>
      </c>
      <c r="AW55" s="66">
        <v>0.3</v>
      </c>
      <c r="BA55" s="65"/>
      <c r="BB55" s="67"/>
      <c r="BC55" s="60"/>
      <c r="BD55" s="53">
        <f>[2]!'NGc33 cls'</f>
        <v>3.165</v>
      </c>
      <c r="BE55" s="53" t="e">
        <f>[2]!'NGc33 LAST'</f>
        <v>#REF!</v>
      </c>
      <c r="BF55" s="69"/>
      <c r="CC55" s="55">
        <v>-150</v>
      </c>
      <c r="CD55" s="55">
        <f t="shared" si="12"/>
        <v>-0.15</v>
      </c>
      <c r="CE55" s="55"/>
      <c r="CF55" s="55"/>
    </row>
    <row r="56" spans="1:84" x14ac:dyDescent="0.25">
      <c r="A56" s="53">
        <f t="shared" si="9"/>
        <v>34</v>
      </c>
      <c r="B56" s="64">
        <f t="shared" si="16"/>
        <v>38292</v>
      </c>
      <c r="C56" s="53">
        <f>[4]!'NGX4,PRIM ACT 1,1'</f>
        <v>3.3580000000000001</v>
      </c>
      <c r="D56" s="53">
        <f t="shared" ca="1" si="1"/>
        <v>3.3090000000000002</v>
      </c>
      <c r="E56" s="156">
        <f t="shared" ca="1" si="15"/>
        <v>-2.4500000000000632E-2</v>
      </c>
      <c r="F56" s="65">
        <f t="shared" ca="1" si="17"/>
        <v>3.3580000000000001</v>
      </c>
      <c r="G56" s="66">
        <f t="shared" ca="1" si="10"/>
        <v>7.005268807315887E-2</v>
      </c>
      <c r="H56" s="66">
        <f t="shared" ca="1" si="3"/>
        <v>0.315</v>
      </c>
      <c r="I56" s="66">
        <v>0</v>
      </c>
      <c r="J56" s="156">
        <v>0.28000000000000003</v>
      </c>
      <c r="K56" s="66">
        <f t="shared" ca="1" si="18"/>
        <v>7.005268807315887E-2</v>
      </c>
      <c r="N56" s="55">
        <f t="shared" ca="1" si="19"/>
        <v>34</v>
      </c>
      <c r="O56" s="67">
        <f t="shared" ca="1" si="20"/>
        <v>38286</v>
      </c>
      <c r="P56" s="57">
        <f t="shared" ca="1" si="7"/>
        <v>4.0975446534947203E-2</v>
      </c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S56" s="257" t="e">
        <f ca="1">_xll.OSTRIP(F56,F56,B56-TODAY(),0,(B57-1)-B56,1,P56,G56,R56,1,0,1,0)</f>
        <v>#VALUE!</v>
      </c>
      <c r="AW56" s="66">
        <v>0.3</v>
      </c>
      <c r="BA56" s="65"/>
      <c r="BB56" s="67"/>
      <c r="BC56" s="60"/>
      <c r="BD56" s="53">
        <f>[2]!'NGc34 cls'</f>
        <v>3.2149999999999999</v>
      </c>
      <c r="BE56" s="53" t="e">
        <f>[2]!'NGc34 LAST'</f>
        <v>#REF!</v>
      </c>
      <c r="BF56" s="69"/>
      <c r="CC56" s="55">
        <v>-150</v>
      </c>
      <c r="CD56" s="55">
        <f t="shared" si="12"/>
        <v>-0.15</v>
      </c>
      <c r="CE56" s="55"/>
      <c r="CF56" s="55"/>
    </row>
    <row r="57" spans="1:84" x14ac:dyDescent="0.25">
      <c r="A57" s="53">
        <f t="shared" si="9"/>
        <v>35</v>
      </c>
      <c r="B57" s="64">
        <f t="shared" si="16"/>
        <v>38322</v>
      </c>
      <c r="C57" s="53" t="str">
        <f>[4]!'NGz4,PRIM ACT 1,1'</f>
        <v>#N/A N/A</v>
      </c>
      <c r="D57" s="53">
        <f t="shared" ca="1" si="1"/>
        <v>3.444</v>
      </c>
      <c r="E57" s="156">
        <f t="shared" ca="1" si="15"/>
        <v>-2.4500000000000632E-2</v>
      </c>
      <c r="F57" s="65">
        <f t="shared" ca="1" si="17"/>
        <v>3.444</v>
      </c>
      <c r="G57" s="66">
        <f t="shared" ca="1" si="10"/>
        <v>6.7684556707919813E-2</v>
      </c>
      <c r="H57" s="66">
        <f t="shared" ca="1" si="3"/>
        <v>0.315</v>
      </c>
      <c r="I57" s="66">
        <v>0</v>
      </c>
      <c r="J57" s="156">
        <v>0.28000000000000003</v>
      </c>
      <c r="K57" s="66">
        <f t="shared" ca="1" si="18"/>
        <v>6.7684556707919813E-2</v>
      </c>
      <c r="N57" s="55">
        <f t="shared" ca="1" si="19"/>
        <v>35</v>
      </c>
      <c r="O57" s="67">
        <f t="shared" ca="1" si="20"/>
        <v>38315</v>
      </c>
      <c r="P57" s="57">
        <f t="shared" ca="1" si="7"/>
        <v>4.1550342233317203E-2</v>
      </c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S57" s="257" t="e">
        <f ca="1">_xll.OSTRIP(F57,F57,B57-TODAY(),0,(B58-1)-B57,1,P57,G57,R57,1,0,1,0)</f>
        <v>#VALUE!</v>
      </c>
      <c r="AW57" s="66">
        <v>0.25</v>
      </c>
      <c r="BA57" s="65"/>
      <c r="BB57" s="67"/>
      <c r="BC57" s="60"/>
      <c r="BD57" s="53">
        <f>[2]!'NGc35 cls'</f>
        <v>3.2490000000000001</v>
      </c>
      <c r="BE57" s="53" t="e">
        <f>[2]!'NGc35 LAST'</f>
        <v>#REF!</v>
      </c>
      <c r="BF57" s="69"/>
      <c r="CC57" s="55">
        <v>-150</v>
      </c>
      <c r="CD57" s="55">
        <f t="shared" si="12"/>
        <v>-0.15</v>
      </c>
      <c r="CE57" s="55"/>
      <c r="CF57" s="55"/>
    </row>
    <row r="58" spans="1:84" x14ac:dyDescent="0.25">
      <c r="A58" s="53">
        <f t="shared" si="9"/>
        <v>36</v>
      </c>
      <c r="B58" s="64">
        <f t="shared" si="16"/>
        <v>38353</v>
      </c>
      <c r="C58" s="53" t="str">
        <f>[4]!'NGz4,PRIM ACT 1,1'</f>
        <v>#N/A N/A</v>
      </c>
      <c r="D58" s="53">
        <f t="shared" ca="1" si="1"/>
        <v>3.4990000000000001</v>
      </c>
      <c r="E58" s="156">
        <f ca="1">K$12</f>
        <v>-6.9166666666657939E-3</v>
      </c>
      <c r="F58" s="65">
        <f t="shared" ca="1" si="17"/>
        <v>3.4990000000000001</v>
      </c>
      <c r="G58" s="66">
        <f t="shared" ca="1" si="10"/>
        <v>6.5953778842187907E-2</v>
      </c>
      <c r="H58" s="66">
        <f t="shared" ca="1" si="3"/>
        <v>0.315</v>
      </c>
      <c r="I58" s="66">
        <v>0</v>
      </c>
      <c r="J58" s="156">
        <v>0.28000000000000003</v>
      </c>
      <c r="K58" s="66">
        <f t="shared" ca="1" si="18"/>
        <v>6.5953778842187907E-2</v>
      </c>
      <c r="N58" s="55">
        <f t="shared" ca="1" si="19"/>
        <v>36</v>
      </c>
      <c r="O58" s="67">
        <f t="shared" ca="1" si="20"/>
        <v>38348</v>
      </c>
      <c r="P58" s="57">
        <f t="shared" ca="1" si="7"/>
        <v>4.2106693014662501E-2</v>
      </c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S58" s="257" t="e">
        <f ca="1">_xll.OSTRIP(F58,F58,B58-TODAY(),0,(B59-1)-B58,1,P58,G58,R58,1,0,1,0)</f>
        <v>#VALUE!</v>
      </c>
      <c r="AW58" s="66">
        <v>0.05</v>
      </c>
      <c r="BA58" s="65"/>
      <c r="BB58" s="67"/>
      <c r="BC58" s="60"/>
      <c r="BD58" s="53">
        <f>[2]!'NGc36 cls'</f>
        <v>3.262</v>
      </c>
      <c r="BE58" s="53" t="e">
        <f>[2]!'NGc36 LAST'</f>
        <v>#REF!</v>
      </c>
      <c r="BF58" s="69"/>
      <c r="CC58" s="55">
        <v>-150</v>
      </c>
      <c r="CD58" s="55">
        <f t="shared" si="12"/>
        <v>-0.15</v>
      </c>
      <c r="CE58" s="55"/>
      <c r="CF58" s="55"/>
    </row>
    <row r="59" spans="1:84" x14ac:dyDescent="0.25">
      <c r="A59" s="53">
        <f t="shared" si="9"/>
        <v>37</v>
      </c>
      <c r="B59" s="64">
        <f t="shared" si="16"/>
        <v>38384</v>
      </c>
      <c r="C59" s="53"/>
      <c r="D59" s="53">
        <f t="shared" ca="1" si="1"/>
        <v>3.351</v>
      </c>
      <c r="E59" s="156">
        <f t="shared" ref="E59:E122" ca="1" si="21">K$12</f>
        <v>-6.9166666666657939E-3</v>
      </c>
      <c r="F59" s="65">
        <f t="shared" ca="1" si="17"/>
        <v>3.351</v>
      </c>
      <c r="G59" s="66">
        <f t="shared" ca="1" si="10"/>
        <v>6.8287755808693909E-2</v>
      </c>
      <c r="H59" s="66">
        <f t="shared" ca="1" si="3"/>
        <v>0.315</v>
      </c>
      <c r="I59" s="66">
        <v>0</v>
      </c>
      <c r="J59" s="156">
        <v>0.28000000000000003</v>
      </c>
      <c r="K59" s="66">
        <f t="shared" ca="1" si="18"/>
        <v>6.8287755808693909E-2</v>
      </c>
      <c r="N59" s="55">
        <f t="shared" ca="1" si="19"/>
        <v>37</v>
      </c>
      <c r="O59" s="67">
        <f t="shared" ca="1" si="20"/>
        <v>38378</v>
      </c>
      <c r="P59" s="57">
        <f t="shared" ca="1" si="7"/>
        <v>4.26576899474638E-2</v>
      </c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S59" s="257" t="e">
        <f ca="1">_xll.OSTRIP(F59,F59,B59-TODAY(),0,(B60-1)-B59,1,P59,G59,R59,1,0,1,0)</f>
        <v>#VALUE!</v>
      </c>
      <c r="AW59" s="66">
        <v>0.05</v>
      </c>
      <c r="BA59" s="65"/>
      <c r="BB59" s="67"/>
      <c r="BC59" s="60"/>
      <c r="BD59" s="53">
        <f>[2]!'NGc36 cls'</f>
        <v>3.262</v>
      </c>
      <c r="BE59" s="53" t="e">
        <f>[2]!'NGc36 LAST'</f>
        <v>#REF!</v>
      </c>
      <c r="BF59" s="69"/>
      <c r="CE59" s="55"/>
      <c r="CF59" s="55"/>
    </row>
    <row r="60" spans="1:84" x14ac:dyDescent="0.25">
      <c r="A60" s="53">
        <f t="shared" si="9"/>
        <v>38</v>
      </c>
      <c r="B60" s="64">
        <f t="shared" si="16"/>
        <v>38412</v>
      </c>
      <c r="C60" s="53"/>
      <c r="D60" s="53">
        <f t="shared" ca="1" si="1"/>
        <v>3.3</v>
      </c>
      <c r="E60" s="156">
        <f t="shared" ca="1" si="21"/>
        <v>-6.9166666666657939E-3</v>
      </c>
      <c r="F60" s="65">
        <f t="shared" ca="1" si="17"/>
        <v>3.3</v>
      </c>
      <c r="G60" s="66">
        <f t="shared" ca="1" si="10"/>
        <v>6.8829051159658927E-2</v>
      </c>
      <c r="H60" s="66">
        <f t="shared" ca="1" si="3"/>
        <v>0.3125</v>
      </c>
      <c r="I60" s="66">
        <v>0</v>
      </c>
      <c r="J60" s="156">
        <v>0.28000000000000003</v>
      </c>
      <c r="K60" s="66">
        <f t="shared" ca="1" si="18"/>
        <v>6.8829051159658927E-2</v>
      </c>
      <c r="N60" s="55">
        <f t="shared" ca="1" si="19"/>
        <v>38</v>
      </c>
      <c r="O60" s="67">
        <f t="shared" ca="1" si="20"/>
        <v>38406</v>
      </c>
      <c r="P60" s="57">
        <f t="shared" ca="1" si="7"/>
        <v>4.3189005462617398E-2</v>
      </c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S60" s="257" t="e">
        <f ca="1">_xll.OSTRIP(F60,F60,B60-TODAY(),0,(B61-1)-B60,1,P60,G60,R60,1,0,1,0)</f>
        <v>#VALUE!</v>
      </c>
      <c r="AW60" s="66">
        <v>0.05</v>
      </c>
      <c r="BA60" s="65"/>
      <c r="BB60" s="67"/>
      <c r="BC60" s="60"/>
      <c r="BD60" s="60"/>
      <c r="BE60" s="68"/>
      <c r="BF60" s="69"/>
      <c r="CE60" s="55"/>
      <c r="CF60" s="55"/>
    </row>
    <row r="61" spans="1:84" x14ac:dyDescent="0.25">
      <c r="A61" s="53">
        <f t="shared" si="9"/>
        <v>39</v>
      </c>
      <c r="B61" s="64">
        <f t="shared" si="16"/>
        <v>38443</v>
      </c>
      <c r="C61" s="53"/>
      <c r="D61" s="53">
        <f t="shared" ca="1" si="1"/>
        <v>3.081</v>
      </c>
      <c r="E61" s="156">
        <f t="shared" ca="1" si="21"/>
        <v>-6.9166666666657939E-3</v>
      </c>
      <c r="F61" s="65">
        <f t="shared" ca="1" si="17"/>
        <v>3.081</v>
      </c>
      <c r="G61" s="66">
        <f t="shared" ca="1" si="10"/>
        <v>7.3086317232450029E-2</v>
      </c>
      <c r="H61" s="66">
        <f t="shared" ca="1" si="3"/>
        <v>0.30249999999999999</v>
      </c>
      <c r="I61" s="66">
        <v>0</v>
      </c>
      <c r="J61" s="156">
        <v>0.28000000000000003</v>
      </c>
      <c r="K61" s="66">
        <f t="shared" ca="1" si="18"/>
        <v>7.3086317232450029E-2</v>
      </c>
      <c r="N61" s="55">
        <f t="shared" ca="1" si="19"/>
        <v>39</v>
      </c>
      <c r="O61" s="67">
        <f t="shared" ca="1" si="20"/>
        <v>38439</v>
      </c>
      <c r="P61" s="57">
        <f t="shared" ca="1" si="7"/>
        <v>4.3668903428556699E-2</v>
      </c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W61" s="66">
        <v>0.05</v>
      </c>
      <c r="BA61" s="65"/>
      <c r="BB61" s="67"/>
      <c r="BC61" s="60"/>
      <c r="BD61" s="60"/>
      <c r="BE61" s="68"/>
      <c r="BF61" s="69"/>
      <c r="CE61" s="55"/>
      <c r="CF61" s="55"/>
    </row>
    <row r="62" spans="1:84" x14ac:dyDescent="0.25">
      <c r="A62" s="53">
        <f t="shared" si="9"/>
        <v>40</v>
      </c>
      <c r="B62" s="64">
        <f t="shared" si="16"/>
        <v>38473</v>
      </c>
      <c r="C62" s="53"/>
      <c r="D62" s="53">
        <f t="shared" ca="1" si="1"/>
        <v>3.0839999999999996</v>
      </c>
      <c r="E62" s="156">
        <f t="shared" ca="1" si="21"/>
        <v>-6.9166666666657939E-3</v>
      </c>
      <c r="F62" s="65">
        <f t="shared" ca="1" si="17"/>
        <v>3.0839999999999996</v>
      </c>
      <c r="G62" s="66">
        <f t="shared" ca="1" si="10"/>
        <v>7.2501603308309764E-2</v>
      </c>
      <c r="H62" s="66">
        <f t="shared" ca="1" si="3"/>
        <v>0.29249999999999998</v>
      </c>
      <c r="I62" s="66">
        <v>0</v>
      </c>
      <c r="J62" s="156">
        <v>0.28000000000000003</v>
      </c>
      <c r="K62" s="66">
        <f t="shared" ca="1" si="18"/>
        <v>7.2501603308309764E-2</v>
      </c>
      <c r="N62" s="55">
        <f t="shared" ca="1" si="19"/>
        <v>40</v>
      </c>
      <c r="O62" s="67">
        <f t="shared" ca="1" si="20"/>
        <v>38468</v>
      </c>
      <c r="P62" s="57">
        <f t="shared" ca="1" si="7"/>
        <v>4.4162985915453798E-2</v>
      </c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W62" s="66">
        <v>0.05</v>
      </c>
      <c r="BA62" s="65"/>
      <c r="BB62" s="67"/>
      <c r="BC62" s="60"/>
      <c r="BD62" s="60"/>
      <c r="BE62" s="68"/>
      <c r="BF62" s="69"/>
      <c r="CE62" s="55"/>
      <c r="CF62" s="55"/>
    </row>
    <row r="63" spans="1:84" x14ac:dyDescent="0.25">
      <c r="A63" s="53">
        <f t="shared" si="9"/>
        <v>41</v>
      </c>
      <c r="B63" s="64">
        <f t="shared" si="16"/>
        <v>38504</v>
      </c>
      <c r="C63" s="53"/>
      <c r="D63" s="53">
        <f t="shared" ca="1" si="1"/>
        <v>3.1239999999999997</v>
      </c>
      <c r="E63" s="156">
        <f t="shared" ca="1" si="21"/>
        <v>-6.9166666666657939E-3</v>
      </c>
      <c r="F63" s="65">
        <f t="shared" ca="1" si="17"/>
        <v>3.1239999999999997</v>
      </c>
      <c r="G63" s="66">
        <f t="shared" ca="1" si="10"/>
        <v>7.108257671674871E-2</v>
      </c>
      <c r="H63" s="66">
        <f t="shared" ca="1" si="3"/>
        <v>0.28499999999999998</v>
      </c>
      <c r="I63" s="66">
        <v>0</v>
      </c>
      <c r="J63" s="156">
        <v>0.28000000000000003</v>
      </c>
      <c r="K63" s="66">
        <f t="shared" ca="1" si="18"/>
        <v>7.108257671674871E-2</v>
      </c>
      <c r="N63" s="55">
        <f t="shared" ca="1" si="19"/>
        <v>41</v>
      </c>
      <c r="O63" s="67">
        <f t="shared" ca="1" si="20"/>
        <v>38497</v>
      </c>
      <c r="P63" s="57">
        <f t="shared" ca="1" si="7"/>
        <v>4.4608713967775299E-2</v>
      </c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W63" s="66">
        <v>0.05</v>
      </c>
      <c r="BA63" s="65"/>
      <c r="BB63" s="67"/>
      <c r="BC63" s="60"/>
      <c r="BD63" s="60"/>
      <c r="BE63" s="68"/>
      <c r="BF63" s="69"/>
      <c r="CE63" s="55"/>
      <c r="CF63" s="55"/>
    </row>
    <row r="64" spans="1:84" x14ac:dyDescent="0.25">
      <c r="A64" s="53">
        <f t="shared" si="9"/>
        <v>42</v>
      </c>
      <c r="B64" s="64">
        <f t="shared" si="16"/>
        <v>38534</v>
      </c>
      <c r="C64" s="53"/>
      <c r="D64" s="53">
        <f t="shared" ca="1" si="1"/>
        <v>3.1639999999999997</v>
      </c>
      <c r="E64" s="156">
        <f t="shared" ca="1" si="21"/>
        <v>-6.9166666666657939E-3</v>
      </c>
      <c r="F64" s="65">
        <f t="shared" ca="1" si="17"/>
        <v>3.1639999999999997</v>
      </c>
      <c r="G64" s="66">
        <f t="shared" ca="1" si="10"/>
        <v>6.9653729627426747E-2</v>
      </c>
      <c r="H64" s="66">
        <f t="shared" ca="1" si="3"/>
        <v>0.28499999999999998</v>
      </c>
      <c r="I64" s="66">
        <v>0</v>
      </c>
      <c r="J64" s="156">
        <v>0.28000000000000003</v>
      </c>
      <c r="K64" s="66">
        <f t="shared" ca="1" si="18"/>
        <v>6.9653729627426747E-2</v>
      </c>
      <c r="N64" s="55">
        <f t="shared" ca="1" si="19"/>
        <v>42</v>
      </c>
      <c r="O64" s="67">
        <f t="shared" ca="1" si="20"/>
        <v>38530</v>
      </c>
      <c r="P64" s="57">
        <f t="shared" ca="1" si="7"/>
        <v>4.5069299691712597E-2</v>
      </c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W64" s="66">
        <v>0.05</v>
      </c>
      <c r="BA64" s="65"/>
      <c r="BB64" s="67"/>
      <c r="BC64" s="60"/>
      <c r="BD64" s="60"/>
      <c r="BE64" s="68"/>
      <c r="BF64" s="69"/>
      <c r="CE64" s="55"/>
      <c r="CF64" s="55"/>
    </row>
    <row r="65" spans="1:84" x14ac:dyDescent="0.25">
      <c r="A65" s="53">
        <f t="shared" si="9"/>
        <v>43</v>
      </c>
      <c r="B65" s="64">
        <f t="shared" si="16"/>
        <v>38565</v>
      </c>
      <c r="C65" s="53"/>
      <c r="D65" s="53">
        <f t="shared" ca="1" si="1"/>
        <v>3.214</v>
      </c>
      <c r="E65" s="156">
        <f t="shared" ca="1" si="21"/>
        <v>-6.9166666666657939E-3</v>
      </c>
      <c r="F65" s="65">
        <f t="shared" ca="1" si="17"/>
        <v>3.214</v>
      </c>
      <c r="G65" s="66">
        <f t="shared" ca="1" si="10"/>
        <v>6.8143406778851598E-2</v>
      </c>
      <c r="H65" s="66">
        <f t="shared" ca="1" si="3"/>
        <v>0.28000000000000003</v>
      </c>
      <c r="I65" s="66">
        <v>0</v>
      </c>
      <c r="J65" s="156">
        <v>0.28000000000000003</v>
      </c>
      <c r="K65" s="66">
        <f t="shared" ca="1" si="18"/>
        <v>6.8143406778851598E-2</v>
      </c>
      <c r="N65" s="55">
        <f t="shared" ca="1" si="19"/>
        <v>43</v>
      </c>
      <c r="O65" s="67">
        <f t="shared" ca="1" si="20"/>
        <v>38559</v>
      </c>
      <c r="P65" s="57">
        <f t="shared" ca="1" si="7"/>
        <v>4.54931128840683E-2</v>
      </c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W65" s="66">
        <v>0.1</v>
      </c>
      <c r="BA65" s="65"/>
      <c r="BB65" s="67"/>
      <c r="BC65" s="60"/>
      <c r="BD65" s="60"/>
      <c r="BE65" s="68"/>
      <c r="BF65" s="69"/>
      <c r="CE65" s="55"/>
      <c r="CF65" s="55"/>
    </row>
    <row r="66" spans="1:84" x14ac:dyDescent="0.25">
      <c r="A66" s="53">
        <f t="shared" si="9"/>
        <v>44</v>
      </c>
      <c r="B66" s="64">
        <f t="shared" si="16"/>
        <v>38596</v>
      </c>
      <c r="C66" s="53"/>
      <c r="D66" s="53">
        <f t="shared" ca="1" si="1"/>
        <v>3.1989999999999998</v>
      </c>
      <c r="E66" s="156">
        <f t="shared" ca="1" si="21"/>
        <v>-6.9166666666657939E-3</v>
      </c>
      <c r="F66" s="65">
        <f t="shared" ca="1" si="17"/>
        <v>3.1989999999999998</v>
      </c>
      <c r="G66" s="66">
        <f t="shared" ca="1" si="10"/>
        <v>6.8023955034941755E-2</v>
      </c>
      <c r="H66" s="66">
        <f t="shared" ca="1" si="3"/>
        <v>0.28000000000000003</v>
      </c>
      <c r="I66" s="66">
        <v>0</v>
      </c>
      <c r="J66" s="156">
        <v>0.28000000000000003</v>
      </c>
      <c r="K66" s="66">
        <f t="shared" ca="1" si="18"/>
        <v>6.8023955034941755E-2</v>
      </c>
      <c r="N66" s="55">
        <f t="shared" ca="1" si="19"/>
        <v>44</v>
      </c>
      <c r="O66" s="67">
        <f t="shared" ca="1" si="20"/>
        <v>38590</v>
      </c>
      <c r="P66" s="57">
        <f t="shared" ca="1" si="7"/>
        <v>4.5909969215756997E-2</v>
      </c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W66" s="66">
        <v>0.2</v>
      </c>
      <c r="BA66" s="65"/>
      <c r="BB66" s="67"/>
      <c r="BC66" s="60"/>
      <c r="BD66" s="60"/>
      <c r="BE66" s="68"/>
      <c r="BF66" s="69"/>
      <c r="CE66" s="55"/>
      <c r="CF66" s="55"/>
    </row>
    <row r="67" spans="1:84" x14ac:dyDescent="0.25">
      <c r="A67" s="53">
        <f t="shared" si="9"/>
        <v>45</v>
      </c>
      <c r="B67" s="64">
        <f t="shared" si="16"/>
        <v>38626</v>
      </c>
      <c r="C67" s="53"/>
      <c r="D67" s="53">
        <f t="shared" ca="1" si="1"/>
        <v>3.214</v>
      </c>
      <c r="E67" s="156">
        <f t="shared" ca="1" si="21"/>
        <v>-6.9166666666657939E-3</v>
      </c>
      <c r="F67" s="65">
        <f t="shared" ca="1" si="17"/>
        <v>3.214</v>
      </c>
      <c r="G67" s="66">
        <f t="shared" ca="1" si="10"/>
        <v>6.7278265800832016E-2</v>
      </c>
      <c r="H67" s="66">
        <f t="shared" ca="1" si="3"/>
        <v>0.28000000000000003</v>
      </c>
      <c r="I67" s="66">
        <v>0</v>
      </c>
      <c r="J67" s="156">
        <v>0.28000000000000003</v>
      </c>
      <c r="K67" s="66">
        <f t="shared" ca="1" si="18"/>
        <v>6.7278265800832016E-2</v>
      </c>
      <c r="N67" s="55">
        <f t="shared" ca="1" si="19"/>
        <v>45</v>
      </c>
      <c r="O67" s="67">
        <f t="shared" ca="1" si="20"/>
        <v>38622</v>
      </c>
      <c r="P67" s="57">
        <f t="shared" ca="1" si="7"/>
        <v>4.6326825605579998E-2</v>
      </c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W67" s="66">
        <v>0.3</v>
      </c>
      <c r="BA67" s="65"/>
      <c r="BB67" s="67"/>
      <c r="BC67" s="60"/>
      <c r="BD67" s="60"/>
      <c r="BE67" s="68"/>
      <c r="BF67" s="69"/>
      <c r="CE67" s="55"/>
      <c r="CF67" s="55"/>
    </row>
    <row r="68" spans="1:84" x14ac:dyDescent="0.25">
      <c r="A68" s="53">
        <f t="shared" si="9"/>
        <v>46</v>
      </c>
      <c r="B68" s="64">
        <f t="shared" si="16"/>
        <v>38657</v>
      </c>
      <c r="C68" s="53"/>
      <c r="D68" s="53">
        <f t="shared" ca="1" si="1"/>
        <v>3.359</v>
      </c>
      <c r="E68" s="156">
        <f t="shared" ca="1" si="21"/>
        <v>-6.9166666666657939E-3</v>
      </c>
      <c r="F68" s="65">
        <f t="shared" ca="1" si="17"/>
        <v>3.359</v>
      </c>
      <c r="G68" s="66">
        <f t="shared" ca="1" si="10"/>
        <v>6.4023303991623218E-2</v>
      </c>
      <c r="H68" s="66">
        <f t="shared" ca="1" si="3"/>
        <v>0.28000000000000003</v>
      </c>
      <c r="I68" s="66">
        <v>0</v>
      </c>
      <c r="J68" s="156">
        <v>0.28000000000000003</v>
      </c>
      <c r="K68" s="66">
        <f t="shared" ca="1" si="18"/>
        <v>6.4023303991623218E-2</v>
      </c>
      <c r="N68" s="55">
        <f t="shared" ca="1" si="19"/>
        <v>46</v>
      </c>
      <c r="O68" s="67">
        <f t="shared" ca="1" si="20"/>
        <v>38651</v>
      </c>
      <c r="P68" s="57">
        <f t="shared" ca="1" si="7"/>
        <v>4.6716549265346498E-2</v>
      </c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W68" s="66">
        <v>0.3</v>
      </c>
      <c r="BA68" s="65"/>
      <c r="BB68" s="67"/>
      <c r="BC68" s="60"/>
      <c r="BD68" s="60"/>
      <c r="BE68" s="68"/>
      <c r="BF68" s="69"/>
      <c r="CE68" s="55"/>
      <c r="CF68" s="55"/>
    </row>
    <row r="69" spans="1:84" x14ac:dyDescent="0.25">
      <c r="A69" s="53">
        <f t="shared" si="9"/>
        <v>47</v>
      </c>
      <c r="B69" s="64">
        <f t="shared" si="16"/>
        <v>38687</v>
      </c>
      <c r="C69" s="53"/>
      <c r="D69" s="53">
        <f t="shared" ca="1" si="1"/>
        <v>3.4939999999999998</v>
      </c>
      <c r="E69" s="156">
        <f t="shared" ca="1" si="21"/>
        <v>-6.9166666666657939E-3</v>
      </c>
      <c r="F69" s="65">
        <f t="shared" ca="1" si="17"/>
        <v>3.4939999999999998</v>
      </c>
      <c r="G69" s="66">
        <f t="shared" ca="1" si="10"/>
        <v>6.1215065454066894E-2</v>
      </c>
      <c r="H69" s="66">
        <f t="shared" ca="1" si="3"/>
        <v>0.28000000000000003</v>
      </c>
      <c r="I69" s="66">
        <v>0</v>
      </c>
      <c r="J69" s="156">
        <v>0.28000000000000003</v>
      </c>
      <c r="K69" s="66">
        <f t="shared" ca="1" si="18"/>
        <v>6.1215065454066894E-2</v>
      </c>
      <c r="N69" s="55">
        <f t="shared" ca="1" si="19"/>
        <v>47</v>
      </c>
      <c r="O69" s="67">
        <f t="shared" ca="1" si="20"/>
        <v>38681</v>
      </c>
      <c r="P69" s="57">
        <f t="shared" ca="1" si="7"/>
        <v>4.70928800068173E-2</v>
      </c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W69" s="66">
        <v>0.25</v>
      </c>
      <c r="BA69" s="65"/>
      <c r="BB69" s="67"/>
      <c r="BC69" s="60"/>
      <c r="BD69" s="60"/>
      <c r="BE69" s="68"/>
      <c r="BF69" s="69"/>
      <c r="CE69" s="55"/>
      <c r="CF69" s="55"/>
    </row>
    <row r="70" spans="1:84" x14ac:dyDescent="0.25">
      <c r="A70" s="53">
        <f t="shared" si="9"/>
        <v>48</v>
      </c>
      <c r="B70" s="64">
        <f t="shared" si="16"/>
        <v>38718</v>
      </c>
      <c r="C70"/>
      <c r="D70" s="53">
        <f t="shared" ca="1" si="1"/>
        <v>3.5489999999999999</v>
      </c>
      <c r="E70" s="156">
        <f t="shared" ca="1" si="21"/>
        <v>-6.9166666666657939E-3</v>
      </c>
      <c r="F70" s="65">
        <f t="shared" ca="1" si="17"/>
        <v>3.5489999999999999</v>
      </c>
      <c r="G70" s="66">
        <f t="shared" ca="1" si="10"/>
        <v>5.9929318393185847E-2</v>
      </c>
      <c r="H70" s="66">
        <f t="shared" ca="1" si="3"/>
        <v>0.28000000000000003</v>
      </c>
      <c r="I70" s="66">
        <v>0</v>
      </c>
      <c r="J70" s="156">
        <v>0.28000000000000003</v>
      </c>
      <c r="K70" s="66">
        <f t="shared" ca="1" si="18"/>
        <v>5.9929318393185847E-2</v>
      </c>
      <c r="N70" s="55">
        <f t="shared" ca="1" si="19"/>
        <v>48</v>
      </c>
      <c r="O70" s="67">
        <f t="shared" ca="1" si="20"/>
        <v>38713</v>
      </c>
      <c r="P70" s="57">
        <f t="shared" ca="1" si="7"/>
        <v>4.7457071092037201E-2</v>
      </c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W70" s="66">
        <v>0.05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</row>
    <row r="71" spans="1:84" x14ac:dyDescent="0.25">
      <c r="A71" s="53">
        <f t="shared" si="9"/>
        <v>49</v>
      </c>
      <c r="B71" s="64">
        <f t="shared" si="16"/>
        <v>38749</v>
      </c>
      <c r="C71"/>
      <c r="D71" s="53">
        <f t="shared" ca="1" si="1"/>
        <v>3.4009999999999998</v>
      </c>
      <c r="E71" s="156">
        <f t="shared" ca="1" si="21"/>
        <v>-6.9166666666657939E-3</v>
      </c>
      <c r="F71" s="65">
        <f t="shared" ca="1" si="17"/>
        <v>3.4009999999999998</v>
      </c>
      <c r="G71" s="66">
        <f t="shared" ca="1" si="10"/>
        <v>6.2233544135687976E-2</v>
      </c>
      <c r="H71" s="66">
        <f t="shared" ca="1" si="3"/>
        <v>0.28499999999999998</v>
      </c>
      <c r="I71" s="66">
        <v>0</v>
      </c>
      <c r="J71" s="156">
        <v>0.28000000000000003</v>
      </c>
      <c r="K71" s="66">
        <f t="shared" ca="1" si="18"/>
        <v>6.2233544135687976E-2</v>
      </c>
      <c r="N71" s="55">
        <f t="shared" ca="1" si="19"/>
        <v>49</v>
      </c>
      <c r="O71" s="67">
        <f t="shared" ca="1" si="20"/>
        <v>38743</v>
      </c>
      <c r="P71" s="57">
        <f t="shared" ca="1" si="7"/>
        <v>4.7810067825002203E-2</v>
      </c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W71" s="66">
        <v>0.05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</row>
    <row r="72" spans="1:84" x14ac:dyDescent="0.25">
      <c r="A72" s="53">
        <f t="shared" si="9"/>
        <v>50</v>
      </c>
      <c r="B72" s="64">
        <f t="shared" si="16"/>
        <v>38777</v>
      </c>
      <c r="C72"/>
      <c r="D72" s="53">
        <f t="shared" ca="1" si="1"/>
        <v>3.3499999999999996</v>
      </c>
      <c r="E72" s="156">
        <f t="shared" ca="1" si="21"/>
        <v>-6.9166666666657939E-3</v>
      </c>
      <c r="F72" s="65">
        <f t="shared" ca="1" si="17"/>
        <v>3.3499999999999996</v>
      </c>
      <c r="G72" s="66">
        <f t="shared" ca="1" si="10"/>
        <v>6.2904885165444471E-2</v>
      </c>
      <c r="H72" s="66">
        <f t="shared" ca="1" si="3"/>
        <v>0.28000000000000003</v>
      </c>
      <c r="I72" s="66">
        <v>0</v>
      </c>
      <c r="J72" s="156">
        <v>0.28000000000000003</v>
      </c>
      <c r="K72" s="66">
        <f t="shared" ca="1" si="18"/>
        <v>6.2904885165444471E-2</v>
      </c>
      <c r="N72" s="55">
        <f t="shared" ca="1" si="19"/>
        <v>50</v>
      </c>
      <c r="O72" s="67">
        <f t="shared" ca="1" si="20"/>
        <v>38771</v>
      </c>
      <c r="P72" s="57">
        <f t="shared" ca="1" si="7"/>
        <v>4.8120638955663403E-2</v>
      </c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W72" s="66">
        <v>0.05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</row>
    <row r="73" spans="1:84" x14ac:dyDescent="0.25">
      <c r="A73" s="53">
        <f t="shared" si="9"/>
        <v>51</v>
      </c>
      <c r="B73" s="64">
        <f t="shared" si="16"/>
        <v>38808</v>
      </c>
      <c r="C73"/>
      <c r="D73" s="53">
        <f t="shared" ca="1" si="1"/>
        <v>3.1309999999999998</v>
      </c>
      <c r="E73" s="156">
        <f t="shared" ca="1" si="21"/>
        <v>-6.9166666666657939E-3</v>
      </c>
      <c r="F73" s="65">
        <f t="shared" ca="1" si="17"/>
        <v>3.1309999999999998</v>
      </c>
      <c r="G73" s="66">
        <f t="shared" ca="1" si="10"/>
        <v>6.6959626780163289E-2</v>
      </c>
      <c r="H73" s="66">
        <f t="shared" ca="1" si="3"/>
        <v>0.27</v>
      </c>
      <c r="I73" s="66">
        <v>0</v>
      </c>
      <c r="J73" s="156">
        <v>0.28000000000000003</v>
      </c>
      <c r="K73" s="66">
        <f t="shared" ca="1" si="18"/>
        <v>6.6959626780163289E-2</v>
      </c>
      <c r="N73" s="55">
        <f t="shared" ca="1" si="19"/>
        <v>51</v>
      </c>
      <c r="O73" s="67">
        <f t="shared" ca="1" si="20"/>
        <v>38804</v>
      </c>
      <c r="P73" s="57">
        <f t="shared" ca="1" si="7"/>
        <v>4.84011548433219E-2</v>
      </c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W73" s="66">
        <v>0.05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</row>
    <row r="74" spans="1:84" x14ac:dyDescent="0.25">
      <c r="A74" s="53">
        <f t="shared" si="9"/>
        <v>52</v>
      </c>
      <c r="B74" s="64">
        <f t="shared" si="16"/>
        <v>38838</v>
      </c>
      <c r="C74"/>
      <c r="D74" s="53">
        <f t="shared" ca="1" si="1"/>
        <v>3.1339999999999995</v>
      </c>
      <c r="E74" s="156">
        <f t="shared" ca="1" si="21"/>
        <v>-6.9166666666657939E-3</v>
      </c>
      <c r="F74" s="65">
        <f t="shared" ca="1" si="17"/>
        <v>3.1339999999999995</v>
      </c>
      <c r="G74" s="66">
        <f t="shared" ca="1" si="10"/>
        <v>6.6634737426012544E-2</v>
      </c>
      <c r="H74" s="66">
        <f t="shared" ca="1" si="3"/>
        <v>0.25</v>
      </c>
      <c r="I74" s="66">
        <v>0</v>
      </c>
      <c r="J74" s="156">
        <v>0.28000000000000003</v>
      </c>
      <c r="K74" s="66">
        <f t="shared" ca="1" si="18"/>
        <v>6.6634737426012544E-2</v>
      </c>
      <c r="N74" s="55">
        <f t="shared" ca="1" si="19"/>
        <v>52</v>
      </c>
      <c r="O74" s="67">
        <f t="shared" ca="1" si="20"/>
        <v>38832</v>
      </c>
      <c r="P74" s="57">
        <f t="shared" ca="1" si="7"/>
        <v>4.8711726035327398E-2</v>
      </c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W74" s="66">
        <v>0.05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</row>
    <row r="75" spans="1:84" x14ac:dyDescent="0.25">
      <c r="A75" s="53">
        <f t="shared" si="9"/>
        <v>53</v>
      </c>
      <c r="B75" s="64">
        <f t="shared" si="16"/>
        <v>38869</v>
      </c>
      <c r="C75"/>
      <c r="D75" s="53">
        <f t="shared" ca="1" si="1"/>
        <v>3.1739999999999995</v>
      </c>
      <c r="E75" s="156">
        <f t="shared" ca="1" si="21"/>
        <v>-6.9166666666657939E-3</v>
      </c>
      <c r="F75" s="65">
        <f t="shared" ca="1" si="17"/>
        <v>3.1739999999999995</v>
      </c>
      <c r="G75" s="66">
        <f t="shared" ca="1" si="10"/>
        <v>6.5521988152543967E-2</v>
      </c>
      <c r="H75" s="66">
        <f t="shared" ca="1" si="3"/>
        <v>0.245</v>
      </c>
      <c r="I75" s="66">
        <v>0</v>
      </c>
      <c r="J75" s="156">
        <v>0.28000000000000003</v>
      </c>
      <c r="K75" s="66">
        <f t="shared" ca="1" si="18"/>
        <v>6.5521988152543967E-2</v>
      </c>
      <c r="N75" s="55">
        <f t="shared" ca="1" si="19"/>
        <v>53</v>
      </c>
      <c r="O75" s="67">
        <f t="shared" ca="1" si="20"/>
        <v>38862</v>
      </c>
      <c r="P75" s="57">
        <f t="shared" ca="1" si="7"/>
        <v>4.9012278832467601E-2</v>
      </c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W75" s="66">
        <v>0.05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</row>
    <row r="76" spans="1:84" x14ac:dyDescent="0.25">
      <c r="A76" s="53">
        <f t="shared" si="9"/>
        <v>54</v>
      </c>
      <c r="B76" s="64">
        <f t="shared" si="16"/>
        <v>38899</v>
      </c>
      <c r="C76"/>
      <c r="D76" s="53">
        <f t="shared" ca="1" si="1"/>
        <v>3.2139999999999995</v>
      </c>
      <c r="E76" s="156">
        <f t="shared" ca="1" si="21"/>
        <v>-6.9166666666657939E-3</v>
      </c>
      <c r="F76" s="65">
        <f t="shared" ca="1" si="17"/>
        <v>3.2139999999999995</v>
      </c>
      <c r="G76" s="66">
        <f t="shared" ca="1" si="10"/>
        <v>6.4421422888716745E-2</v>
      </c>
      <c r="H76" s="66">
        <f t="shared" ca="1" si="3"/>
        <v>0.2475</v>
      </c>
      <c r="I76" s="66">
        <v>0</v>
      </c>
      <c r="J76" s="156">
        <v>0.28000000000000003</v>
      </c>
      <c r="K76" s="66">
        <f t="shared" ca="1" si="18"/>
        <v>6.4421422888716745E-2</v>
      </c>
      <c r="N76" s="55">
        <f t="shared" ca="1" si="19"/>
        <v>54</v>
      </c>
      <c r="O76" s="67">
        <f t="shared" ca="1" si="20"/>
        <v>38895</v>
      </c>
      <c r="P76" s="57">
        <f t="shared" ca="1" si="7"/>
        <v>4.9322850087879302E-2</v>
      </c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W76" s="66">
        <v>0.05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</row>
    <row r="77" spans="1:84" x14ac:dyDescent="0.25">
      <c r="A77" s="53">
        <f t="shared" si="9"/>
        <v>55</v>
      </c>
      <c r="B77" s="64">
        <f t="shared" si="16"/>
        <v>38930</v>
      </c>
      <c r="C77"/>
      <c r="D77" s="53">
        <f t="shared" ca="1" si="1"/>
        <v>3.2639999999999998</v>
      </c>
      <c r="E77" s="156">
        <f t="shared" ca="1" si="21"/>
        <v>-6.9166666666657939E-3</v>
      </c>
      <c r="F77" s="65">
        <f t="shared" ca="1" si="17"/>
        <v>3.2639999999999998</v>
      </c>
      <c r="G77" s="66">
        <f t="shared" ca="1" si="10"/>
        <v>6.3210243504930236E-2</v>
      </c>
      <c r="H77" s="66">
        <f t="shared" ca="1" si="3"/>
        <v>0.2475</v>
      </c>
      <c r="I77" s="66">
        <v>0</v>
      </c>
      <c r="J77" s="156">
        <v>0.28000000000000003</v>
      </c>
      <c r="K77" s="66">
        <f t="shared" ca="1" si="18"/>
        <v>6.3210243504930236E-2</v>
      </c>
      <c r="N77" s="55">
        <f t="shared" ca="1" si="19"/>
        <v>55</v>
      </c>
      <c r="O77" s="67">
        <f t="shared" ca="1" si="20"/>
        <v>38924</v>
      </c>
      <c r="P77" s="57">
        <f t="shared" ca="1" si="7"/>
        <v>4.962340294637E-2</v>
      </c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W77" s="66">
        <v>0.1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</row>
    <row r="78" spans="1:84" x14ac:dyDescent="0.25">
      <c r="A78" s="53">
        <f t="shared" si="9"/>
        <v>56</v>
      </c>
      <c r="B78" s="64">
        <f t="shared" si="16"/>
        <v>38961</v>
      </c>
      <c r="C78"/>
      <c r="D78" s="53">
        <f t="shared" ca="1" si="1"/>
        <v>3.2489999999999997</v>
      </c>
      <c r="E78" s="156">
        <f t="shared" ca="1" si="21"/>
        <v>-6.9166666666657939E-3</v>
      </c>
      <c r="F78" s="65">
        <f t="shared" ca="1" si="17"/>
        <v>3.2489999999999997</v>
      </c>
      <c r="G78" s="66">
        <f t="shared" ca="1" si="10"/>
        <v>6.3255060447769601E-2</v>
      </c>
      <c r="H78" s="66">
        <f t="shared" ca="1" si="3"/>
        <v>0.2475</v>
      </c>
      <c r="I78" s="66">
        <v>0</v>
      </c>
      <c r="J78" s="156">
        <v>0.28000000000000003</v>
      </c>
      <c r="K78" s="66">
        <f t="shared" ca="1" si="18"/>
        <v>6.3255060447769601E-2</v>
      </c>
      <c r="N78" s="55">
        <f t="shared" ca="1" si="19"/>
        <v>56</v>
      </c>
      <c r="O78" s="67">
        <f t="shared" ca="1" si="20"/>
        <v>38957</v>
      </c>
      <c r="P78" s="57">
        <f t="shared" ca="1" si="7"/>
        <v>4.9933974265168303E-2</v>
      </c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W78" s="66">
        <v>0.2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</row>
    <row r="79" spans="1:84" x14ac:dyDescent="0.25">
      <c r="A79" s="53">
        <f t="shared" si="9"/>
        <v>57</v>
      </c>
      <c r="B79" s="64">
        <f t="shared" si="16"/>
        <v>38991</v>
      </c>
      <c r="C79"/>
      <c r="D79" s="53">
        <f t="shared" ca="1" si="1"/>
        <v>3.2639999999999998</v>
      </c>
      <c r="E79" s="156">
        <f t="shared" ca="1" si="21"/>
        <v>-6.9166666666657939E-3</v>
      </c>
      <c r="F79" s="65">
        <f t="shared" ca="1" si="17"/>
        <v>3.2639999999999998</v>
      </c>
      <c r="G79" s="66">
        <f t="shared" ca="1" si="10"/>
        <v>6.2772091009140885E-2</v>
      </c>
      <c r="H79" s="66">
        <f t="shared" ca="1" si="3"/>
        <v>0.2475</v>
      </c>
      <c r="I79" s="66">
        <v>0</v>
      </c>
      <c r="J79" s="156">
        <v>0.28000000000000003</v>
      </c>
      <c r="K79" s="66">
        <f t="shared" ca="1" si="18"/>
        <v>6.2772091009140885E-2</v>
      </c>
      <c r="N79" s="55">
        <f t="shared" ca="1" si="19"/>
        <v>57</v>
      </c>
      <c r="O79" s="67">
        <f t="shared" ca="1" si="20"/>
        <v>38986</v>
      </c>
      <c r="P79" s="57">
        <f t="shared" ca="1" si="7"/>
        <v>5.0244545616172399E-2</v>
      </c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W79" s="66">
        <v>0.3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</row>
    <row r="80" spans="1:84" x14ac:dyDescent="0.25">
      <c r="A80" s="53">
        <f t="shared" si="9"/>
        <v>58</v>
      </c>
      <c r="B80" s="64">
        <f t="shared" si="16"/>
        <v>39022</v>
      </c>
      <c r="C80"/>
      <c r="D80" s="53">
        <f t="shared" ca="1" si="1"/>
        <v>3.4089999999999998</v>
      </c>
      <c r="E80" s="156">
        <f t="shared" ca="1" si="21"/>
        <v>-6.9166666666657939E-3</v>
      </c>
      <c r="F80" s="65">
        <f t="shared" ca="1" si="17"/>
        <v>3.4089999999999998</v>
      </c>
      <c r="G80" s="66">
        <f t="shared" ca="1" si="10"/>
        <v>5.9914455062296215E-2</v>
      </c>
      <c r="H80" s="66">
        <f t="shared" ca="1" si="3"/>
        <v>0.2475</v>
      </c>
      <c r="I80" s="66">
        <v>0</v>
      </c>
      <c r="J80" s="156">
        <v>0.28000000000000003</v>
      </c>
      <c r="K80" s="66">
        <f t="shared" ca="1" si="18"/>
        <v>5.9914455062296215E-2</v>
      </c>
      <c r="N80" s="55">
        <f t="shared" ca="1" si="19"/>
        <v>58</v>
      </c>
      <c r="O80" s="67">
        <f t="shared" ca="1" si="20"/>
        <v>39016</v>
      </c>
      <c r="P80" s="57">
        <f t="shared" ca="1" si="7"/>
        <v>5.0545098567158497E-2</v>
      </c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W80" s="66">
        <v>0.3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</row>
    <row r="81" spans="1:82" x14ac:dyDescent="0.25">
      <c r="A81" s="53">
        <f t="shared" si="9"/>
        <v>59</v>
      </c>
      <c r="B81" s="64">
        <f t="shared" ref="B81:B112" si="22">DATE(YEAR(B80),MONTH(B80)+1,1)</f>
        <v>39052</v>
      </c>
      <c r="C81"/>
      <c r="D81" s="53">
        <f t="shared" ca="1" si="1"/>
        <v>3.5439999999999996</v>
      </c>
      <c r="E81" s="156">
        <f t="shared" ca="1" si="21"/>
        <v>-6.9166666666657939E-3</v>
      </c>
      <c r="F81" s="65">
        <f t="shared" ca="1" si="17"/>
        <v>3.5439999999999996</v>
      </c>
      <c r="G81" s="66">
        <f t="shared" ca="1" si="10"/>
        <v>5.7450653994158482E-2</v>
      </c>
      <c r="H81" s="66">
        <f t="shared" ca="1" si="3"/>
        <v>0.2475</v>
      </c>
      <c r="I81" s="66">
        <v>0</v>
      </c>
      <c r="J81" s="156">
        <v>0.28000000000000003</v>
      </c>
      <c r="K81" s="66">
        <f t="shared" ca="1" si="18"/>
        <v>5.7450653994158482E-2</v>
      </c>
      <c r="N81" s="55">
        <f t="shared" ca="1" si="19"/>
        <v>59</v>
      </c>
      <c r="O81" s="67">
        <f t="shared" ca="1" si="20"/>
        <v>39048</v>
      </c>
      <c r="P81" s="57">
        <f t="shared" ca="1" si="7"/>
        <v>5.0855669981520801E-2</v>
      </c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W81" s="66">
        <v>0.25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</row>
    <row r="82" spans="1:82" x14ac:dyDescent="0.25">
      <c r="A82" s="53">
        <f t="shared" si="9"/>
        <v>60</v>
      </c>
      <c r="B82" s="64">
        <f t="shared" si="22"/>
        <v>39083</v>
      </c>
      <c r="C82"/>
      <c r="D82" s="53">
        <f t="shared" ca="1" si="1"/>
        <v>3.5989999999999998</v>
      </c>
      <c r="E82" s="156">
        <f t="shared" ca="1" si="21"/>
        <v>-6.9166666666657939E-3</v>
      </c>
      <c r="F82" s="65">
        <f t="shared" ca="1" si="17"/>
        <v>3.5989999999999998</v>
      </c>
      <c r="G82" s="66">
        <f t="shared" ca="1" si="10"/>
        <v>5.6428812061756997E-2</v>
      </c>
      <c r="H82" s="66">
        <f t="shared" ca="1" si="3"/>
        <v>0.2475</v>
      </c>
      <c r="I82" s="66">
        <v>0</v>
      </c>
      <c r="J82" s="156">
        <v>0.28000000000000003</v>
      </c>
      <c r="K82" s="66">
        <f t="shared" ca="1" si="18"/>
        <v>5.6428812061756997E-2</v>
      </c>
      <c r="N82" s="55">
        <f t="shared" ca="1" si="19"/>
        <v>60</v>
      </c>
      <c r="O82" s="67">
        <f t="shared" ca="1" si="20"/>
        <v>39077</v>
      </c>
      <c r="P82" s="57">
        <f t="shared" ca="1" si="7"/>
        <v>5.1156222993812103E-2</v>
      </c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W82" s="66">
        <v>0.1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</row>
    <row r="83" spans="1:82" x14ac:dyDescent="0.25">
      <c r="A83" s="53">
        <f t="shared" si="9"/>
        <v>61</v>
      </c>
      <c r="B83" s="64">
        <f t="shared" si="22"/>
        <v>39114</v>
      </c>
      <c r="C83"/>
      <c r="D83" s="53">
        <f t="shared" ca="1" si="1"/>
        <v>3.4509999999999996</v>
      </c>
      <c r="E83" s="156">
        <f t="shared" ca="1" si="21"/>
        <v>-6.9166666666657939E-3</v>
      </c>
      <c r="F83" s="65">
        <f t="shared" ca="1" si="17"/>
        <v>3.4509999999999996</v>
      </c>
      <c r="G83" s="66">
        <f t="shared" ca="1" si="10"/>
        <v>5.8680204097619593E-2</v>
      </c>
      <c r="H83" s="66">
        <f t="shared" ca="1" si="3"/>
        <v>0.2475</v>
      </c>
      <c r="I83" s="66">
        <v>0</v>
      </c>
      <c r="J83" s="156">
        <v>0.28000000000000003</v>
      </c>
      <c r="K83" s="66">
        <f t="shared" ca="1" si="18"/>
        <v>5.8680204097619593E-2</v>
      </c>
      <c r="N83" s="55">
        <f t="shared" ca="1" si="19"/>
        <v>61</v>
      </c>
      <c r="O83" s="67">
        <f t="shared" ca="1" si="20"/>
        <v>39108</v>
      </c>
      <c r="P83" s="57">
        <f t="shared" ca="1" si="7"/>
        <v>5.1391857633718001E-2</v>
      </c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W83" s="66">
        <v>0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</row>
    <row r="84" spans="1:82" x14ac:dyDescent="0.25">
      <c r="A84" s="53">
        <f t="shared" si="9"/>
        <v>62</v>
      </c>
      <c r="B84" s="64">
        <f t="shared" si="22"/>
        <v>39142</v>
      </c>
      <c r="C84"/>
      <c r="D84" s="53">
        <f t="shared" ca="1" si="1"/>
        <v>3.3999999999999995</v>
      </c>
      <c r="E84" s="156">
        <f t="shared" ca="1" si="21"/>
        <v>-6.9166666666657939E-3</v>
      </c>
      <c r="F84" s="65">
        <f t="shared" ca="1" si="17"/>
        <v>3.3999999999999995</v>
      </c>
      <c r="G84" s="66">
        <f t="shared" ca="1" si="10"/>
        <v>5.9404925241954259E-2</v>
      </c>
      <c r="H84" s="66">
        <f t="shared" ca="1" si="3"/>
        <v>0.24249999999999999</v>
      </c>
      <c r="I84" s="66">
        <v>0</v>
      </c>
      <c r="J84" s="156">
        <v>0.28000000000000003</v>
      </c>
      <c r="K84" s="66">
        <f t="shared" ca="1" si="18"/>
        <v>5.9404925241954259E-2</v>
      </c>
      <c r="N84" s="55">
        <f t="shared" ca="1" si="19"/>
        <v>62</v>
      </c>
      <c r="O84" s="67">
        <f t="shared" ca="1" si="20"/>
        <v>39136</v>
      </c>
      <c r="P84" s="57">
        <f t="shared" ca="1" si="7"/>
        <v>5.1573371239542101E-2</v>
      </c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W84" s="66">
        <v>0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</row>
    <row r="85" spans="1:82" x14ac:dyDescent="0.25">
      <c r="A85" s="53">
        <f t="shared" si="9"/>
        <v>63</v>
      </c>
      <c r="B85" s="64">
        <f t="shared" si="22"/>
        <v>39173</v>
      </c>
      <c r="C85"/>
      <c r="D85" s="53">
        <f t="shared" ca="1" si="1"/>
        <v>3.1809999999999996</v>
      </c>
      <c r="E85" s="156">
        <f t="shared" ca="1" si="21"/>
        <v>-6.9166666666657939E-3</v>
      </c>
      <c r="F85" s="65">
        <f t="shared" ca="1" si="17"/>
        <v>3.1809999999999996</v>
      </c>
      <c r="G85" s="66">
        <f t="shared" ca="1" si="10"/>
        <v>6.3306892096127068E-2</v>
      </c>
      <c r="H85" s="66">
        <f t="shared" ca="1" si="3"/>
        <v>0.24</v>
      </c>
      <c r="I85" s="66">
        <v>0</v>
      </c>
      <c r="J85" s="156">
        <v>0.28000000000000003</v>
      </c>
      <c r="K85" s="66">
        <f t="shared" ca="1" si="18"/>
        <v>6.3306892096127068E-2</v>
      </c>
      <c r="N85" s="55">
        <f t="shared" ca="1" si="19"/>
        <v>63</v>
      </c>
      <c r="O85" s="67">
        <f t="shared" ca="1" si="20"/>
        <v>39168</v>
      </c>
      <c r="P85" s="57">
        <f t="shared" ca="1" si="7"/>
        <v>5.17373190219916E-2</v>
      </c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W85" s="66">
        <v>0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</row>
    <row r="86" spans="1:82" x14ac:dyDescent="0.25">
      <c r="A86" s="53">
        <f t="shared" si="9"/>
        <v>64</v>
      </c>
      <c r="B86" s="64">
        <f t="shared" si="22"/>
        <v>39203</v>
      </c>
      <c r="C86"/>
      <c r="D86" s="53">
        <f t="shared" ca="1" si="1"/>
        <v>3.1839999999999993</v>
      </c>
      <c r="E86" s="156">
        <f t="shared" ca="1" si="21"/>
        <v>-6.9166666666657939E-3</v>
      </c>
      <c r="F86" s="65">
        <f t="shared" ca="1" si="17"/>
        <v>3.1839999999999993</v>
      </c>
      <c r="G86" s="66">
        <f t="shared" ca="1" si="10"/>
        <v>6.3090595253010834E-2</v>
      </c>
      <c r="H86" s="66">
        <f t="shared" ca="1" si="3"/>
        <v>0.24</v>
      </c>
      <c r="I86" s="66">
        <v>0</v>
      </c>
      <c r="J86" s="156">
        <v>0.28000000000000003</v>
      </c>
      <c r="K86" s="66">
        <f t="shared" ca="1" si="18"/>
        <v>6.3090595253010834E-2</v>
      </c>
      <c r="N86" s="55">
        <f t="shared" ca="1" si="19"/>
        <v>64</v>
      </c>
      <c r="O86" s="67">
        <f t="shared" ca="1" si="20"/>
        <v>39197</v>
      </c>
      <c r="P86" s="57">
        <f t="shared" ca="1" si="7"/>
        <v>5.1918832648734502E-2</v>
      </c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W86" s="66">
        <v>0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</row>
    <row r="87" spans="1:82" x14ac:dyDescent="0.25">
      <c r="A87" s="53">
        <f t="shared" si="9"/>
        <v>65</v>
      </c>
      <c r="B87" s="64">
        <f t="shared" si="22"/>
        <v>39234</v>
      </c>
      <c r="C87"/>
      <c r="D87" s="53">
        <f t="shared" ref="D87:D142" ca="1" si="23">VLOOKUP($B87,curvesettle,2,FALSE)</f>
        <v>3.2239999999999993</v>
      </c>
      <c r="E87" s="156">
        <f t="shared" ca="1" si="21"/>
        <v>-6.9166666666657939E-3</v>
      </c>
      <c r="F87" s="65">
        <f t="shared" ref="F87:F118" ca="1" si="24">IF(D$1="settle",D87,IF(D$1="EOL",D87+E87,IF(ISNUMBER(C87),C87,D87)))</f>
        <v>3.2239999999999993</v>
      </c>
      <c r="G87" s="66">
        <f t="shared" ca="1" si="10"/>
        <v>6.215198288275272E-2</v>
      </c>
      <c r="H87" s="66">
        <f t="shared" ref="H87:H142" ca="1" si="25">VLOOKUP($B87,curvesettle,3,FALSE)</f>
        <v>0.24</v>
      </c>
      <c r="I87" s="66">
        <v>0</v>
      </c>
      <c r="J87" s="156">
        <v>0.28000000000000003</v>
      </c>
      <c r="K87" s="66">
        <f t="shared" ref="K87:K118" ca="1" si="26">bsd(6,1,$F87,$F87,$O87-TODAY(),$H87,$P87,J87/2)</f>
        <v>6.215198288275272E-2</v>
      </c>
      <c r="N87" s="55">
        <f t="shared" ref="N87:N118" ca="1" si="27">A87</f>
        <v>65</v>
      </c>
      <c r="O87" s="67">
        <f t="shared" ref="O87:O118" ca="1" si="28">VLOOKUP(B87,expiration,3,FALSE)</f>
        <v>39227</v>
      </c>
      <c r="P87" s="57">
        <f t="shared" ref="P87:P142" ca="1" si="29">VLOOKUP($B87,curvesettle,4,FALSE)</f>
        <v>5.2094491007659699E-2</v>
      </c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W87" s="66">
        <v>0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</row>
    <row r="88" spans="1:82" x14ac:dyDescent="0.25">
      <c r="A88" s="53">
        <f t="shared" ref="A88:A142" si="30">A87+1</f>
        <v>66</v>
      </c>
      <c r="B88" s="64">
        <f t="shared" si="22"/>
        <v>39264</v>
      </c>
      <c r="C88"/>
      <c r="D88" s="53">
        <f t="shared" ca="1" si="23"/>
        <v>3.2639999999999993</v>
      </c>
      <c r="E88" s="156">
        <f t="shared" ca="1" si="21"/>
        <v>-6.9166666666657939E-3</v>
      </c>
      <c r="F88" s="65">
        <f t="shared" ca="1" si="24"/>
        <v>3.2639999999999993</v>
      </c>
      <c r="G88" s="66">
        <f t="shared" ref="G88:G142" ca="1" si="31">IF($D$2="settle",H88,IF($D$2="straddles",K88,IF($D$2="custom",H88+I88,0)))</f>
        <v>6.1234493404400084E-2</v>
      </c>
      <c r="H88" s="66">
        <f t="shared" ca="1" si="25"/>
        <v>0.24</v>
      </c>
      <c r="I88" s="66">
        <v>0</v>
      </c>
      <c r="J88" s="156">
        <v>0.28000000000000003</v>
      </c>
      <c r="K88" s="66">
        <f t="shared" ca="1" si="26"/>
        <v>6.1234493404400084E-2</v>
      </c>
      <c r="N88" s="55">
        <f t="shared" ca="1" si="27"/>
        <v>66</v>
      </c>
      <c r="O88" s="67">
        <f t="shared" ca="1" si="28"/>
        <v>39259</v>
      </c>
      <c r="P88" s="57">
        <f t="shared" ca="1" si="29"/>
        <v>5.2276004656028399E-2</v>
      </c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W88" s="66">
        <v>0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</row>
    <row r="89" spans="1:82" x14ac:dyDescent="0.25">
      <c r="A89" s="53">
        <f t="shared" si="30"/>
        <v>67</v>
      </c>
      <c r="B89" s="64">
        <f t="shared" si="22"/>
        <v>39295</v>
      </c>
      <c r="C89"/>
      <c r="D89" s="53">
        <f t="shared" ca="1" si="23"/>
        <v>3.3139999999999996</v>
      </c>
      <c r="E89" s="156">
        <f t="shared" ca="1" si="21"/>
        <v>-6.9166666666657939E-3</v>
      </c>
      <c r="F89" s="65">
        <f t="shared" ca="1" si="24"/>
        <v>3.3139999999999996</v>
      </c>
      <c r="G89" s="66">
        <f t="shared" ca="1" si="31"/>
        <v>6.0177265224086542E-2</v>
      </c>
      <c r="H89" s="66">
        <f t="shared" ca="1" si="25"/>
        <v>0.24</v>
      </c>
      <c r="I89" s="66">
        <v>0</v>
      </c>
      <c r="J89" s="156">
        <v>0.28000000000000003</v>
      </c>
      <c r="K89" s="66">
        <f t="shared" ca="1" si="26"/>
        <v>6.0177265224086542E-2</v>
      </c>
      <c r="N89" s="55">
        <f t="shared" ca="1" si="27"/>
        <v>67</v>
      </c>
      <c r="O89" s="67">
        <f t="shared" ca="1" si="28"/>
        <v>39289</v>
      </c>
      <c r="P89" s="57">
        <f t="shared" ca="1" si="29"/>
        <v>5.2451663035879101E-2</v>
      </c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W89" s="66">
        <v>0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</row>
    <row r="90" spans="1:82" x14ac:dyDescent="0.25">
      <c r="A90" s="53">
        <f t="shared" si="30"/>
        <v>68</v>
      </c>
      <c r="B90" s="64">
        <f t="shared" si="22"/>
        <v>39326</v>
      </c>
      <c r="C90"/>
      <c r="D90" s="53">
        <f t="shared" ca="1" si="23"/>
        <v>3.2989999999999995</v>
      </c>
      <c r="E90" s="156">
        <f t="shared" ca="1" si="21"/>
        <v>-6.9166666666657939E-3</v>
      </c>
      <c r="F90" s="65">
        <f t="shared" ca="1" si="24"/>
        <v>3.2989999999999995</v>
      </c>
      <c r="G90" s="66">
        <f t="shared" ca="1" si="31"/>
        <v>6.0311948388157309E-2</v>
      </c>
      <c r="H90" s="66">
        <f t="shared" ca="1" si="25"/>
        <v>0.24</v>
      </c>
      <c r="I90" s="66">
        <v>0</v>
      </c>
      <c r="J90" s="156">
        <v>0.28000000000000003</v>
      </c>
      <c r="K90" s="66">
        <f t="shared" ca="1" si="26"/>
        <v>6.0311948388157309E-2</v>
      </c>
      <c r="N90" s="55">
        <f t="shared" ca="1" si="27"/>
        <v>68</v>
      </c>
      <c r="O90" s="67">
        <f t="shared" ca="1" si="28"/>
        <v>39322</v>
      </c>
      <c r="P90" s="57">
        <f t="shared" ca="1" si="29"/>
        <v>5.2633176705868798E-2</v>
      </c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W90" s="66">
        <v>0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</row>
    <row r="91" spans="1:82" x14ac:dyDescent="0.25">
      <c r="A91" s="53">
        <f t="shared" si="30"/>
        <v>69</v>
      </c>
      <c r="B91" s="64">
        <f t="shared" si="22"/>
        <v>39356</v>
      </c>
      <c r="C91"/>
      <c r="D91" s="53">
        <f t="shared" ca="1" si="23"/>
        <v>3.3139999999999996</v>
      </c>
      <c r="E91" s="156">
        <f t="shared" ca="1" si="21"/>
        <v>-6.9166666666657939E-3</v>
      </c>
      <c r="F91" s="65">
        <f t="shared" ca="1" si="24"/>
        <v>3.3139999999999996</v>
      </c>
      <c r="G91" s="66">
        <f t="shared" ca="1" si="31"/>
        <v>5.9937920217690246E-2</v>
      </c>
      <c r="H91" s="66">
        <f t="shared" ca="1" si="25"/>
        <v>0.24</v>
      </c>
      <c r="I91" s="66">
        <v>0</v>
      </c>
      <c r="J91" s="156">
        <v>0.28000000000000003</v>
      </c>
      <c r="K91" s="66">
        <f t="shared" ca="1" si="26"/>
        <v>5.9937920217690246E-2</v>
      </c>
      <c r="N91" s="55">
        <f t="shared" ca="1" si="27"/>
        <v>69</v>
      </c>
      <c r="O91" s="67">
        <f t="shared" ca="1" si="28"/>
        <v>39350</v>
      </c>
      <c r="P91" s="57">
        <f t="shared" ca="1" si="29"/>
        <v>5.28146903868447E-2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W91" s="66">
        <v>0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</row>
    <row r="92" spans="1:82" x14ac:dyDescent="0.25">
      <c r="A92" s="53">
        <f t="shared" si="30"/>
        <v>70</v>
      </c>
      <c r="B92" s="64">
        <f t="shared" si="22"/>
        <v>39387</v>
      </c>
      <c r="C92"/>
      <c r="D92" s="53">
        <f t="shared" ca="1" si="23"/>
        <v>3.4589999999999996</v>
      </c>
      <c r="E92" s="156">
        <f t="shared" ca="1" si="21"/>
        <v>-6.9166666666657939E-3</v>
      </c>
      <c r="F92" s="65">
        <f t="shared" ca="1" si="24"/>
        <v>3.4589999999999996</v>
      </c>
      <c r="G92" s="66">
        <f t="shared" ca="1" si="31"/>
        <v>5.7313657764030572E-2</v>
      </c>
      <c r="H92" s="66">
        <f t="shared" ca="1" si="25"/>
        <v>0.24</v>
      </c>
      <c r="I92" s="66">
        <v>0</v>
      </c>
      <c r="J92" s="156">
        <v>0.28000000000000003</v>
      </c>
      <c r="K92" s="66">
        <f t="shared" ca="1" si="26"/>
        <v>5.7313657764030572E-2</v>
      </c>
      <c r="N92" s="55">
        <f t="shared" ca="1" si="27"/>
        <v>70</v>
      </c>
      <c r="O92" s="67">
        <f t="shared" ca="1" si="28"/>
        <v>39381</v>
      </c>
      <c r="P92" s="57">
        <f t="shared" ca="1" si="29"/>
        <v>5.29903487982488E-2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W92" s="66">
        <v>0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</row>
    <row r="93" spans="1:82" x14ac:dyDescent="0.25">
      <c r="A93" s="53">
        <f t="shared" si="30"/>
        <v>71</v>
      </c>
      <c r="B93" s="64">
        <f t="shared" si="22"/>
        <v>39417</v>
      </c>
      <c r="C93"/>
      <c r="D93" s="53">
        <f t="shared" ca="1" si="23"/>
        <v>3.5939999999999994</v>
      </c>
      <c r="E93" s="156">
        <f t="shared" ca="1" si="21"/>
        <v>-6.9166666666657939E-3</v>
      </c>
      <c r="F93" s="65">
        <f t="shared" ca="1" si="24"/>
        <v>3.5939999999999994</v>
      </c>
      <c r="G93" s="66">
        <f t="shared" ca="1" si="31"/>
        <v>5.505877016444876E-2</v>
      </c>
      <c r="H93" s="66">
        <f t="shared" ca="1" si="25"/>
        <v>0.24</v>
      </c>
      <c r="I93" s="66">
        <v>0</v>
      </c>
      <c r="J93" s="156">
        <v>0.28000000000000003</v>
      </c>
      <c r="K93" s="66">
        <f t="shared" ca="1" si="26"/>
        <v>5.505877016444876E-2</v>
      </c>
      <c r="N93" s="55">
        <f t="shared" ca="1" si="27"/>
        <v>71</v>
      </c>
      <c r="O93" s="67">
        <f t="shared" ca="1" si="28"/>
        <v>39413</v>
      </c>
      <c r="P93" s="57">
        <f t="shared" ca="1" si="29"/>
        <v>5.31718625008408E-2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W93" s="66">
        <v>0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</row>
    <row r="94" spans="1:82" x14ac:dyDescent="0.25">
      <c r="A94" s="53">
        <f t="shared" si="30"/>
        <v>72</v>
      </c>
      <c r="B94" s="64">
        <f t="shared" si="22"/>
        <v>39448</v>
      </c>
      <c r="C94"/>
      <c r="D94" s="53">
        <f t="shared" ca="1" si="23"/>
        <v>3.6489999999999996</v>
      </c>
      <c r="E94" s="156">
        <f t="shared" ca="1" si="21"/>
        <v>-6.9166666666657939E-3</v>
      </c>
      <c r="F94" s="65">
        <f t="shared" ca="1" si="24"/>
        <v>3.6489999999999996</v>
      </c>
      <c r="G94" s="66">
        <f t="shared" ca="1" si="31"/>
        <v>5.4150164603765642E-2</v>
      </c>
      <c r="H94" s="66">
        <f t="shared" ca="1" si="25"/>
        <v>0.24</v>
      </c>
      <c r="I94" s="66">
        <v>0</v>
      </c>
      <c r="J94" s="156">
        <v>0.28000000000000003</v>
      </c>
      <c r="K94" s="66">
        <f t="shared" ca="1" si="26"/>
        <v>5.4150164603765642E-2</v>
      </c>
      <c r="N94" s="55">
        <f t="shared" ca="1" si="27"/>
        <v>72</v>
      </c>
      <c r="O94" s="67">
        <f t="shared" ca="1" si="28"/>
        <v>39442</v>
      </c>
      <c r="P94" s="57">
        <f t="shared" ca="1" si="29"/>
        <v>5.3347520933161099E-2</v>
      </c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W94" s="66">
        <v>0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</row>
    <row r="95" spans="1:82" x14ac:dyDescent="0.25">
      <c r="A95" s="53">
        <f t="shared" si="30"/>
        <v>73</v>
      </c>
      <c r="B95" s="64">
        <f t="shared" si="22"/>
        <v>39479</v>
      </c>
      <c r="C95"/>
      <c r="D95" s="53">
        <f t="shared" ca="1" si="23"/>
        <v>3.5009999999999994</v>
      </c>
      <c r="E95" s="156">
        <f t="shared" ca="1" si="21"/>
        <v>-6.9166666666657939E-3</v>
      </c>
      <c r="F95" s="65">
        <f t="shared" ca="1" si="24"/>
        <v>3.5009999999999994</v>
      </c>
      <c r="G95" s="66">
        <f t="shared" ca="1" si="31"/>
        <v>5.6353765031531569E-2</v>
      </c>
      <c r="H95" s="66">
        <f t="shared" ca="1" si="25"/>
        <v>0.24</v>
      </c>
      <c r="I95" s="66">
        <v>0</v>
      </c>
      <c r="J95" s="156">
        <v>0.28000000000000003</v>
      </c>
      <c r="K95" s="66">
        <f t="shared" ca="1" si="26"/>
        <v>5.6353765031531569E-2</v>
      </c>
      <c r="N95" s="55">
        <f t="shared" ca="1" si="27"/>
        <v>73</v>
      </c>
      <c r="O95" s="67">
        <f t="shared" ca="1" si="28"/>
        <v>39475</v>
      </c>
      <c r="P95" s="57">
        <f t="shared" ca="1" si="29"/>
        <v>5.3529034657364701E-2</v>
      </c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W95" s="66">
        <v>0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</row>
    <row r="96" spans="1:82" x14ac:dyDescent="0.25">
      <c r="A96" s="53">
        <f t="shared" si="30"/>
        <v>74</v>
      </c>
      <c r="B96" s="64">
        <f t="shared" si="22"/>
        <v>39508</v>
      </c>
      <c r="C96"/>
      <c r="D96" s="53">
        <f t="shared" ca="1" si="23"/>
        <v>3.4499999999999993</v>
      </c>
      <c r="E96" s="156">
        <f t="shared" ca="1" si="21"/>
        <v>-6.9166666666657939E-3</v>
      </c>
      <c r="F96" s="65">
        <f t="shared" ca="1" si="24"/>
        <v>3.4499999999999993</v>
      </c>
      <c r="G96" s="66">
        <f t="shared" ca="1" si="31"/>
        <v>5.71230568336717E-2</v>
      </c>
      <c r="H96" s="66">
        <f t="shared" ca="1" si="25"/>
        <v>0.24</v>
      </c>
      <c r="I96" s="66">
        <v>0</v>
      </c>
      <c r="J96" s="156">
        <v>0.28000000000000003</v>
      </c>
      <c r="K96" s="66">
        <f t="shared" ca="1" si="26"/>
        <v>5.71230568336717E-2</v>
      </c>
      <c r="N96" s="55">
        <f t="shared" ca="1" si="27"/>
        <v>74</v>
      </c>
      <c r="O96" s="67">
        <f t="shared" ca="1" si="28"/>
        <v>39504</v>
      </c>
      <c r="P96" s="57">
        <f t="shared" ca="1" si="29"/>
        <v>5.3710548392549698E-2</v>
      </c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W96" s="66">
        <v>0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</row>
    <row r="97" spans="1:82" x14ac:dyDescent="0.25">
      <c r="A97" s="53">
        <f t="shared" si="30"/>
        <v>75</v>
      </c>
      <c r="B97" s="64">
        <f t="shared" si="22"/>
        <v>39539</v>
      </c>
      <c r="C97"/>
      <c r="D97" s="53">
        <f t="shared" ca="1" si="23"/>
        <v>3.2309999999999994</v>
      </c>
      <c r="E97" s="156">
        <f t="shared" ca="1" si="21"/>
        <v>-6.9166666666657939E-3</v>
      </c>
      <c r="F97" s="65">
        <f t="shared" ca="1" si="24"/>
        <v>3.2309999999999994</v>
      </c>
      <c r="G97" s="66">
        <f t="shared" ca="1" si="31"/>
        <v>6.0937536702537209E-2</v>
      </c>
      <c r="H97" s="66">
        <f t="shared" ca="1" si="25"/>
        <v>0.23499999999999999</v>
      </c>
      <c r="I97" s="66">
        <v>0</v>
      </c>
      <c r="J97" s="156">
        <v>0.28000000000000003</v>
      </c>
      <c r="K97" s="66">
        <f t="shared" ca="1" si="26"/>
        <v>6.0937536702537209E-2</v>
      </c>
      <c r="N97" s="55">
        <f t="shared" ca="1" si="27"/>
        <v>75</v>
      </c>
      <c r="O97" s="67">
        <f t="shared" ca="1" si="28"/>
        <v>39533</v>
      </c>
      <c r="P97" s="57">
        <f t="shared" ca="1" si="29"/>
        <v>5.3880351574115498E-2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W97" s="66">
        <v>0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</row>
    <row r="98" spans="1:82" x14ac:dyDescent="0.25">
      <c r="A98" s="53">
        <f t="shared" si="30"/>
        <v>76</v>
      </c>
      <c r="B98" s="64">
        <f t="shared" si="22"/>
        <v>39569</v>
      </c>
      <c r="C98"/>
      <c r="D98" s="53">
        <f t="shared" ca="1" si="23"/>
        <v>3.2339999999999991</v>
      </c>
      <c r="E98" s="156">
        <f t="shared" ca="1" si="21"/>
        <v>-6.9166666666657939E-3</v>
      </c>
      <c r="F98" s="65">
        <f t="shared" ca="1" si="24"/>
        <v>3.2339999999999991</v>
      </c>
      <c r="G98" s="66">
        <f t="shared" ca="1" si="31"/>
        <v>6.0822115996383493E-2</v>
      </c>
      <c r="H98" s="66">
        <f t="shared" ca="1" si="25"/>
        <v>0.23</v>
      </c>
      <c r="I98" s="66">
        <v>0</v>
      </c>
      <c r="J98" s="156">
        <v>0.28000000000000003</v>
      </c>
      <c r="K98" s="66">
        <f t="shared" ca="1" si="26"/>
        <v>6.0822115996383493E-2</v>
      </c>
      <c r="N98" s="55">
        <f t="shared" ca="1" si="27"/>
        <v>76</v>
      </c>
      <c r="O98" s="67">
        <f t="shared" ca="1" si="28"/>
        <v>39563</v>
      </c>
      <c r="P98" s="57">
        <f t="shared" ca="1" si="29"/>
        <v>5.4061865330552898E-2</v>
      </c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W98" s="66">
        <v>0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</row>
    <row r="99" spans="1:82" x14ac:dyDescent="0.25">
      <c r="A99" s="53">
        <f t="shared" si="30"/>
        <v>77</v>
      </c>
      <c r="B99" s="64">
        <f t="shared" si="22"/>
        <v>39600</v>
      </c>
      <c r="C99"/>
      <c r="D99" s="53">
        <f t="shared" ca="1" si="23"/>
        <v>3.2739999999999991</v>
      </c>
      <c r="E99" s="156">
        <f t="shared" ca="1" si="21"/>
        <v>-6.9166666666657939E-3</v>
      </c>
      <c r="F99" s="65">
        <f t="shared" ca="1" si="24"/>
        <v>3.2739999999999991</v>
      </c>
      <c r="G99" s="66">
        <f t="shared" ca="1" si="31"/>
        <v>6.0014885855790803E-2</v>
      </c>
      <c r="H99" s="66">
        <f t="shared" ca="1" si="25"/>
        <v>0.23</v>
      </c>
      <c r="I99" s="66">
        <v>0</v>
      </c>
      <c r="J99" s="156">
        <v>0.28000000000000003</v>
      </c>
      <c r="K99" s="66">
        <f t="shared" ca="1" si="26"/>
        <v>6.0014885855790803E-2</v>
      </c>
      <c r="N99" s="55">
        <f t="shared" ca="1" si="27"/>
        <v>77</v>
      </c>
      <c r="O99" s="67">
        <f t="shared" ca="1" si="28"/>
        <v>39595</v>
      </c>
      <c r="P99" s="57">
        <f t="shared" ca="1" si="29"/>
        <v>5.4237523814977699E-2</v>
      </c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W99" s="66">
        <v>0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</row>
    <row r="100" spans="1:82" x14ac:dyDescent="0.25">
      <c r="A100" s="53">
        <f t="shared" si="30"/>
        <v>78</v>
      </c>
      <c r="B100" s="64">
        <f t="shared" si="22"/>
        <v>39630</v>
      </c>
      <c r="C100"/>
      <c r="D100" s="53">
        <f t="shared" ca="1" si="23"/>
        <v>3.3139999999999992</v>
      </c>
      <c r="E100" s="156">
        <f t="shared" ca="1" si="21"/>
        <v>-6.9166666666657939E-3</v>
      </c>
      <c r="F100" s="65">
        <f t="shared" ca="1" si="24"/>
        <v>3.3139999999999992</v>
      </c>
      <c r="G100" s="66">
        <f t="shared" ca="1" si="31"/>
        <v>5.9247971336297597E-2</v>
      </c>
      <c r="H100" s="66">
        <f t="shared" ca="1" si="25"/>
        <v>0.23</v>
      </c>
      <c r="I100" s="66">
        <v>0</v>
      </c>
      <c r="J100" s="156">
        <v>0.28000000000000003</v>
      </c>
      <c r="K100" s="66">
        <f t="shared" ca="1" si="26"/>
        <v>5.9247971336297597E-2</v>
      </c>
      <c r="N100" s="55">
        <f t="shared" ca="1" si="27"/>
        <v>78</v>
      </c>
      <c r="O100" s="67">
        <f t="shared" ca="1" si="28"/>
        <v>39624</v>
      </c>
      <c r="P100" s="57">
        <f t="shared" ca="1" si="29"/>
        <v>5.4419037593017403E-2</v>
      </c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W100" s="66">
        <v>0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</row>
    <row r="101" spans="1:82" x14ac:dyDescent="0.25">
      <c r="A101" s="53">
        <f t="shared" si="30"/>
        <v>79</v>
      </c>
      <c r="B101" s="64">
        <f t="shared" si="22"/>
        <v>39661</v>
      </c>
      <c r="C101"/>
      <c r="D101" s="53">
        <f t="shared" ca="1" si="23"/>
        <v>3.3639999999999994</v>
      </c>
      <c r="E101" s="156">
        <f t="shared" ca="1" si="21"/>
        <v>-6.9166666666657939E-3</v>
      </c>
      <c r="F101" s="65">
        <f t="shared" ca="1" si="24"/>
        <v>3.3639999999999994</v>
      </c>
      <c r="G101" s="66">
        <f t="shared" ca="1" si="31"/>
        <v>5.831510302034857E-2</v>
      </c>
      <c r="H101" s="66">
        <f t="shared" ca="1" si="25"/>
        <v>0.23</v>
      </c>
      <c r="I101" s="66">
        <v>0</v>
      </c>
      <c r="J101" s="156">
        <v>0.28000000000000003</v>
      </c>
      <c r="K101" s="66">
        <f t="shared" ca="1" si="26"/>
        <v>5.831510302034857E-2</v>
      </c>
      <c r="N101" s="55">
        <f t="shared" ca="1" si="27"/>
        <v>79</v>
      </c>
      <c r="O101" s="67">
        <f t="shared" ca="1" si="28"/>
        <v>39657</v>
      </c>
      <c r="P101" s="57">
        <f t="shared" ca="1" si="29"/>
        <v>5.4594696098345899E-2</v>
      </c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W101" s="66">
        <v>0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</row>
    <row r="102" spans="1:82" x14ac:dyDescent="0.25">
      <c r="A102" s="53">
        <f t="shared" si="30"/>
        <v>80</v>
      </c>
      <c r="B102" s="64">
        <f t="shared" si="22"/>
        <v>39692</v>
      </c>
      <c r="C102"/>
      <c r="D102" s="53">
        <f t="shared" ca="1" si="23"/>
        <v>3.3489999999999993</v>
      </c>
      <c r="E102" s="156">
        <f t="shared" ca="1" si="21"/>
        <v>-6.9166666666657939E-3</v>
      </c>
      <c r="F102" s="65">
        <f t="shared" ca="1" si="24"/>
        <v>3.3489999999999993</v>
      </c>
      <c r="G102" s="66">
        <f t="shared" ca="1" si="31"/>
        <v>5.8549121024772076E-2</v>
      </c>
      <c r="H102" s="66">
        <f t="shared" ca="1" si="25"/>
        <v>0.23</v>
      </c>
      <c r="I102" s="66">
        <v>0</v>
      </c>
      <c r="J102" s="156">
        <v>0.28000000000000003</v>
      </c>
      <c r="K102" s="66">
        <f t="shared" ca="1" si="26"/>
        <v>5.8549121024772076E-2</v>
      </c>
      <c r="N102" s="55">
        <f t="shared" ca="1" si="27"/>
        <v>80</v>
      </c>
      <c r="O102" s="67">
        <f t="shared" ca="1" si="28"/>
        <v>39686</v>
      </c>
      <c r="P102" s="57">
        <f t="shared" ca="1" si="29"/>
        <v>5.47762098979847E-2</v>
      </c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W102" s="66">
        <v>0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</row>
    <row r="103" spans="1:82" x14ac:dyDescent="0.25">
      <c r="A103" s="53">
        <f t="shared" si="30"/>
        <v>81</v>
      </c>
      <c r="B103" s="64">
        <f t="shared" si="22"/>
        <v>39722</v>
      </c>
      <c r="C103"/>
      <c r="D103" s="53">
        <f t="shared" ca="1" si="23"/>
        <v>3.3639999999999994</v>
      </c>
      <c r="E103" s="156">
        <f t="shared" ca="1" si="21"/>
        <v>-6.9166666666657939E-3</v>
      </c>
      <c r="F103" s="65">
        <f t="shared" ca="1" si="24"/>
        <v>3.3639999999999994</v>
      </c>
      <c r="G103" s="66">
        <f t="shared" ca="1" si="31"/>
        <v>5.8262635214945478E-2</v>
      </c>
      <c r="H103" s="66">
        <f t="shared" ca="1" si="25"/>
        <v>0.23</v>
      </c>
      <c r="I103" s="66">
        <v>0</v>
      </c>
      <c r="J103" s="156">
        <v>0.28000000000000003</v>
      </c>
      <c r="K103" s="66">
        <f t="shared" ca="1" si="26"/>
        <v>5.8262635214945478E-2</v>
      </c>
      <c r="N103" s="55">
        <f t="shared" ca="1" si="27"/>
        <v>81</v>
      </c>
      <c r="O103" s="67">
        <f t="shared" ca="1" si="28"/>
        <v>39716</v>
      </c>
      <c r="P103" s="57">
        <f t="shared" ca="1" si="29"/>
        <v>5.4957723708598298E-2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W103" s="66">
        <v>0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</row>
    <row r="104" spans="1:82" x14ac:dyDescent="0.25">
      <c r="A104" s="53">
        <f t="shared" si="30"/>
        <v>82</v>
      </c>
      <c r="B104" s="64">
        <f t="shared" si="22"/>
        <v>39753</v>
      </c>
      <c r="C104"/>
      <c r="D104" s="53">
        <f t="shared" ca="1" si="23"/>
        <v>3.5089999999999995</v>
      </c>
      <c r="E104" s="156">
        <f t="shared" ca="1" si="21"/>
        <v>-6.9166666666657939E-3</v>
      </c>
      <c r="F104" s="65">
        <f t="shared" ca="1" si="24"/>
        <v>3.5089999999999995</v>
      </c>
      <c r="G104" s="66">
        <f t="shared" ca="1" si="31"/>
        <v>5.5821398141115995E-2</v>
      </c>
      <c r="H104" s="66">
        <f t="shared" ca="1" si="25"/>
        <v>0.23</v>
      </c>
      <c r="I104" s="66">
        <v>0</v>
      </c>
      <c r="J104" s="156">
        <v>0.28000000000000003</v>
      </c>
      <c r="K104" s="66">
        <f t="shared" ca="1" si="26"/>
        <v>5.5821398141115995E-2</v>
      </c>
      <c r="N104" s="55">
        <f t="shared" ca="1" si="27"/>
        <v>82</v>
      </c>
      <c r="O104" s="67">
        <f t="shared" ca="1" si="28"/>
        <v>39749</v>
      </c>
      <c r="P104" s="57">
        <f t="shared" ca="1" si="29"/>
        <v>5.51333822454474E-2</v>
      </c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W104" s="66">
        <v>0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</row>
    <row r="105" spans="1:82" x14ac:dyDescent="0.25">
      <c r="A105" s="53">
        <f t="shared" si="30"/>
        <v>83</v>
      </c>
      <c r="B105" s="64">
        <f t="shared" si="22"/>
        <v>39783</v>
      </c>
      <c r="C105"/>
      <c r="D105" s="53">
        <f t="shared" ca="1" si="23"/>
        <v>3.6439999999999992</v>
      </c>
      <c r="E105" s="156">
        <f t="shared" ca="1" si="21"/>
        <v>-6.9166666666657939E-3</v>
      </c>
      <c r="F105" s="65">
        <f t="shared" ca="1" si="24"/>
        <v>3.6439999999999992</v>
      </c>
      <c r="G105" s="66">
        <f t="shared" ca="1" si="31"/>
        <v>5.3745412900479246E-2</v>
      </c>
      <c r="H105" s="66">
        <f t="shared" ca="1" si="25"/>
        <v>0.23</v>
      </c>
      <c r="I105" s="66">
        <v>0</v>
      </c>
      <c r="J105" s="156">
        <v>0.28000000000000003</v>
      </c>
      <c r="K105" s="66">
        <f t="shared" ca="1" si="26"/>
        <v>5.3745412900479246E-2</v>
      </c>
      <c r="N105" s="55">
        <f t="shared" ca="1" si="27"/>
        <v>83</v>
      </c>
      <c r="O105" s="67">
        <f t="shared" ca="1" si="28"/>
        <v>39776</v>
      </c>
      <c r="P105" s="57">
        <f t="shared" ca="1" si="29"/>
        <v>5.5314896077653899E-2</v>
      </c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W105" s="66">
        <v>0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</row>
    <row r="106" spans="1:82" x14ac:dyDescent="0.25">
      <c r="A106" s="53">
        <f t="shared" si="30"/>
        <v>84</v>
      </c>
      <c r="B106" s="64">
        <f t="shared" si="22"/>
        <v>39814</v>
      </c>
      <c r="C106"/>
      <c r="D106" s="53">
        <f t="shared" ca="1" si="23"/>
        <v>3.6989999999999994</v>
      </c>
      <c r="E106" s="156">
        <f t="shared" ca="1" si="21"/>
        <v>-6.9166666666657939E-3</v>
      </c>
      <c r="F106" s="65">
        <f t="shared" ca="1" si="24"/>
        <v>3.6989999999999994</v>
      </c>
      <c r="G106" s="66">
        <f t="shared" ca="1" si="31"/>
        <v>5.293140184865263E-2</v>
      </c>
      <c r="H106" s="66">
        <f t="shared" ca="1" si="25"/>
        <v>0.23</v>
      </c>
      <c r="I106" s="66">
        <v>0</v>
      </c>
      <c r="J106" s="156">
        <v>0.28000000000000003</v>
      </c>
      <c r="K106" s="66">
        <f t="shared" ca="1" si="26"/>
        <v>5.293140184865263E-2</v>
      </c>
      <c r="N106" s="55">
        <f t="shared" ca="1" si="27"/>
        <v>84</v>
      </c>
      <c r="O106" s="67">
        <f t="shared" ca="1" si="28"/>
        <v>39808</v>
      </c>
      <c r="P106" s="57">
        <f t="shared" ca="1" si="29"/>
        <v>5.5490554635397898E-2</v>
      </c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W106" s="66">
        <v>0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</row>
    <row r="107" spans="1:82" x14ac:dyDescent="0.25">
      <c r="A107" s="53">
        <f t="shared" si="30"/>
        <v>85</v>
      </c>
      <c r="B107" s="64">
        <f t="shared" si="22"/>
        <v>39845</v>
      </c>
      <c r="C107"/>
      <c r="D107" s="53">
        <f t="shared" ca="1" si="23"/>
        <v>3.5509999999999993</v>
      </c>
      <c r="E107" s="156">
        <f t="shared" ca="1" si="21"/>
        <v>-6.9166666666657939E-3</v>
      </c>
      <c r="F107" s="65">
        <f t="shared" ca="1" si="24"/>
        <v>3.5509999999999993</v>
      </c>
      <c r="G107" s="66">
        <f t="shared" ca="1" si="31"/>
        <v>5.5120002219985281E-2</v>
      </c>
      <c r="H107" s="66">
        <f t="shared" ca="1" si="25"/>
        <v>0.23</v>
      </c>
      <c r="I107" s="66">
        <v>0</v>
      </c>
      <c r="J107" s="156">
        <v>0.28000000000000003</v>
      </c>
      <c r="K107" s="66">
        <f t="shared" ca="1" si="26"/>
        <v>5.5120002219985281E-2</v>
      </c>
      <c r="N107" s="55">
        <f t="shared" ca="1" si="27"/>
        <v>85</v>
      </c>
      <c r="O107" s="67">
        <f t="shared" ca="1" si="28"/>
        <v>39840</v>
      </c>
      <c r="P107" s="57">
        <f t="shared" ca="1" si="29"/>
        <v>5.5629285809112097E-2</v>
      </c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W107" s="66">
        <v>0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</row>
    <row r="108" spans="1:82" x14ac:dyDescent="0.25">
      <c r="A108" s="53">
        <f t="shared" si="30"/>
        <v>86</v>
      </c>
      <c r="B108" s="64">
        <f t="shared" si="22"/>
        <v>39873</v>
      </c>
      <c r="C108"/>
      <c r="D108" s="53">
        <f t="shared" ca="1" si="23"/>
        <v>3.4999999999999991</v>
      </c>
      <c r="E108" s="156">
        <f t="shared" ca="1" si="21"/>
        <v>-6.9166666666657939E-3</v>
      </c>
      <c r="F108" s="65">
        <f t="shared" ca="1" si="24"/>
        <v>3.4999999999999991</v>
      </c>
      <c r="G108" s="66">
        <f t="shared" ca="1" si="31"/>
        <v>5.5903773547371957E-2</v>
      </c>
      <c r="H108" s="66">
        <f t="shared" ca="1" si="25"/>
        <v>0.22750000000000001</v>
      </c>
      <c r="I108" s="66">
        <v>0</v>
      </c>
      <c r="J108" s="156">
        <v>0.28000000000000003</v>
      </c>
      <c r="K108" s="66">
        <f t="shared" ca="1" si="26"/>
        <v>5.5903773547371957E-2</v>
      </c>
      <c r="N108" s="55">
        <f t="shared" ca="1" si="27"/>
        <v>86</v>
      </c>
      <c r="O108" s="67">
        <f t="shared" ca="1" si="28"/>
        <v>39868</v>
      </c>
      <c r="P108" s="57">
        <f t="shared" ca="1" si="29"/>
        <v>5.5732784192703999E-2</v>
      </c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W108" s="66">
        <v>0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</row>
    <row r="109" spans="1:82" x14ac:dyDescent="0.25">
      <c r="A109" s="53">
        <f t="shared" si="30"/>
        <v>87</v>
      </c>
      <c r="B109" s="64">
        <f t="shared" si="22"/>
        <v>39904</v>
      </c>
      <c r="C109"/>
      <c r="D109" s="53">
        <f t="shared" ca="1" si="23"/>
        <v>3.2809999999999993</v>
      </c>
      <c r="E109" s="156">
        <f t="shared" ca="1" si="21"/>
        <v>-6.9166666666657939E-3</v>
      </c>
      <c r="F109" s="65">
        <f t="shared" ca="1" si="24"/>
        <v>3.2809999999999993</v>
      </c>
      <c r="G109" s="66">
        <f t="shared" ca="1" si="31"/>
        <v>5.9618856636164709E-2</v>
      </c>
      <c r="H109" s="66">
        <f t="shared" ca="1" si="25"/>
        <v>0.22</v>
      </c>
      <c r="I109" s="66">
        <v>0</v>
      </c>
      <c r="J109" s="156">
        <v>0.28000000000000003</v>
      </c>
      <c r="K109" s="66">
        <f t="shared" ca="1" si="26"/>
        <v>5.9618856636164709E-2</v>
      </c>
      <c r="N109" s="55">
        <f t="shared" ca="1" si="27"/>
        <v>87</v>
      </c>
      <c r="O109" s="67">
        <f t="shared" ca="1" si="28"/>
        <v>39898</v>
      </c>
      <c r="P109" s="57">
        <f t="shared" ca="1" si="29"/>
        <v>5.5826266606755499E-2</v>
      </c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W109" s="66">
        <v>0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</row>
    <row r="110" spans="1:82" x14ac:dyDescent="0.25">
      <c r="A110" s="53">
        <f t="shared" si="30"/>
        <v>88</v>
      </c>
      <c r="B110" s="64">
        <f t="shared" si="22"/>
        <v>39934</v>
      </c>
      <c r="C110"/>
      <c r="D110" s="53">
        <f t="shared" ca="1" si="23"/>
        <v>3.2839999999999989</v>
      </c>
      <c r="E110" s="156">
        <f t="shared" ca="1" si="21"/>
        <v>-6.9166666666657939E-3</v>
      </c>
      <c r="F110" s="65">
        <f t="shared" ca="1" si="24"/>
        <v>3.2839999999999989</v>
      </c>
      <c r="G110" s="66">
        <f t="shared" ca="1" si="31"/>
        <v>5.9545742761150204E-2</v>
      </c>
      <c r="H110" s="66">
        <f t="shared" ca="1" si="25"/>
        <v>0.20250000000000001</v>
      </c>
      <c r="I110" s="66">
        <v>0</v>
      </c>
      <c r="J110" s="156">
        <v>0.28000000000000003</v>
      </c>
      <c r="K110" s="66">
        <f t="shared" ca="1" si="26"/>
        <v>5.9545742761150204E-2</v>
      </c>
      <c r="N110" s="55">
        <f t="shared" ca="1" si="27"/>
        <v>88</v>
      </c>
      <c r="O110" s="67">
        <f t="shared" ca="1" si="28"/>
        <v>39930</v>
      </c>
      <c r="P110" s="57">
        <f t="shared" ca="1" si="29"/>
        <v>5.5929764997134403E-2</v>
      </c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W110" s="66">
        <v>0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</row>
    <row r="111" spans="1:82" x14ac:dyDescent="0.25">
      <c r="A111" s="53">
        <f t="shared" si="30"/>
        <v>89</v>
      </c>
      <c r="B111" s="64">
        <f t="shared" si="22"/>
        <v>39965</v>
      </c>
      <c r="C111"/>
      <c r="D111" s="53">
        <f t="shared" ca="1" si="23"/>
        <v>3.323999999999999</v>
      </c>
      <c r="E111" s="156">
        <f t="shared" ca="1" si="21"/>
        <v>-6.9166666666657939E-3</v>
      </c>
      <c r="F111" s="65">
        <f t="shared" ca="1" si="24"/>
        <v>3.323999999999999</v>
      </c>
      <c r="G111" s="66">
        <f t="shared" ca="1" si="31"/>
        <v>5.8814851263607248E-2</v>
      </c>
      <c r="H111" s="66">
        <f t="shared" ca="1" si="25"/>
        <v>0.20250000000000001</v>
      </c>
      <c r="I111" s="66">
        <v>0</v>
      </c>
      <c r="J111" s="156">
        <v>0.28000000000000003</v>
      </c>
      <c r="K111" s="66">
        <f t="shared" ca="1" si="26"/>
        <v>5.8814851263607248E-2</v>
      </c>
      <c r="N111" s="55">
        <f t="shared" ca="1" si="27"/>
        <v>89</v>
      </c>
      <c r="O111" s="67">
        <f t="shared" ca="1" si="28"/>
        <v>39959</v>
      </c>
      <c r="P111" s="57">
        <f t="shared" ca="1" si="29"/>
        <v>5.6029924733155503E-2</v>
      </c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W111" s="66">
        <v>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</row>
    <row r="112" spans="1:82" x14ac:dyDescent="0.25">
      <c r="A112" s="53">
        <f t="shared" si="30"/>
        <v>90</v>
      </c>
      <c r="B112" s="64">
        <f t="shared" si="22"/>
        <v>39995</v>
      </c>
      <c r="C112"/>
      <c r="D112" s="53">
        <f t="shared" ca="1" si="23"/>
        <v>3.363999999999999</v>
      </c>
      <c r="E112" s="156">
        <f t="shared" ca="1" si="21"/>
        <v>-6.9166666666657939E-3</v>
      </c>
      <c r="F112" s="65">
        <f t="shared" ca="1" si="24"/>
        <v>3.363999999999999</v>
      </c>
      <c r="G112" s="66">
        <f t="shared" ca="1" si="31"/>
        <v>5.8105392627399784E-2</v>
      </c>
      <c r="H112" s="66">
        <f t="shared" ca="1" si="25"/>
        <v>0.20250000000000001</v>
      </c>
      <c r="I112" s="66">
        <v>0</v>
      </c>
      <c r="J112" s="156">
        <v>0.28000000000000003</v>
      </c>
      <c r="K112" s="66">
        <f t="shared" ca="1" si="26"/>
        <v>5.8105392627399784E-2</v>
      </c>
      <c r="N112" s="55">
        <f t="shared" ca="1" si="27"/>
        <v>90</v>
      </c>
      <c r="O112" s="67">
        <f t="shared" ca="1" si="28"/>
        <v>39989</v>
      </c>
      <c r="P112" s="57">
        <f t="shared" ca="1" si="29"/>
        <v>5.6133423130551502E-2</v>
      </c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W112" s="66">
        <v>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</row>
    <row r="113" spans="1:82" x14ac:dyDescent="0.25">
      <c r="A113" s="53">
        <f t="shared" si="30"/>
        <v>91</v>
      </c>
      <c r="B113" s="64">
        <f t="shared" ref="B113:B142" si="32">DATE(YEAR(B112),MONTH(B112)+1,1)</f>
        <v>40026</v>
      </c>
      <c r="C113"/>
      <c r="D113" s="53">
        <f t="shared" ca="1" si="23"/>
        <v>3.4139999999999993</v>
      </c>
      <c r="E113" s="156">
        <f t="shared" ca="1" si="21"/>
        <v>-6.9166666666657939E-3</v>
      </c>
      <c r="F113" s="65">
        <f t="shared" ca="1" si="24"/>
        <v>3.4139999999999993</v>
      </c>
      <c r="G113" s="66">
        <f t="shared" ca="1" si="31"/>
        <v>5.7242430130690823E-2</v>
      </c>
      <c r="H113" s="66">
        <f t="shared" ca="1" si="25"/>
        <v>0.20250000000000001</v>
      </c>
      <c r="I113" s="66">
        <v>0</v>
      </c>
      <c r="J113" s="156">
        <v>0.28000000000000003</v>
      </c>
      <c r="K113" s="66">
        <f t="shared" ca="1" si="26"/>
        <v>5.7242430130690823E-2</v>
      </c>
      <c r="N113" s="55">
        <f t="shared" ca="1" si="27"/>
        <v>91</v>
      </c>
      <c r="O113" s="67">
        <f t="shared" ca="1" si="28"/>
        <v>40022</v>
      </c>
      <c r="P113" s="57">
        <f t="shared" ca="1" si="29"/>
        <v>5.6233582873363101E-2</v>
      </c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W113" s="66">
        <v>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</row>
    <row r="114" spans="1:82" x14ac:dyDescent="0.25">
      <c r="A114" s="53">
        <f t="shared" si="30"/>
        <v>92</v>
      </c>
      <c r="B114" s="64">
        <f t="shared" si="32"/>
        <v>40057</v>
      </c>
      <c r="C114"/>
      <c r="D114" s="53">
        <f t="shared" ca="1" si="23"/>
        <v>3.3989999999999991</v>
      </c>
      <c r="E114" s="156">
        <f t="shared" ca="1" si="21"/>
        <v>-6.9166666666657939E-3</v>
      </c>
      <c r="F114" s="65">
        <f t="shared" ca="1" si="24"/>
        <v>3.3989999999999991</v>
      </c>
      <c r="G114" s="66">
        <f t="shared" ca="1" si="31"/>
        <v>5.74978003469497E-2</v>
      </c>
      <c r="H114" s="66">
        <f t="shared" ca="1" si="25"/>
        <v>0.20250000000000001</v>
      </c>
      <c r="I114" s="66">
        <v>0</v>
      </c>
      <c r="J114" s="156">
        <v>0.28000000000000003</v>
      </c>
      <c r="K114" s="66">
        <f t="shared" ca="1" si="26"/>
        <v>5.74978003469497E-2</v>
      </c>
      <c r="N114" s="55">
        <f t="shared" ca="1" si="27"/>
        <v>92</v>
      </c>
      <c r="O114" s="67">
        <f t="shared" ca="1" si="28"/>
        <v>40051</v>
      </c>
      <c r="P114" s="57">
        <f t="shared" ca="1" si="29"/>
        <v>5.6337081277775702E-2</v>
      </c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W114" s="66">
        <v>0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</row>
    <row r="115" spans="1:82" x14ac:dyDescent="0.25">
      <c r="A115" s="53">
        <f t="shared" si="30"/>
        <v>93</v>
      </c>
      <c r="B115" s="64">
        <f t="shared" si="32"/>
        <v>40087</v>
      </c>
      <c r="C115"/>
      <c r="D115" s="53">
        <f t="shared" ca="1" si="23"/>
        <v>3.4139999999999993</v>
      </c>
      <c r="E115" s="156">
        <f t="shared" ca="1" si="21"/>
        <v>-6.9166666666657939E-3</v>
      </c>
      <c r="F115" s="65">
        <f t="shared" ca="1" si="24"/>
        <v>3.4139999999999993</v>
      </c>
      <c r="G115" s="66">
        <f t="shared" ca="1" si="31"/>
        <v>5.7249517386932521E-2</v>
      </c>
      <c r="H115" s="66">
        <f t="shared" ca="1" si="25"/>
        <v>0.20250000000000001</v>
      </c>
      <c r="I115" s="66">
        <v>0</v>
      </c>
      <c r="J115" s="156">
        <v>0.28000000000000003</v>
      </c>
      <c r="K115" s="66">
        <f t="shared" ca="1" si="26"/>
        <v>5.7249517386932521E-2</v>
      </c>
      <c r="N115" s="55">
        <f t="shared" ca="1" si="27"/>
        <v>93</v>
      </c>
      <c r="O115" s="67">
        <f t="shared" ca="1" si="28"/>
        <v>40081</v>
      </c>
      <c r="P115" s="57">
        <f t="shared" ca="1" si="29"/>
        <v>5.6440579685754798E-2</v>
      </c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W115" s="66">
        <v>0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</row>
    <row r="116" spans="1:82" x14ac:dyDescent="0.25">
      <c r="A116" s="53">
        <f t="shared" si="30"/>
        <v>94</v>
      </c>
      <c r="B116" s="64">
        <f t="shared" si="32"/>
        <v>40118</v>
      </c>
      <c r="C116"/>
      <c r="D116" s="53">
        <f t="shared" ca="1" si="23"/>
        <v>3.5589999999999993</v>
      </c>
      <c r="E116" s="156">
        <f t="shared" ca="1" si="21"/>
        <v>-6.9166666666657939E-3</v>
      </c>
      <c r="F116" s="65">
        <f t="shared" ca="1" si="24"/>
        <v>3.5589999999999993</v>
      </c>
      <c r="G116" s="66">
        <f t="shared" ca="1" si="31"/>
        <v>5.4917031138292001E-2</v>
      </c>
      <c r="H116" s="66">
        <f t="shared" ca="1" si="25"/>
        <v>0.20250000000000001</v>
      </c>
      <c r="I116" s="66">
        <v>0</v>
      </c>
      <c r="J116" s="156">
        <v>0.28000000000000003</v>
      </c>
      <c r="K116" s="66">
        <f t="shared" ca="1" si="26"/>
        <v>5.4917031138292001E-2</v>
      </c>
      <c r="N116" s="55">
        <f t="shared" ca="1" si="27"/>
        <v>94</v>
      </c>
      <c r="O116" s="67">
        <f t="shared" ca="1" si="28"/>
        <v>40113</v>
      </c>
      <c r="P116" s="57">
        <f t="shared" ca="1" si="29"/>
        <v>5.6540739438806199E-2</v>
      </c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W116" s="66">
        <v>0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</row>
    <row r="117" spans="1:82" x14ac:dyDescent="0.25">
      <c r="A117" s="53">
        <f t="shared" si="30"/>
        <v>95</v>
      </c>
      <c r="B117" s="64">
        <f t="shared" si="32"/>
        <v>40148</v>
      </c>
      <c r="C117"/>
      <c r="D117" s="53">
        <f t="shared" ca="1" si="23"/>
        <v>3.6939999999999991</v>
      </c>
      <c r="E117" s="156">
        <f t="shared" ca="1" si="21"/>
        <v>-6.9166666666657939E-3</v>
      </c>
      <c r="F117" s="65">
        <f t="shared" ca="1" si="24"/>
        <v>3.6939999999999991</v>
      </c>
      <c r="G117" s="66">
        <f t="shared" ca="1" si="31"/>
        <v>5.2920232059881493E-2</v>
      </c>
      <c r="H117" s="66">
        <f t="shared" ca="1" si="25"/>
        <v>0.20250000000000001</v>
      </c>
      <c r="I117" s="66">
        <v>0</v>
      </c>
      <c r="J117" s="156">
        <v>0.28000000000000003</v>
      </c>
      <c r="K117" s="66">
        <f t="shared" ca="1" si="26"/>
        <v>5.2920232059881493E-2</v>
      </c>
      <c r="N117" s="55">
        <f t="shared" ca="1" si="27"/>
        <v>95</v>
      </c>
      <c r="O117" s="67">
        <f t="shared" ca="1" si="28"/>
        <v>40141</v>
      </c>
      <c r="P117" s="57">
        <f t="shared" ca="1" si="29"/>
        <v>5.66442378538001E-2</v>
      </c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W117" s="66">
        <v>0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</row>
    <row r="118" spans="1:82" x14ac:dyDescent="0.25">
      <c r="A118" s="53">
        <f t="shared" si="30"/>
        <v>96</v>
      </c>
      <c r="B118" s="64">
        <f t="shared" si="32"/>
        <v>40179</v>
      </c>
      <c r="C118"/>
      <c r="D118" s="53">
        <f t="shared" ca="1" si="23"/>
        <v>3.7489999999999992</v>
      </c>
      <c r="E118" s="156">
        <f t="shared" ca="1" si="21"/>
        <v>-6.9166666666657939E-3</v>
      </c>
      <c r="F118" s="65">
        <f t="shared" ca="1" si="24"/>
        <v>3.7489999999999992</v>
      </c>
      <c r="G118" s="66">
        <f t="shared" ca="1" si="31"/>
        <v>5.2153206611682386E-2</v>
      </c>
      <c r="H118" s="66">
        <f t="shared" ca="1" si="25"/>
        <v>0.20250000000000001</v>
      </c>
      <c r="I118" s="66">
        <v>0</v>
      </c>
      <c r="J118" s="156">
        <v>0.28000000000000003</v>
      </c>
      <c r="K118" s="66">
        <f t="shared" ca="1" si="26"/>
        <v>5.2153206611682386E-2</v>
      </c>
      <c r="N118" s="55">
        <f t="shared" ca="1" si="27"/>
        <v>96</v>
      </c>
      <c r="O118" s="67">
        <f t="shared" ca="1" si="28"/>
        <v>40175</v>
      </c>
      <c r="P118" s="57">
        <f t="shared" ca="1" si="29"/>
        <v>5.67443976136408E-2</v>
      </c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W118" s="66">
        <v>0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</row>
    <row r="119" spans="1:82" x14ac:dyDescent="0.25">
      <c r="A119" s="53">
        <f t="shared" si="30"/>
        <v>97</v>
      </c>
      <c r="B119" s="64">
        <f t="shared" si="32"/>
        <v>40210</v>
      </c>
      <c r="C119"/>
      <c r="D119" s="53">
        <f t="shared" ca="1" si="23"/>
        <v>3.6009999999999991</v>
      </c>
      <c r="E119" s="156">
        <f t="shared" ca="1" si="21"/>
        <v>-6.9166666666657939E-3</v>
      </c>
      <c r="F119" s="65">
        <f t="shared" ref="F119:F150" ca="1" si="33">IF(D$1="settle",D119,IF(D$1="EOL",D119+E119,IF(ISNUMBER(C119),C119,D119)))</f>
        <v>3.6009999999999991</v>
      </c>
      <c r="G119" s="66">
        <f t="shared" ca="1" si="31"/>
        <v>5.4322714103574886E-2</v>
      </c>
      <c r="H119" s="66">
        <f t="shared" ca="1" si="25"/>
        <v>0.20250000000000001</v>
      </c>
      <c r="I119" s="66">
        <v>0</v>
      </c>
      <c r="J119" s="156">
        <v>0.28000000000000003</v>
      </c>
      <c r="K119" s="66">
        <f t="shared" ref="K119:K150" ca="1" si="34">bsd(6,1,$F119,$F119,$O119-TODAY(),$H119,$P119,J119/2)</f>
        <v>5.4322714103574886E-2</v>
      </c>
      <c r="N119" s="55">
        <f t="shared" ref="N119:N142" ca="1" si="35">A119</f>
        <v>97</v>
      </c>
      <c r="O119" s="67">
        <f t="shared" ref="O119:O142" ca="1" si="36">VLOOKUP(B119,expiration,3,FALSE)</f>
        <v>40204</v>
      </c>
      <c r="P119" s="57">
        <f t="shared" ca="1" si="29"/>
        <v>5.6847896035649603E-2</v>
      </c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W119" s="66">
        <v>0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</row>
    <row r="120" spans="1:82" x14ac:dyDescent="0.25">
      <c r="A120" s="53">
        <f t="shared" si="30"/>
        <v>98</v>
      </c>
      <c r="B120" s="64">
        <f t="shared" si="32"/>
        <v>40238</v>
      </c>
      <c r="C120"/>
      <c r="D120" s="53">
        <f t="shared" ca="1" si="23"/>
        <v>3.5499999999999989</v>
      </c>
      <c r="E120" s="156">
        <f t="shared" ca="1" si="21"/>
        <v>-6.9166666666657939E-3</v>
      </c>
      <c r="F120" s="65">
        <f t="shared" ca="1" si="33"/>
        <v>3.5499999999999989</v>
      </c>
      <c r="G120" s="66">
        <f t="shared" ca="1" si="31"/>
        <v>5.5131500425465461E-2</v>
      </c>
      <c r="H120" s="66">
        <f t="shared" ca="1" si="25"/>
        <v>0.2</v>
      </c>
      <c r="I120" s="66">
        <v>0</v>
      </c>
      <c r="J120" s="156">
        <v>0.28000000000000003</v>
      </c>
      <c r="K120" s="66">
        <f t="shared" ca="1" si="34"/>
        <v>5.5131500425465461E-2</v>
      </c>
      <c r="N120" s="55">
        <f t="shared" ca="1" si="35"/>
        <v>98</v>
      </c>
      <c r="O120" s="67">
        <f t="shared" ca="1" si="36"/>
        <v>40232</v>
      </c>
      <c r="P120" s="57">
        <f t="shared" ca="1" si="29"/>
        <v>5.6951394461223E-2</v>
      </c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W120" s="66">
        <v>0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</row>
    <row r="121" spans="1:82" x14ac:dyDescent="0.25">
      <c r="A121" s="53">
        <f t="shared" si="30"/>
        <v>99</v>
      </c>
      <c r="B121" s="64">
        <f t="shared" si="32"/>
        <v>40269</v>
      </c>
      <c r="C121"/>
      <c r="D121" s="53">
        <f t="shared" ca="1" si="23"/>
        <v>3.3309999999999991</v>
      </c>
      <c r="E121" s="156">
        <f t="shared" ca="1" si="21"/>
        <v>-6.9166666666657939E-3</v>
      </c>
      <c r="F121" s="65">
        <f t="shared" ca="1" si="33"/>
        <v>3.3309999999999991</v>
      </c>
      <c r="G121" s="66">
        <f t="shared" ca="1" si="31"/>
        <v>5.879099130453156E-2</v>
      </c>
      <c r="H121" s="66">
        <f t="shared" ca="1" si="25"/>
        <v>0.19500000000000001</v>
      </c>
      <c r="I121" s="66">
        <v>0</v>
      </c>
      <c r="J121" s="156">
        <v>0.28000000000000003</v>
      </c>
      <c r="K121" s="66">
        <f t="shared" ca="1" si="34"/>
        <v>5.879099130453156E-2</v>
      </c>
      <c r="N121" s="55">
        <f t="shared" ca="1" si="35"/>
        <v>99</v>
      </c>
      <c r="O121" s="67">
        <f t="shared" ca="1" si="36"/>
        <v>40263</v>
      </c>
      <c r="P121" s="57">
        <f t="shared" ca="1" si="29"/>
        <v>5.7044876913192197E-2</v>
      </c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W121" s="66">
        <v>0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</row>
    <row r="122" spans="1:82" x14ac:dyDescent="0.25">
      <c r="A122" s="53">
        <f t="shared" si="30"/>
        <v>100</v>
      </c>
      <c r="B122" s="64">
        <f t="shared" si="32"/>
        <v>40299</v>
      </c>
      <c r="C122"/>
      <c r="D122" s="53">
        <f t="shared" ca="1" si="23"/>
        <v>3.3339999999999987</v>
      </c>
      <c r="E122" s="156">
        <f t="shared" ca="1" si="21"/>
        <v>-6.9166666666657939E-3</v>
      </c>
      <c r="F122" s="65">
        <f t="shared" ca="1" si="33"/>
        <v>3.3339999999999987</v>
      </c>
      <c r="G122" s="66">
        <f t="shared" ca="1" si="31"/>
        <v>5.8772158429623259E-2</v>
      </c>
      <c r="H122" s="66">
        <f t="shared" ca="1" si="25"/>
        <v>0.19</v>
      </c>
      <c r="I122" s="66">
        <v>0</v>
      </c>
      <c r="J122" s="156">
        <v>0.28000000000000003</v>
      </c>
      <c r="K122" s="66">
        <f t="shared" ca="1" si="34"/>
        <v>5.8772158429623259E-2</v>
      </c>
      <c r="N122" s="55">
        <f t="shared" ca="1" si="35"/>
        <v>100</v>
      </c>
      <c r="O122" s="67">
        <f t="shared" ca="1" si="36"/>
        <v>40295</v>
      </c>
      <c r="P122" s="57">
        <f t="shared" ca="1" si="29"/>
        <v>5.7148375345549098E-2</v>
      </c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W122" s="66">
        <v>0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</row>
    <row r="123" spans="1:82" x14ac:dyDescent="0.25">
      <c r="A123" s="53">
        <f t="shared" si="30"/>
        <v>101</v>
      </c>
      <c r="B123" s="64">
        <f t="shared" si="32"/>
        <v>40330</v>
      </c>
      <c r="C123"/>
      <c r="D123" s="53">
        <f t="shared" ca="1" si="23"/>
        <v>3.3739999999999988</v>
      </c>
      <c r="E123" s="156">
        <f t="shared" ref="E123:E142" ca="1" si="37">K$12</f>
        <v>-6.9166666666657939E-3</v>
      </c>
      <c r="F123" s="65">
        <f t="shared" ca="1" si="33"/>
        <v>3.3739999999999988</v>
      </c>
      <c r="G123" s="66">
        <f t="shared" ca="1" si="31"/>
        <v>5.8111464776704959E-2</v>
      </c>
      <c r="H123" s="66">
        <f t="shared" ca="1" si="25"/>
        <v>0.185</v>
      </c>
      <c r="I123" s="66">
        <v>0</v>
      </c>
      <c r="J123" s="156">
        <v>0.28000000000000003</v>
      </c>
      <c r="K123" s="66">
        <f t="shared" ca="1" si="34"/>
        <v>5.8111464776704959E-2</v>
      </c>
      <c r="N123" s="55">
        <f t="shared" ca="1" si="35"/>
        <v>101</v>
      </c>
      <c r="O123" s="67">
        <f t="shared" ca="1" si="36"/>
        <v>40323</v>
      </c>
      <c r="P123" s="57">
        <f t="shared" ca="1" si="29"/>
        <v>5.7248535122191899E-2</v>
      </c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W123" s="66">
        <v>0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</row>
    <row r="124" spans="1:82" x14ac:dyDescent="0.25">
      <c r="A124" s="53">
        <f t="shared" si="30"/>
        <v>102</v>
      </c>
      <c r="B124" s="64">
        <f t="shared" si="32"/>
        <v>40360</v>
      </c>
      <c r="C124"/>
      <c r="D124" s="53">
        <f t="shared" ca="1" si="23"/>
        <v>3.4139999999999988</v>
      </c>
      <c r="E124" s="156">
        <f t="shared" ca="1" si="37"/>
        <v>-6.9166666666657939E-3</v>
      </c>
      <c r="F124" s="65">
        <f t="shared" ca="1" si="33"/>
        <v>3.4139999999999988</v>
      </c>
      <c r="G124" s="66">
        <f t="shared" ca="1" si="31"/>
        <v>5.7469716264494812E-2</v>
      </c>
      <c r="H124" s="66">
        <f t="shared" ca="1" si="25"/>
        <v>0.185</v>
      </c>
      <c r="I124" s="66">
        <v>0</v>
      </c>
      <c r="J124" s="156">
        <v>0.28000000000000003</v>
      </c>
      <c r="K124" s="66">
        <f t="shared" ca="1" si="34"/>
        <v>5.7469716264494812E-2</v>
      </c>
      <c r="N124" s="55">
        <f t="shared" ca="1" si="35"/>
        <v>102</v>
      </c>
      <c r="O124" s="67">
        <f t="shared" ca="1" si="36"/>
        <v>40354</v>
      </c>
      <c r="P124" s="57">
        <f t="shared" ca="1" si="29"/>
        <v>5.7352033561562703E-2</v>
      </c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W124" s="66">
        <v>0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</row>
    <row r="125" spans="1:82" x14ac:dyDescent="0.25">
      <c r="A125" s="53">
        <f t="shared" si="30"/>
        <v>103</v>
      </c>
      <c r="B125" s="64">
        <f t="shared" si="32"/>
        <v>40391</v>
      </c>
      <c r="C125"/>
      <c r="D125" s="53">
        <f t="shared" ca="1" si="23"/>
        <v>3.4639999999999991</v>
      </c>
      <c r="E125" s="156">
        <f t="shared" ca="1" si="37"/>
        <v>-6.9166666666657939E-3</v>
      </c>
      <c r="F125" s="65">
        <f t="shared" ca="1" si="33"/>
        <v>3.4639999999999991</v>
      </c>
      <c r="G125" s="66">
        <f t="shared" ca="1" si="31"/>
        <v>5.6680472055588155E-2</v>
      </c>
      <c r="H125" s="66">
        <f t="shared" ca="1" si="25"/>
        <v>0.185</v>
      </c>
      <c r="I125" s="66">
        <v>0</v>
      </c>
      <c r="J125" s="156">
        <v>0.28000000000000003</v>
      </c>
      <c r="K125" s="66">
        <f t="shared" ca="1" si="34"/>
        <v>5.6680472055588155E-2</v>
      </c>
      <c r="N125" s="55">
        <f t="shared" ca="1" si="35"/>
        <v>103</v>
      </c>
      <c r="O125" s="67">
        <f t="shared" ca="1" si="36"/>
        <v>40386</v>
      </c>
      <c r="P125" s="57">
        <f t="shared" ca="1" si="29"/>
        <v>5.7452193344991603E-2</v>
      </c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W125" s="66">
        <v>0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</row>
    <row r="126" spans="1:82" x14ac:dyDescent="0.25">
      <c r="A126" s="53">
        <f t="shared" si="30"/>
        <v>104</v>
      </c>
      <c r="B126" s="64">
        <f t="shared" si="32"/>
        <v>40422</v>
      </c>
      <c r="C126"/>
      <c r="D126" s="53">
        <f t="shared" ca="1" si="23"/>
        <v>3.448999999999999</v>
      </c>
      <c r="E126" s="156">
        <f t="shared" ca="1" si="37"/>
        <v>-6.9166666666657939E-3</v>
      </c>
      <c r="F126" s="65">
        <f t="shared" ca="1" si="33"/>
        <v>3.448999999999999</v>
      </c>
      <c r="G126" s="66">
        <f t="shared" ca="1" si="31"/>
        <v>5.697580788237782E-2</v>
      </c>
      <c r="H126" s="66">
        <f t="shared" ca="1" si="25"/>
        <v>0.185</v>
      </c>
      <c r="I126" s="66">
        <v>0</v>
      </c>
      <c r="J126" s="156">
        <v>0.28000000000000003</v>
      </c>
      <c r="K126" s="66">
        <f t="shared" ca="1" si="34"/>
        <v>5.697580788237782E-2</v>
      </c>
      <c r="N126" s="55">
        <f t="shared" ca="1" si="35"/>
        <v>104</v>
      </c>
      <c r="O126" s="67">
        <f t="shared" ca="1" si="36"/>
        <v>40416</v>
      </c>
      <c r="P126" s="57">
        <f t="shared" ca="1" si="29"/>
        <v>5.7555691791374597E-2</v>
      </c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W126" s="66">
        <v>0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</row>
    <row r="127" spans="1:82" x14ac:dyDescent="0.25">
      <c r="A127" s="53">
        <f t="shared" si="30"/>
        <v>105</v>
      </c>
      <c r="B127" s="64">
        <f t="shared" si="32"/>
        <v>40452</v>
      </c>
      <c r="C127"/>
      <c r="D127" s="53">
        <f t="shared" ca="1" si="23"/>
        <v>3.4639999999999991</v>
      </c>
      <c r="E127" s="156">
        <f t="shared" ca="1" si="37"/>
        <v>-6.9166666666657939E-3</v>
      </c>
      <c r="F127" s="65">
        <f t="shared" ca="1" si="33"/>
        <v>3.4639999999999991</v>
      </c>
      <c r="G127" s="66">
        <f t="shared" ca="1" si="31"/>
        <v>5.6780212491992638E-2</v>
      </c>
      <c r="H127" s="66">
        <f t="shared" ca="1" si="25"/>
        <v>0.185</v>
      </c>
      <c r="I127" s="66">
        <v>0</v>
      </c>
      <c r="J127" s="156">
        <v>0.28000000000000003</v>
      </c>
      <c r="K127" s="66">
        <f t="shared" ca="1" si="34"/>
        <v>5.6780212491992638E-2</v>
      </c>
      <c r="N127" s="55">
        <f t="shared" ca="1" si="35"/>
        <v>105</v>
      </c>
      <c r="O127" s="67">
        <f t="shared" ca="1" si="36"/>
        <v>40448</v>
      </c>
      <c r="P127" s="57">
        <f t="shared" ca="1" si="29"/>
        <v>5.7659190241320601E-2</v>
      </c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W127" s="66">
        <v>0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</row>
    <row r="128" spans="1:82" x14ac:dyDescent="0.25">
      <c r="A128" s="53">
        <f t="shared" si="30"/>
        <v>106</v>
      </c>
      <c r="B128" s="64">
        <f t="shared" si="32"/>
        <v>40483</v>
      </c>
      <c r="C128"/>
      <c r="D128" s="53">
        <f t="shared" ca="1" si="23"/>
        <v>3.6089999999999991</v>
      </c>
      <c r="E128" s="156">
        <f t="shared" ca="1" si="37"/>
        <v>-6.9166666666657939E-3</v>
      </c>
      <c r="F128" s="65">
        <f t="shared" ca="1" si="33"/>
        <v>3.6089999999999991</v>
      </c>
      <c r="G128" s="66">
        <f t="shared" ca="1" si="31"/>
        <v>5.454483981146329E-2</v>
      </c>
      <c r="H128" s="66">
        <f t="shared" ca="1" si="25"/>
        <v>0.185</v>
      </c>
      <c r="I128" s="66">
        <v>0</v>
      </c>
      <c r="J128" s="156">
        <v>0.28000000000000003</v>
      </c>
      <c r="K128" s="66">
        <f t="shared" ca="1" si="34"/>
        <v>5.454483981146329E-2</v>
      </c>
      <c r="N128" s="55">
        <f t="shared" ca="1" si="35"/>
        <v>106</v>
      </c>
      <c r="O128" s="67">
        <f t="shared" ca="1" si="36"/>
        <v>40477</v>
      </c>
      <c r="P128" s="57">
        <f t="shared" ca="1" si="29"/>
        <v>5.7759350034984003E-2</v>
      </c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W128" s="66">
        <v>0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</row>
    <row r="129" spans="1:82" x14ac:dyDescent="0.25">
      <c r="A129" s="53">
        <f t="shared" si="30"/>
        <v>107</v>
      </c>
      <c r="B129" s="64">
        <f t="shared" si="32"/>
        <v>40513</v>
      </c>
      <c r="C129"/>
      <c r="D129" s="53">
        <f t="shared" ca="1" si="23"/>
        <v>3.7439999999999989</v>
      </c>
      <c r="E129" s="156">
        <f t="shared" ca="1" si="37"/>
        <v>-6.9166666666657939E-3</v>
      </c>
      <c r="F129" s="65">
        <f t="shared" ca="1" si="33"/>
        <v>3.7439999999999989</v>
      </c>
      <c r="G129" s="66">
        <f t="shared" ca="1" si="31"/>
        <v>5.262766773560959E-2</v>
      </c>
      <c r="H129" s="66">
        <f t="shared" ca="1" si="25"/>
        <v>0.185</v>
      </c>
      <c r="I129" s="66">
        <v>0</v>
      </c>
      <c r="J129" s="156">
        <v>0.28000000000000003</v>
      </c>
      <c r="K129" s="66">
        <f t="shared" ca="1" si="34"/>
        <v>5.262766773560959E-2</v>
      </c>
      <c r="N129" s="55">
        <f t="shared" ca="1" si="35"/>
        <v>107</v>
      </c>
      <c r="O129" s="67">
        <f t="shared" ca="1" si="36"/>
        <v>40506</v>
      </c>
      <c r="P129" s="57">
        <f t="shared" ca="1" si="29"/>
        <v>5.7862848491941697E-2</v>
      </c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W129" s="66">
        <v>0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</row>
    <row r="130" spans="1:82" x14ac:dyDescent="0.25">
      <c r="A130" s="53">
        <f t="shared" si="30"/>
        <v>108</v>
      </c>
      <c r="B130" s="64">
        <f t="shared" si="32"/>
        <v>40544</v>
      </c>
      <c r="C130"/>
      <c r="D130" s="53">
        <f t="shared" ca="1" si="23"/>
        <v>3.798999999999999</v>
      </c>
      <c r="E130" s="156">
        <f t="shared" ca="1" si="37"/>
        <v>-6.9166666666657939E-3</v>
      </c>
      <c r="F130" s="65">
        <f t="shared" ca="1" si="33"/>
        <v>3.798999999999999</v>
      </c>
      <c r="G130" s="66">
        <f t="shared" ca="1" si="31"/>
        <v>5.1920001358212821E-2</v>
      </c>
      <c r="H130" s="66">
        <f t="shared" ca="1" si="25"/>
        <v>0.185</v>
      </c>
      <c r="I130" s="66">
        <v>0</v>
      </c>
      <c r="J130" s="156">
        <v>0.28000000000000003</v>
      </c>
      <c r="K130" s="66">
        <f t="shared" ca="1" si="34"/>
        <v>5.1920001358212821E-2</v>
      </c>
      <c r="N130" s="55">
        <f t="shared" ca="1" si="35"/>
        <v>108</v>
      </c>
      <c r="O130" s="67">
        <f t="shared" ca="1" si="36"/>
        <v>40539</v>
      </c>
      <c r="P130" s="57">
        <f t="shared" ca="1" si="29"/>
        <v>5.79630082923899E-2</v>
      </c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W130" s="66">
        <v>0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</row>
    <row r="131" spans="1:82" x14ac:dyDescent="0.25">
      <c r="A131" s="53">
        <f t="shared" si="30"/>
        <v>109</v>
      </c>
      <c r="B131" s="64">
        <f t="shared" si="32"/>
        <v>40575</v>
      </c>
      <c r="C131"/>
      <c r="D131" s="53">
        <f t="shared" ca="1" si="23"/>
        <v>3.6509999999999989</v>
      </c>
      <c r="E131" s="156">
        <f t="shared" ca="1" si="37"/>
        <v>-6.9166666666657939E-3</v>
      </c>
      <c r="F131" s="65">
        <f t="shared" ca="1" si="33"/>
        <v>3.6509999999999989</v>
      </c>
      <c r="G131" s="66">
        <f t="shared" ca="1" si="31"/>
        <v>5.4091913250801787E-2</v>
      </c>
      <c r="H131" s="66">
        <f t="shared" ca="1" si="25"/>
        <v>0.185</v>
      </c>
      <c r="I131" s="66">
        <v>0</v>
      </c>
      <c r="J131" s="156">
        <v>0.28000000000000003</v>
      </c>
      <c r="K131" s="66">
        <f t="shared" ca="1" si="34"/>
        <v>5.4091913250801787E-2</v>
      </c>
      <c r="N131" s="55">
        <f t="shared" ca="1" si="35"/>
        <v>109</v>
      </c>
      <c r="O131" s="67">
        <f t="shared" ca="1" si="36"/>
        <v>40569</v>
      </c>
      <c r="P131" s="57">
        <f t="shared" ca="1" si="29"/>
        <v>5.8066506756358403E-2</v>
      </c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W131" s="66">
        <v>0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</row>
    <row r="132" spans="1:82" x14ac:dyDescent="0.25">
      <c r="A132" s="53">
        <f t="shared" si="30"/>
        <v>110</v>
      </c>
      <c r="B132" s="64">
        <f t="shared" si="32"/>
        <v>40603</v>
      </c>
      <c r="C132"/>
      <c r="D132" s="53">
        <f t="shared" ca="1" si="23"/>
        <v>3.5999999999999988</v>
      </c>
      <c r="E132" s="156">
        <f t="shared" ca="1" si="37"/>
        <v>-6.9166666666657939E-3</v>
      </c>
      <c r="F132" s="65">
        <f t="shared" ca="1" si="33"/>
        <v>3.5999999999999988</v>
      </c>
      <c r="G132" s="66">
        <f t="shared" ca="1" si="31"/>
        <v>5.492555506610846E-2</v>
      </c>
      <c r="H132" s="66">
        <f t="shared" ca="1" si="25"/>
        <v>0.185</v>
      </c>
      <c r="I132" s="66">
        <v>0</v>
      </c>
      <c r="J132" s="156">
        <v>0.28000000000000003</v>
      </c>
      <c r="K132" s="66">
        <f t="shared" ca="1" si="34"/>
        <v>5.492555506610846E-2</v>
      </c>
      <c r="N132" s="55">
        <f t="shared" ca="1" si="35"/>
        <v>110</v>
      </c>
      <c r="O132" s="67">
        <f t="shared" ca="1" si="36"/>
        <v>40597</v>
      </c>
      <c r="P132" s="57">
        <f t="shared" ca="1" si="29"/>
        <v>5.8170005223888897E-2</v>
      </c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W132" s="66">
        <v>0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</row>
    <row r="133" spans="1:82" x14ac:dyDescent="0.25">
      <c r="A133" s="53">
        <f t="shared" si="30"/>
        <v>111</v>
      </c>
      <c r="B133" s="64">
        <f t="shared" si="32"/>
        <v>40634</v>
      </c>
      <c r="C133"/>
      <c r="D133" s="53">
        <f t="shared" ca="1" si="23"/>
        <v>3.3809999999999989</v>
      </c>
      <c r="E133" s="156">
        <f t="shared" ca="1" si="37"/>
        <v>-6.9166666666657939E-3</v>
      </c>
      <c r="F133" s="65">
        <f t="shared" ca="1" si="33"/>
        <v>3.3809999999999989</v>
      </c>
      <c r="G133" s="66">
        <f t="shared" ca="1" si="31"/>
        <v>5.856461032504643E-2</v>
      </c>
      <c r="H133" s="66">
        <f t="shared" ca="1" si="25"/>
        <v>0.18</v>
      </c>
      <c r="I133" s="66">
        <v>0</v>
      </c>
      <c r="J133" s="156">
        <v>0.28000000000000003</v>
      </c>
      <c r="K133" s="66">
        <f t="shared" ca="1" si="34"/>
        <v>5.856461032504643E-2</v>
      </c>
      <c r="N133" s="55">
        <f t="shared" ca="1" si="35"/>
        <v>111</v>
      </c>
      <c r="O133" s="67">
        <f t="shared" ca="1" si="36"/>
        <v>40630</v>
      </c>
      <c r="P133" s="57">
        <f t="shared" ca="1" si="29"/>
        <v>5.8263487713752699E-2</v>
      </c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W133" s="66">
        <v>0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</row>
    <row r="134" spans="1:82" x14ac:dyDescent="0.25">
      <c r="A134" s="53">
        <f t="shared" si="30"/>
        <v>112</v>
      </c>
      <c r="B134" s="64">
        <f t="shared" si="32"/>
        <v>40664</v>
      </c>
      <c r="C134"/>
      <c r="D134" s="53">
        <f t="shared" ca="1" si="23"/>
        <v>3.3839999999999986</v>
      </c>
      <c r="E134" s="156">
        <f t="shared" ca="1" si="37"/>
        <v>-6.9166666666657939E-3</v>
      </c>
      <c r="F134" s="65">
        <f t="shared" ca="1" si="33"/>
        <v>3.3839999999999986</v>
      </c>
      <c r="G134" s="66">
        <f t="shared" ca="1" si="31"/>
        <v>5.8589653522289557E-2</v>
      </c>
      <c r="H134" s="66">
        <f t="shared" ca="1" si="25"/>
        <v>0.18</v>
      </c>
      <c r="I134" s="66">
        <v>0</v>
      </c>
      <c r="J134" s="156">
        <v>0.28000000000000003</v>
      </c>
      <c r="K134" s="66">
        <f t="shared" ca="1" si="34"/>
        <v>5.8589653522289557E-2</v>
      </c>
      <c r="N134" s="55">
        <f t="shared" ca="1" si="35"/>
        <v>112</v>
      </c>
      <c r="O134" s="67">
        <f t="shared" ca="1" si="36"/>
        <v>40659</v>
      </c>
      <c r="P134" s="57">
        <f t="shared" ca="1" si="29"/>
        <v>5.8366986188063602E-2</v>
      </c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W134" s="66">
        <v>0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</row>
    <row r="135" spans="1:82" x14ac:dyDescent="0.25">
      <c r="A135" s="53">
        <f t="shared" si="30"/>
        <v>113</v>
      </c>
      <c r="B135" s="64">
        <f t="shared" si="32"/>
        <v>40695</v>
      </c>
      <c r="C135"/>
      <c r="D135" s="53">
        <f t="shared" ca="1" si="23"/>
        <v>3.4239999999999986</v>
      </c>
      <c r="E135" s="156">
        <f t="shared" ca="1" si="37"/>
        <v>-6.9166666666657939E-3</v>
      </c>
      <c r="F135" s="65">
        <f t="shared" ca="1" si="33"/>
        <v>3.4239999999999986</v>
      </c>
      <c r="G135" s="66">
        <f t="shared" ca="1" si="31"/>
        <v>5.7980844040617499E-2</v>
      </c>
      <c r="H135" s="66">
        <f t="shared" ca="1" si="25"/>
        <v>0.18</v>
      </c>
      <c r="I135" s="66">
        <v>0</v>
      </c>
      <c r="J135" s="156">
        <v>0.28000000000000003</v>
      </c>
      <c r="K135" s="66">
        <f t="shared" ca="1" si="34"/>
        <v>5.7980844040617499E-2</v>
      </c>
      <c r="N135" s="55">
        <f t="shared" ca="1" si="35"/>
        <v>113</v>
      </c>
      <c r="O135" s="67">
        <f t="shared" ca="1" si="36"/>
        <v>40688</v>
      </c>
      <c r="P135" s="57">
        <f t="shared" ca="1" si="29"/>
        <v>5.84671460053037E-2</v>
      </c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W135" s="66">
        <v>0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</row>
    <row r="136" spans="1:82" x14ac:dyDescent="0.25">
      <c r="A136" s="53">
        <f t="shared" si="30"/>
        <v>114</v>
      </c>
      <c r="B136" s="64">
        <f t="shared" si="32"/>
        <v>40725</v>
      </c>
      <c r="C136"/>
      <c r="D136" s="53">
        <f t="shared" ca="1" si="23"/>
        <v>3.4639999999999986</v>
      </c>
      <c r="E136" s="156">
        <f t="shared" ca="1" si="37"/>
        <v>-6.9166666666657939E-3</v>
      </c>
      <c r="F136" s="65">
        <f t="shared" ca="1" si="33"/>
        <v>3.4639999999999986</v>
      </c>
      <c r="G136" s="66">
        <f t="shared" ca="1" si="31"/>
        <v>5.7394714021897927E-2</v>
      </c>
      <c r="H136" s="66">
        <f t="shared" ca="1" si="25"/>
        <v>0.18</v>
      </c>
      <c r="I136" s="66">
        <v>0</v>
      </c>
      <c r="J136" s="156">
        <v>0.28000000000000003</v>
      </c>
      <c r="K136" s="66">
        <f t="shared" ca="1" si="34"/>
        <v>5.7394714021897927E-2</v>
      </c>
      <c r="N136" s="55">
        <f t="shared" ca="1" si="35"/>
        <v>114</v>
      </c>
      <c r="O136" s="67">
        <f t="shared" ca="1" si="36"/>
        <v>40721</v>
      </c>
      <c r="P136" s="57">
        <f t="shared" ca="1" si="29"/>
        <v>5.8570644486623601E-2</v>
      </c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W136" s="66">
        <v>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</row>
    <row r="137" spans="1:82" x14ac:dyDescent="0.25">
      <c r="A137" s="53">
        <f t="shared" si="30"/>
        <v>115</v>
      </c>
      <c r="B137" s="64">
        <f t="shared" si="32"/>
        <v>40756</v>
      </c>
      <c r="C137"/>
      <c r="D137" s="53">
        <f t="shared" ca="1" si="23"/>
        <v>3.5139999999999989</v>
      </c>
      <c r="E137" s="156">
        <f t="shared" ca="1" si="37"/>
        <v>-6.9166666666657939E-3</v>
      </c>
      <c r="F137" s="65">
        <f t="shared" ca="1" si="33"/>
        <v>3.5139999999999989</v>
      </c>
      <c r="G137" s="66">
        <f t="shared" ca="1" si="31"/>
        <v>5.6657766350334531E-2</v>
      </c>
      <c r="H137" s="66">
        <f t="shared" ca="1" si="25"/>
        <v>0.18</v>
      </c>
      <c r="I137" s="66">
        <v>0</v>
      </c>
      <c r="J137" s="156">
        <v>0.28000000000000003</v>
      </c>
      <c r="K137" s="66">
        <f t="shared" ca="1" si="34"/>
        <v>5.6657766350334531E-2</v>
      </c>
      <c r="N137" s="55">
        <f t="shared" ca="1" si="35"/>
        <v>115</v>
      </c>
      <c r="O137" s="67">
        <f t="shared" ca="1" si="36"/>
        <v>40750</v>
      </c>
      <c r="P137" s="57">
        <f t="shared" ca="1" si="29"/>
        <v>5.86708043106468E-2</v>
      </c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W137" s="66">
        <v>0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</row>
    <row r="138" spans="1:82" x14ac:dyDescent="0.25">
      <c r="A138" s="53">
        <f t="shared" si="30"/>
        <v>116</v>
      </c>
      <c r="B138" s="64">
        <f t="shared" si="32"/>
        <v>40787</v>
      </c>
      <c r="C138"/>
      <c r="D138" s="53">
        <f t="shared" ca="1" si="23"/>
        <v>3.4989999999999988</v>
      </c>
      <c r="E138" s="156">
        <f t="shared" ca="1" si="37"/>
        <v>-6.9166666666657939E-3</v>
      </c>
      <c r="F138" s="65">
        <f t="shared" ca="1" si="33"/>
        <v>3.4989999999999988</v>
      </c>
      <c r="G138" s="66">
        <f t="shared" ca="1" si="31"/>
        <v>5.6990630525646166E-2</v>
      </c>
      <c r="H138" s="66">
        <f t="shared" ca="1" si="25"/>
        <v>0.18</v>
      </c>
      <c r="I138" s="66">
        <v>0</v>
      </c>
      <c r="J138" s="156">
        <v>0.28000000000000003</v>
      </c>
      <c r="K138" s="66">
        <f t="shared" ca="1" si="34"/>
        <v>5.6990630525646166E-2</v>
      </c>
      <c r="N138" s="55">
        <f t="shared" ca="1" si="35"/>
        <v>116</v>
      </c>
      <c r="O138" s="67">
        <f t="shared" ca="1" si="36"/>
        <v>40781</v>
      </c>
      <c r="P138" s="57">
        <f t="shared" ca="1" si="29"/>
        <v>5.8774302798974401E-2</v>
      </c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W138" s="66">
        <v>0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</row>
    <row r="139" spans="1:82" x14ac:dyDescent="0.25">
      <c r="A139" s="53">
        <f t="shared" si="30"/>
        <v>117</v>
      </c>
      <c r="B139" s="64">
        <f t="shared" si="32"/>
        <v>40817</v>
      </c>
      <c r="C139"/>
      <c r="D139" s="53">
        <f t="shared" ca="1" si="23"/>
        <v>3.5139999999999989</v>
      </c>
      <c r="E139" s="156">
        <f t="shared" ca="1" si="37"/>
        <v>-6.9166666666657939E-3</v>
      </c>
      <c r="F139" s="65">
        <f t="shared" ca="1" si="33"/>
        <v>3.5139999999999989</v>
      </c>
      <c r="G139" s="66">
        <f t="shared" ca="1" si="31"/>
        <v>5.6840147121077149E-2</v>
      </c>
      <c r="H139" s="66">
        <f t="shared" ca="1" si="25"/>
        <v>0.18</v>
      </c>
      <c r="I139" s="66">
        <v>0</v>
      </c>
      <c r="J139" s="156">
        <v>0.28000000000000003</v>
      </c>
      <c r="K139" s="66">
        <f t="shared" ca="1" si="34"/>
        <v>5.6840147121077149E-2</v>
      </c>
      <c r="N139" s="55">
        <f t="shared" ca="1" si="35"/>
        <v>117</v>
      </c>
      <c r="O139" s="67">
        <f t="shared" ca="1" si="36"/>
        <v>40813</v>
      </c>
      <c r="P139" s="57">
        <f t="shared" ca="1" si="29"/>
        <v>5.8877801290863702E-2</v>
      </c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W139" s="66">
        <v>0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</row>
    <row r="140" spans="1:82" x14ac:dyDescent="0.25">
      <c r="A140" s="53">
        <f t="shared" si="30"/>
        <v>118</v>
      </c>
      <c r="B140" s="64">
        <f t="shared" si="32"/>
        <v>40848</v>
      </c>
      <c r="C140"/>
      <c r="D140" s="53">
        <f t="shared" ca="1" si="23"/>
        <v>3.6589999999999989</v>
      </c>
      <c r="E140" s="156">
        <f t="shared" ca="1" si="37"/>
        <v>-6.9166666666657939E-3</v>
      </c>
      <c r="F140" s="65">
        <f t="shared" ca="1" si="33"/>
        <v>3.6589999999999989</v>
      </c>
      <c r="G140" s="66">
        <f t="shared" ca="1" si="31"/>
        <v>5.4669326023152567E-2</v>
      </c>
      <c r="H140" s="66">
        <f t="shared" ca="1" si="25"/>
        <v>0.18</v>
      </c>
      <c r="I140" s="66">
        <v>0</v>
      </c>
      <c r="J140" s="156">
        <v>0.28000000000000003</v>
      </c>
      <c r="K140" s="66">
        <f t="shared" ca="1" si="34"/>
        <v>5.4669326023152567E-2</v>
      </c>
      <c r="N140" s="55">
        <f t="shared" ca="1" si="35"/>
        <v>118</v>
      </c>
      <c r="O140" s="67">
        <f t="shared" ca="1" si="36"/>
        <v>40842</v>
      </c>
      <c r="P140" s="57">
        <f t="shared" ca="1" si="29"/>
        <v>5.8977961125114199E-2</v>
      </c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W140" s="66">
        <v>0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</row>
    <row r="141" spans="1:82" x14ac:dyDescent="0.25">
      <c r="A141" s="53">
        <f t="shared" si="30"/>
        <v>119</v>
      </c>
      <c r="B141" s="64">
        <f t="shared" si="32"/>
        <v>40878</v>
      </c>
      <c r="C141"/>
      <c r="D141" s="53">
        <f t="shared" ca="1" si="23"/>
        <v>3.7939999999999987</v>
      </c>
      <c r="E141" s="156">
        <f t="shared" ca="1" si="37"/>
        <v>-6.9166666666657939E-3</v>
      </c>
      <c r="F141" s="65">
        <f t="shared" ca="1" si="33"/>
        <v>3.7939999999999987</v>
      </c>
      <c r="G141" s="66">
        <f t="shared" ca="1" si="31"/>
        <v>5.2809322474195425E-2</v>
      </c>
      <c r="H141" s="66">
        <f t="shared" ca="1" si="25"/>
        <v>0.18</v>
      </c>
      <c r="I141" s="66">
        <v>0</v>
      </c>
      <c r="J141" s="156">
        <v>0.28000000000000003</v>
      </c>
      <c r="K141" s="66">
        <f t="shared" ca="1" si="34"/>
        <v>5.2809322474195425E-2</v>
      </c>
      <c r="N141" s="55">
        <f t="shared" ca="1" si="35"/>
        <v>119</v>
      </c>
      <c r="O141" s="67">
        <f t="shared" ca="1" si="36"/>
        <v>40872</v>
      </c>
      <c r="P141" s="57">
        <f t="shared" ca="1" si="29"/>
        <v>5.9081459624010797E-2</v>
      </c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W141" s="66">
        <v>0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</row>
    <row r="142" spans="1:82" x14ac:dyDescent="0.25">
      <c r="A142" s="53">
        <f t="shared" si="30"/>
        <v>120</v>
      </c>
      <c r="B142" s="64">
        <f t="shared" si="32"/>
        <v>40909</v>
      </c>
      <c r="C142"/>
      <c r="D142" s="53">
        <f t="shared" ca="1" si="23"/>
        <v>3.8489999999999989</v>
      </c>
      <c r="E142" s="156">
        <f t="shared" ca="1" si="37"/>
        <v>-6.9166666666657939E-3</v>
      </c>
      <c r="F142" s="65">
        <f t="shared" ca="1" si="33"/>
        <v>3.8489999999999989</v>
      </c>
      <c r="G142" s="66">
        <f t="shared" ca="1" si="31"/>
        <v>5.2145395894862348E-2</v>
      </c>
      <c r="H142" s="66">
        <f t="shared" ca="1" si="25"/>
        <v>0.18</v>
      </c>
      <c r="I142" s="66">
        <v>0</v>
      </c>
      <c r="J142" s="156">
        <v>0.28000000000000003</v>
      </c>
      <c r="K142" s="66">
        <f t="shared" ca="1" si="34"/>
        <v>5.2145395894862348E-2</v>
      </c>
      <c r="N142" s="55">
        <f t="shared" ca="1" si="35"/>
        <v>120</v>
      </c>
      <c r="O142" s="67">
        <f t="shared" ca="1" si="36"/>
        <v>40904</v>
      </c>
      <c r="P142" s="57">
        <f t="shared" ca="1" si="29"/>
        <v>5.9181619465042502E-2</v>
      </c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W142" s="66">
        <v>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</row>
    <row r="143" spans="1:82" x14ac:dyDescent="0.25">
      <c r="A143"/>
      <c r="B143"/>
      <c r="C143"/>
      <c r="D143"/>
      <c r="E143"/>
      <c r="F143"/>
      <c r="G143"/>
      <c r="H143"/>
      <c r="I143" s="66">
        <v>0</v>
      </c>
      <c r="J143"/>
      <c r="K143"/>
      <c r="L143" s="66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</row>
    <row r="144" spans="1:82" x14ac:dyDescent="0.25">
      <c r="A144"/>
      <c r="B144"/>
      <c r="C144"/>
      <c r="D144"/>
      <c r="E144"/>
      <c r="F144"/>
      <c r="G144"/>
      <c r="H144"/>
      <c r="I144" s="66">
        <v>0</v>
      </c>
      <c r="J144"/>
      <c r="K144"/>
      <c r="L144" s="66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</row>
    <row r="145" spans="1:82" x14ac:dyDescent="0.25">
      <c r="A145"/>
      <c r="B145"/>
      <c r="C145"/>
      <c r="D145"/>
      <c r="E145"/>
      <c r="F145"/>
      <c r="G145"/>
      <c r="H145"/>
      <c r="I145" s="66">
        <v>0</v>
      </c>
      <c r="J145"/>
      <c r="K145"/>
      <c r="L145" s="66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</row>
    <row r="146" spans="1:82" x14ac:dyDescent="0.25">
      <c r="A146"/>
      <c r="B146"/>
      <c r="C146"/>
      <c r="D146"/>
      <c r="E146"/>
      <c r="F146"/>
      <c r="G146"/>
      <c r="H146"/>
      <c r="I146" s="66">
        <v>0</v>
      </c>
      <c r="J146"/>
      <c r="K146"/>
      <c r="L146" s="6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</row>
    <row r="147" spans="1:82" x14ac:dyDescent="0.25">
      <c r="A147"/>
      <c r="B147"/>
      <c r="C147"/>
      <c r="D147"/>
      <c r="E147"/>
      <c r="F147"/>
      <c r="G147"/>
      <c r="H147"/>
      <c r="I147" s="66">
        <v>0</v>
      </c>
      <c r="J147"/>
      <c r="K147"/>
      <c r="L147" s="66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</row>
    <row r="148" spans="1:82" x14ac:dyDescent="0.25">
      <c r="A148"/>
      <c r="B148"/>
      <c r="C148"/>
      <c r="D148"/>
      <c r="E148"/>
      <c r="F148"/>
      <c r="G148"/>
      <c r="H148"/>
      <c r="I148" s="66">
        <v>0</v>
      </c>
      <c r="J148"/>
      <c r="K148"/>
      <c r="L148" s="66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</row>
    <row r="149" spans="1:82" x14ac:dyDescent="0.25">
      <c r="A149"/>
      <c r="B149"/>
      <c r="C149"/>
      <c r="D149"/>
      <c r="E149"/>
      <c r="F149"/>
      <c r="G149"/>
      <c r="H149"/>
      <c r="I149" s="66">
        <v>0</v>
      </c>
      <c r="J149"/>
      <c r="K149"/>
      <c r="L149" s="66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</row>
    <row r="150" spans="1:82" x14ac:dyDescent="0.25">
      <c r="A150"/>
      <c r="B150"/>
      <c r="C150"/>
      <c r="D150"/>
      <c r="E150"/>
      <c r="F150"/>
      <c r="G150"/>
      <c r="H150"/>
      <c r="I150" s="66">
        <v>0</v>
      </c>
      <c r="J150"/>
      <c r="K150"/>
      <c r="L150" s="66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</row>
    <row r="151" spans="1:82" x14ac:dyDescent="0.25">
      <c r="A151"/>
      <c r="B151"/>
      <c r="C151"/>
      <c r="D151"/>
      <c r="E151"/>
      <c r="F151"/>
      <c r="G151"/>
      <c r="H151"/>
      <c r="I151" s="66">
        <v>0</v>
      </c>
      <c r="J151"/>
      <c r="K151"/>
      <c r="L151" s="66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</row>
    <row r="152" spans="1:82" x14ac:dyDescent="0.25">
      <c r="A152"/>
      <c r="B152"/>
      <c r="C152"/>
      <c r="D152"/>
      <c r="E152"/>
      <c r="F152"/>
      <c r="G152"/>
      <c r="H152"/>
      <c r="I152" s="66">
        <v>0</v>
      </c>
      <c r="J152"/>
      <c r="K152"/>
      <c r="L152" s="66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</row>
    <row r="153" spans="1:82" x14ac:dyDescent="0.25">
      <c r="A153"/>
      <c r="B153"/>
      <c r="C153"/>
      <c r="D153"/>
      <c r="E153"/>
      <c r="F153"/>
      <c r="G153"/>
      <c r="H153"/>
      <c r="I153" s="66">
        <v>0</v>
      </c>
      <c r="J153"/>
      <c r="K153"/>
      <c r="L153" s="66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</row>
    <row r="154" spans="1:82" x14ac:dyDescent="0.25">
      <c r="A154"/>
      <c r="B154"/>
      <c r="C154"/>
      <c r="D154"/>
      <c r="E154"/>
      <c r="F154"/>
      <c r="G154"/>
      <c r="H154"/>
      <c r="I154" s="66">
        <v>0</v>
      </c>
      <c r="J154"/>
      <c r="K154"/>
      <c r="L154" s="66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</row>
    <row r="155" spans="1:82" x14ac:dyDescent="0.25">
      <c r="A155"/>
      <c r="B155"/>
      <c r="C155"/>
      <c r="D155"/>
      <c r="E155"/>
      <c r="F155"/>
      <c r="G155"/>
      <c r="H155"/>
      <c r="I155" s="66">
        <v>0</v>
      </c>
      <c r="J155"/>
      <c r="K155"/>
      <c r="L155" s="66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</row>
    <row r="156" spans="1:82" x14ac:dyDescent="0.25">
      <c r="A156"/>
      <c r="B156"/>
      <c r="C156"/>
      <c r="D156"/>
      <c r="E156"/>
      <c r="F156"/>
      <c r="G156"/>
      <c r="H156"/>
      <c r="I156" s="66">
        <v>0</v>
      </c>
      <c r="J156"/>
      <c r="K156"/>
      <c r="L156" s="6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</row>
    <row r="157" spans="1:82" x14ac:dyDescent="0.25">
      <c r="A157"/>
      <c r="B157"/>
      <c r="C157"/>
      <c r="D157"/>
      <c r="E157"/>
      <c r="F157"/>
      <c r="G157"/>
      <c r="H157"/>
      <c r="I157" s="66">
        <v>0</v>
      </c>
      <c r="J157"/>
      <c r="K157"/>
      <c r="L157" s="66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</row>
    <row r="158" spans="1:82" x14ac:dyDescent="0.25">
      <c r="A158"/>
      <c r="B158"/>
      <c r="C158"/>
      <c r="D158"/>
      <c r="E158"/>
      <c r="F158"/>
      <c r="G158"/>
      <c r="H158"/>
      <c r="I158" s="66">
        <v>0</v>
      </c>
      <c r="J158"/>
      <c r="K158"/>
      <c r="L158" s="66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</row>
    <row r="159" spans="1:82" x14ac:dyDescent="0.25">
      <c r="A159"/>
      <c r="B159"/>
      <c r="C159"/>
      <c r="D159"/>
      <c r="E159"/>
      <c r="F159"/>
      <c r="G159"/>
      <c r="H159"/>
      <c r="I159" s="66">
        <v>0</v>
      </c>
      <c r="J159"/>
      <c r="K159"/>
      <c r="L159" s="66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</row>
    <row r="160" spans="1:82" x14ac:dyDescent="0.25">
      <c r="A160"/>
      <c r="B160"/>
      <c r="C160"/>
      <c r="D160"/>
      <c r="E160"/>
      <c r="F160"/>
      <c r="G160"/>
      <c r="H160"/>
      <c r="I160" s="66">
        <v>0</v>
      </c>
      <c r="J160"/>
      <c r="K160"/>
      <c r="L160" s="66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</row>
    <row r="161" spans="1:82" x14ac:dyDescent="0.25">
      <c r="A161"/>
      <c r="B161"/>
      <c r="C161"/>
      <c r="D161"/>
      <c r="E161"/>
      <c r="F161"/>
      <c r="G161"/>
      <c r="H161"/>
      <c r="I161" s="66">
        <v>0</v>
      </c>
      <c r="J161"/>
      <c r="K161"/>
      <c r="L161" s="66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</row>
    <row r="162" spans="1:82" x14ac:dyDescent="0.25">
      <c r="A162"/>
      <c r="B162"/>
      <c r="C162"/>
      <c r="D162"/>
      <c r="E162"/>
      <c r="F162"/>
      <c r="G162"/>
      <c r="H162"/>
      <c r="I162" s="66">
        <v>0</v>
      </c>
      <c r="J162"/>
      <c r="K162"/>
      <c r="L162" s="66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</row>
    <row r="163" spans="1:82" x14ac:dyDescent="0.25">
      <c r="A163"/>
      <c r="B163"/>
      <c r="C163"/>
      <c r="D163"/>
      <c r="E163"/>
      <c r="F163"/>
      <c r="G163"/>
      <c r="H163"/>
      <c r="I163" s="66">
        <v>0</v>
      </c>
      <c r="J163"/>
      <c r="K163"/>
      <c r="L163" s="66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</row>
    <row r="164" spans="1:82" x14ac:dyDescent="0.25">
      <c r="A164"/>
      <c r="B164"/>
      <c r="C164"/>
      <c r="D164"/>
      <c r="E164"/>
      <c r="F164"/>
      <c r="G164"/>
      <c r="H164"/>
      <c r="I164" s="66">
        <v>0</v>
      </c>
      <c r="J164"/>
      <c r="K164"/>
      <c r="L164" s="66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</row>
    <row r="165" spans="1:82" x14ac:dyDescent="0.25">
      <c r="A165"/>
      <c r="B165"/>
      <c r="C165"/>
      <c r="D165"/>
      <c r="E165"/>
      <c r="F165"/>
      <c r="G165"/>
      <c r="H165"/>
      <c r="I165" s="66">
        <v>0</v>
      </c>
      <c r="J165"/>
      <c r="K165"/>
      <c r="L165" s="66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</row>
    <row r="166" spans="1:82" x14ac:dyDescent="0.25">
      <c r="A166"/>
      <c r="B166"/>
      <c r="C166"/>
      <c r="D166"/>
      <c r="E166"/>
      <c r="F166"/>
      <c r="G166"/>
      <c r="H166"/>
      <c r="I166" s="66">
        <v>0</v>
      </c>
      <c r="J166"/>
      <c r="K166"/>
      <c r="L166" s="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</row>
    <row r="167" spans="1:82" x14ac:dyDescent="0.25">
      <c r="A167"/>
      <c r="B167"/>
      <c r="C167"/>
      <c r="D167"/>
      <c r="E167"/>
      <c r="F167"/>
      <c r="G167"/>
      <c r="H167"/>
      <c r="I167" s="66">
        <v>0</v>
      </c>
      <c r="J167"/>
      <c r="K167"/>
      <c r="L167" s="66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</row>
    <row r="168" spans="1:82" x14ac:dyDescent="0.25">
      <c r="A168"/>
      <c r="B168"/>
      <c r="C168"/>
      <c r="D168"/>
      <c r="E168"/>
      <c r="F168"/>
      <c r="G168"/>
      <c r="H168"/>
      <c r="I168" s="66">
        <v>0</v>
      </c>
      <c r="J168"/>
      <c r="K168"/>
      <c r="L168" s="66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</row>
    <row r="169" spans="1:82" x14ac:dyDescent="0.25">
      <c r="A169"/>
      <c r="B169"/>
      <c r="C169"/>
      <c r="D169"/>
      <c r="E169"/>
      <c r="F169"/>
      <c r="G169"/>
      <c r="H169"/>
      <c r="I169" s="66">
        <v>0</v>
      </c>
      <c r="J169"/>
      <c r="K169"/>
      <c r="L169" s="66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</row>
    <row r="170" spans="1:82" x14ac:dyDescent="0.25">
      <c r="A170"/>
      <c r="B170"/>
      <c r="C170"/>
      <c r="D170"/>
      <c r="E170"/>
      <c r="F170"/>
      <c r="G170"/>
      <c r="H170"/>
      <c r="I170" s="66">
        <v>0</v>
      </c>
      <c r="J170"/>
      <c r="K170"/>
      <c r="L170" s="66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</row>
    <row r="171" spans="1:82" x14ac:dyDescent="0.25">
      <c r="A171"/>
      <c r="B171"/>
      <c r="C171"/>
      <c r="D171"/>
      <c r="E171"/>
      <c r="F171"/>
      <c r="G171"/>
      <c r="H171"/>
      <c r="I171" s="66">
        <v>0</v>
      </c>
      <c r="J171"/>
      <c r="K171"/>
      <c r="L171" s="66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</row>
    <row r="172" spans="1:82" x14ac:dyDescent="0.25">
      <c r="A172"/>
      <c r="B172"/>
      <c r="C172"/>
      <c r="D172"/>
      <c r="E172"/>
      <c r="F172"/>
      <c r="G172"/>
      <c r="H172"/>
      <c r="I172" s="66">
        <v>0</v>
      </c>
      <c r="J172"/>
      <c r="K172"/>
      <c r="L172" s="66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</row>
    <row r="173" spans="1:82" x14ac:dyDescent="0.25">
      <c r="A173"/>
      <c r="B173"/>
      <c r="C173"/>
      <c r="D173"/>
      <c r="E173"/>
      <c r="F173"/>
      <c r="G173"/>
      <c r="H173"/>
      <c r="I173" s="66">
        <v>0</v>
      </c>
      <c r="J173"/>
      <c r="K173"/>
      <c r="L173" s="66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</row>
    <row r="174" spans="1:82" x14ac:dyDescent="0.25">
      <c r="A174"/>
      <c r="B174"/>
      <c r="C174"/>
      <c r="D174"/>
      <c r="E174"/>
      <c r="F174"/>
      <c r="G174"/>
      <c r="H174"/>
      <c r="I174" s="66">
        <v>0</v>
      </c>
      <c r="J174"/>
      <c r="K174"/>
      <c r="L174" s="66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</row>
    <row r="175" spans="1:82" x14ac:dyDescent="0.25">
      <c r="A175"/>
      <c r="B175"/>
      <c r="C175"/>
      <c r="D175"/>
      <c r="E175"/>
      <c r="F175"/>
      <c r="G175"/>
      <c r="H175"/>
      <c r="I175" s="66">
        <v>0</v>
      </c>
      <c r="J175"/>
      <c r="K175"/>
      <c r="L175" s="66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</row>
    <row r="176" spans="1:82" x14ac:dyDescent="0.25">
      <c r="A176"/>
      <c r="B176"/>
      <c r="C176"/>
      <c r="D176"/>
      <c r="E176"/>
      <c r="F176"/>
      <c r="G176"/>
      <c r="H176"/>
      <c r="I176" s="66">
        <v>0</v>
      </c>
      <c r="J176"/>
      <c r="K176"/>
      <c r="L176" s="6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</row>
    <row r="177" spans="1:82" x14ac:dyDescent="0.25">
      <c r="A177"/>
      <c r="B177"/>
      <c r="C177"/>
      <c r="D177"/>
      <c r="E177"/>
      <c r="F177"/>
      <c r="G177"/>
      <c r="H177"/>
      <c r="I177" s="66">
        <v>0</v>
      </c>
      <c r="J177"/>
      <c r="K177"/>
      <c r="L177" s="66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</row>
    <row r="178" spans="1:82" x14ac:dyDescent="0.25">
      <c r="A178"/>
      <c r="B178"/>
      <c r="C178"/>
      <c r="D178"/>
      <c r="E178"/>
      <c r="F178"/>
      <c r="G178"/>
      <c r="H178"/>
      <c r="I178" s="66">
        <v>0</v>
      </c>
      <c r="J178"/>
      <c r="K178"/>
      <c r="L178" s="66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</row>
    <row r="179" spans="1:82" x14ac:dyDescent="0.25">
      <c r="A179"/>
      <c r="B179"/>
      <c r="C179"/>
      <c r="D179"/>
      <c r="E179"/>
      <c r="F179"/>
      <c r="G179"/>
      <c r="H179"/>
      <c r="I179" s="66">
        <v>0</v>
      </c>
      <c r="J179"/>
      <c r="K179"/>
      <c r="L179" s="66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</row>
    <row r="180" spans="1:82" x14ac:dyDescent="0.25">
      <c r="A180"/>
      <c r="B180"/>
      <c r="C180"/>
      <c r="D180"/>
      <c r="E180"/>
      <c r="F180"/>
      <c r="G180"/>
      <c r="H180"/>
      <c r="I180" s="66">
        <v>0</v>
      </c>
      <c r="J180"/>
      <c r="K180"/>
      <c r="L180" s="66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</row>
    <row r="181" spans="1:82" x14ac:dyDescent="0.25">
      <c r="A181"/>
      <c r="B181"/>
      <c r="C181"/>
      <c r="D181"/>
      <c r="E181"/>
      <c r="F181"/>
      <c r="G181"/>
      <c r="H181"/>
      <c r="I181" s="66">
        <v>0</v>
      </c>
      <c r="J181"/>
      <c r="K181"/>
      <c r="L181" s="66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</row>
    <row r="182" spans="1:82" x14ac:dyDescent="0.25">
      <c r="A182"/>
      <c r="B182"/>
      <c r="C182"/>
      <c r="D182"/>
      <c r="E182"/>
      <c r="F182"/>
      <c r="G182"/>
      <c r="H182"/>
      <c r="I182" s="66">
        <v>0</v>
      </c>
      <c r="J182"/>
      <c r="K182"/>
      <c r="L182" s="66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</row>
    <row r="183" spans="1:82" x14ac:dyDescent="0.25">
      <c r="A183"/>
      <c r="B183"/>
      <c r="C183"/>
      <c r="D183"/>
      <c r="E183"/>
      <c r="F183"/>
      <c r="G183"/>
      <c r="H183"/>
      <c r="I183" s="66">
        <v>0</v>
      </c>
      <c r="J183"/>
      <c r="K183"/>
      <c r="L183" s="66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</row>
    <row r="184" spans="1:82" x14ac:dyDescent="0.25">
      <c r="A184"/>
      <c r="B184"/>
      <c r="C184"/>
      <c r="D184"/>
      <c r="E184"/>
      <c r="F184"/>
      <c r="G184"/>
      <c r="H184"/>
      <c r="I184" s="66">
        <v>0</v>
      </c>
      <c r="J184"/>
      <c r="K184"/>
      <c r="L184" s="66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</row>
    <row r="185" spans="1:82" x14ac:dyDescent="0.25">
      <c r="A185"/>
      <c r="B185"/>
      <c r="C185"/>
      <c r="D185"/>
      <c r="E185"/>
      <c r="F185"/>
      <c r="G185"/>
      <c r="H185"/>
      <c r="I185" s="66">
        <v>0</v>
      </c>
      <c r="J185"/>
      <c r="K185"/>
      <c r="L185" s="66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</row>
    <row r="186" spans="1:82" x14ac:dyDescent="0.25">
      <c r="A186"/>
      <c r="B186"/>
      <c r="C186"/>
      <c r="D186"/>
      <c r="E186"/>
      <c r="F186"/>
      <c r="G186"/>
      <c r="H186"/>
      <c r="I186" s="66">
        <v>0</v>
      </c>
      <c r="J186"/>
      <c r="K186"/>
      <c r="L186" s="6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</row>
    <row r="187" spans="1:82" x14ac:dyDescent="0.25">
      <c r="A187"/>
      <c r="B187"/>
      <c r="C187"/>
      <c r="D187"/>
      <c r="E187"/>
      <c r="F187"/>
      <c r="G187"/>
      <c r="H187"/>
      <c r="I187" s="66">
        <v>0</v>
      </c>
      <c r="J187"/>
      <c r="K187"/>
      <c r="L187" s="66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</row>
    <row r="188" spans="1:82" x14ac:dyDescent="0.25">
      <c r="A188"/>
      <c r="B188"/>
      <c r="C188"/>
      <c r="D188"/>
      <c r="E188"/>
      <c r="F188"/>
      <c r="G188"/>
      <c r="H188"/>
      <c r="I188" s="66">
        <v>0</v>
      </c>
      <c r="J188"/>
      <c r="K188"/>
      <c r="L188" s="66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</row>
    <row r="189" spans="1:82" x14ac:dyDescent="0.25">
      <c r="A189"/>
      <c r="B189"/>
      <c r="C189"/>
      <c r="D189"/>
      <c r="E189"/>
      <c r="F189"/>
      <c r="G189"/>
      <c r="H189"/>
      <c r="I189" s="66">
        <v>0</v>
      </c>
      <c r="J189"/>
      <c r="K189"/>
      <c r="L189" s="66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</row>
    <row r="190" spans="1:82" x14ac:dyDescent="0.25">
      <c r="A190"/>
      <c r="B190"/>
      <c r="C190"/>
      <c r="D190"/>
      <c r="E190"/>
      <c r="F190"/>
      <c r="G190"/>
      <c r="H190"/>
      <c r="I190" s="66">
        <v>0</v>
      </c>
      <c r="J190"/>
      <c r="K190"/>
      <c r="L190" s="66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</row>
    <row r="191" spans="1:82" x14ac:dyDescent="0.25">
      <c r="A191"/>
      <c r="B191"/>
      <c r="C191"/>
      <c r="D191"/>
      <c r="E191"/>
      <c r="F191"/>
      <c r="G191"/>
      <c r="H191"/>
      <c r="I191" s="66">
        <v>0</v>
      </c>
      <c r="J191"/>
      <c r="K191"/>
      <c r="L191" s="66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</row>
    <row r="192" spans="1:82" x14ac:dyDescent="0.25">
      <c r="A192"/>
      <c r="B192"/>
      <c r="C192"/>
      <c r="D192"/>
      <c r="E192"/>
      <c r="F192"/>
      <c r="G192"/>
      <c r="H192"/>
      <c r="I192" s="66">
        <v>0</v>
      </c>
      <c r="J192"/>
      <c r="K192"/>
      <c r="L192" s="66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</row>
    <row r="193" spans="1:82" x14ac:dyDescent="0.25">
      <c r="A193"/>
      <c r="B193"/>
      <c r="C193"/>
      <c r="D193"/>
      <c r="E193"/>
      <c r="F193"/>
      <c r="G193"/>
      <c r="H193"/>
      <c r="I193" s="66">
        <v>0</v>
      </c>
      <c r="J193"/>
      <c r="K193"/>
      <c r="L193" s="66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</row>
    <row r="194" spans="1:82" x14ac:dyDescent="0.25">
      <c r="A194"/>
      <c r="B194"/>
      <c r="C194"/>
      <c r="D194"/>
      <c r="E194"/>
      <c r="F194"/>
      <c r="G194"/>
      <c r="H194"/>
      <c r="I194" s="66">
        <v>0</v>
      </c>
      <c r="J194"/>
      <c r="K194"/>
      <c r="L194" s="66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</row>
    <row r="195" spans="1:82" x14ac:dyDescent="0.25">
      <c r="A195"/>
      <c r="B195"/>
      <c r="C195"/>
      <c r="D195"/>
      <c r="E195"/>
      <c r="F195"/>
      <c r="G195"/>
      <c r="H195"/>
      <c r="I195" s="66">
        <v>0</v>
      </c>
      <c r="J195"/>
      <c r="K195"/>
      <c r="L195" s="66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</row>
    <row r="196" spans="1:82" x14ac:dyDescent="0.25">
      <c r="A196"/>
      <c r="B196"/>
      <c r="C196"/>
      <c r="D196"/>
      <c r="E196"/>
      <c r="F196"/>
      <c r="G196"/>
      <c r="H196"/>
      <c r="I196" s="66">
        <v>0</v>
      </c>
      <c r="J196"/>
      <c r="K196"/>
      <c r="L196" s="6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</row>
    <row r="197" spans="1:82" x14ac:dyDescent="0.25">
      <c r="A197"/>
      <c r="B197"/>
      <c r="C197"/>
      <c r="D197"/>
      <c r="E197"/>
      <c r="F197"/>
      <c r="G197"/>
      <c r="H197"/>
      <c r="I197" s="66">
        <v>0</v>
      </c>
      <c r="J197"/>
      <c r="K197"/>
      <c r="L197" s="66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</row>
    <row r="198" spans="1:82" x14ac:dyDescent="0.25">
      <c r="A198"/>
      <c r="B198"/>
      <c r="C198"/>
      <c r="D198"/>
      <c r="E198"/>
      <c r="F198"/>
      <c r="G198"/>
      <c r="H198"/>
      <c r="I198" s="66">
        <v>0</v>
      </c>
      <c r="J198"/>
      <c r="K198"/>
      <c r="L198" s="66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</row>
    <row r="199" spans="1:82" x14ac:dyDescent="0.25">
      <c r="A199"/>
      <c r="B199"/>
      <c r="C199"/>
      <c r="D199"/>
      <c r="E199"/>
      <c r="F199"/>
      <c r="G199"/>
      <c r="H199"/>
      <c r="I199" s="66">
        <v>0</v>
      </c>
      <c r="J199"/>
      <c r="K199"/>
      <c r="L199" s="66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</row>
    <row r="200" spans="1:82" x14ac:dyDescent="0.25">
      <c r="A200"/>
      <c r="B200"/>
      <c r="C200"/>
      <c r="D200"/>
      <c r="E200"/>
      <c r="F200"/>
      <c r="G200"/>
      <c r="H200"/>
      <c r="I200" s="66">
        <v>0</v>
      </c>
      <c r="J200"/>
      <c r="K200"/>
      <c r="L200" s="66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</row>
    <row r="201" spans="1:82" x14ac:dyDescent="0.25">
      <c r="A201"/>
      <c r="B201"/>
      <c r="C201"/>
      <c r="D201"/>
      <c r="E201"/>
      <c r="F201"/>
      <c r="G201"/>
      <c r="H201"/>
      <c r="I201" s="66">
        <v>0</v>
      </c>
      <c r="J201"/>
      <c r="K201"/>
      <c r="L201" s="66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</row>
    <row r="202" spans="1:82" x14ac:dyDescent="0.25">
      <c r="A202"/>
      <c r="B202"/>
      <c r="C202"/>
      <c r="D202"/>
      <c r="E202"/>
      <c r="F202"/>
      <c r="G202"/>
      <c r="H202"/>
      <c r="I202" s="66">
        <v>0</v>
      </c>
      <c r="J202"/>
      <c r="K202"/>
      <c r="L202" s="66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</row>
    <row r="203" spans="1:82" x14ac:dyDescent="0.25">
      <c r="A203"/>
      <c r="B203"/>
      <c r="C203"/>
      <c r="D203"/>
      <c r="E203"/>
      <c r="F203"/>
      <c r="G203"/>
      <c r="H203"/>
      <c r="I203" s="66">
        <v>0</v>
      </c>
      <c r="J203"/>
      <c r="K203"/>
      <c r="L203" s="66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</row>
    <row r="204" spans="1:82" x14ac:dyDescent="0.25">
      <c r="A204"/>
      <c r="B204"/>
      <c r="C204"/>
      <c r="D204"/>
      <c r="E204"/>
      <c r="F204"/>
      <c r="G204"/>
      <c r="H204"/>
      <c r="I204" s="66">
        <v>0</v>
      </c>
      <c r="J204"/>
      <c r="K204"/>
      <c r="L204" s="66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</row>
    <row r="205" spans="1:82" x14ac:dyDescent="0.25">
      <c r="A205"/>
      <c r="B205"/>
      <c r="C205"/>
      <c r="D205"/>
      <c r="E205"/>
      <c r="F205"/>
      <c r="G205"/>
      <c r="H205"/>
      <c r="I205" s="66">
        <v>0</v>
      </c>
      <c r="J205"/>
      <c r="K205"/>
      <c r="L205" s="66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</row>
    <row r="206" spans="1:82" x14ac:dyDescent="0.25">
      <c r="A206"/>
      <c r="B206"/>
      <c r="C206"/>
      <c r="D206"/>
      <c r="E206"/>
      <c r="F206"/>
      <c r="G206"/>
      <c r="H206"/>
      <c r="I206" s="66">
        <v>0</v>
      </c>
      <c r="J206"/>
      <c r="K206"/>
      <c r="L206" s="6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</row>
    <row r="207" spans="1:82" x14ac:dyDescent="0.25">
      <c r="A207"/>
      <c r="B207"/>
      <c r="C207"/>
      <c r="D207"/>
      <c r="E207"/>
      <c r="F207"/>
      <c r="G207"/>
      <c r="H207"/>
      <c r="I207" s="66">
        <v>0</v>
      </c>
      <c r="J207"/>
      <c r="K207"/>
      <c r="L207" s="66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</row>
    <row r="208" spans="1:82" x14ac:dyDescent="0.25">
      <c r="A208"/>
      <c r="B208"/>
      <c r="C208"/>
      <c r="D208"/>
      <c r="E208"/>
      <c r="F208"/>
      <c r="G208"/>
      <c r="H208"/>
      <c r="I208" s="66">
        <v>0</v>
      </c>
      <c r="J208"/>
      <c r="K208"/>
      <c r="L208" s="66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</row>
    <row r="209" spans="1:82" x14ac:dyDescent="0.25">
      <c r="A209"/>
      <c r="B209"/>
      <c r="C209"/>
      <c r="D209"/>
      <c r="E209"/>
      <c r="F209"/>
      <c r="G209"/>
      <c r="H209"/>
      <c r="I209" s="66">
        <v>0</v>
      </c>
      <c r="J209"/>
      <c r="K209"/>
      <c r="L209" s="66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</row>
    <row r="210" spans="1:82" x14ac:dyDescent="0.25">
      <c r="A210"/>
      <c r="B210"/>
      <c r="C210"/>
      <c r="D210"/>
      <c r="E210"/>
      <c r="F210"/>
      <c r="G210"/>
      <c r="H210"/>
      <c r="I210" s="66">
        <v>0</v>
      </c>
      <c r="J210"/>
      <c r="K210"/>
      <c r="L210" s="66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</row>
    <row r="211" spans="1:82" x14ac:dyDescent="0.25">
      <c r="A211"/>
      <c r="B211"/>
      <c r="C211"/>
      <c r="D211"/>
      <c r="E211"/>
      <c r="F211"/>
      <c r="G211"/>
      <c r="H211"/>
      <c r="I211" s="66">
        <v>0</v>
      </c>
      <c r="J211"/>
      <c r="K211"/>
      <c r="L211" s="66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</row>
    <row r="212" spans="1:82" x14ac:dyDescent="0.25">
      <c r="A212"/>
      <c r="B212"/>
      <c r="C212"/>
      <c r="D212"/>
      <c r="E212"/>
      <c r="F212"/>
      <c r="G212"/>
      <c r="H212"/>
      <c r="I212" s="66">
        <v>0</v>
      </c>
      <c r="J212"/>
      <c r="K212"/>
      <c r="L212" s="66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</row>
    <row r="213" spans="1:82" x14ac:dyDescent="0.25">
      <c r="A213"/>
      <c r="B213"/>
      <c r="C213"/>
      <c r="D213"/>
      <c r="E213"/>
      <c r="F213"/>
      <c r="G213"/>
      <c r="H213"/>
      <c r="I213" s="66">
        <v>0</v>
      </c>
      <c r="J213"/>
      <c r="K213"/>
      <c r="L213" s="66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</row>
    <row r="214" spans="1:82" x14ac:dyDescent="0.25">
      <c r="A214"/>
      <c r="B214"/>
      <c r="C214"/>
      <c r="D214"/>
      <c r="E214"/>
      <c r="F214"/>
      <c r="G214"/>
      <c r="H214"/>
      <c r="I214" s="66">
        <v>0</v>
      </c>
      <c r="J214"/>
      <c r="K214"/>
      <c r="L214" s="66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</row>
    <row r="215" spans="1:82" x14ac:dyDescent="0.25">
      <c r="A215"/>
      <c r="B215"/>
      <c r="C215"/>
      <c r="D215"/>
      <c r="E215"/>
      <c r="F215"/>
      <c r="G215"/>
      <c r="H215"/>
      <c r="I215" s="66">
        <v>0</v>
      </c>
      <c r="J215"/>
      <c r="K215"/>
      <c r="L215" s="66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</row>
    <row r="216" spans="1:82" x14ac:dyDescent="0.25">
      <c r="A216"/>
      <c r="B216"/>
      <c r="C216"/>
      <c r="D216"/>
      <c r="E216"/>
      <c r="F216"/>
      <c r="G216"/>
      <c r="H216"/>
      <c r="I216" s="66">
        <v>0</v>
      </c>
      <c r="J216"/>
      <c r="K216"/>
      <c r="L216" s="6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</row>
    <row r="217" spans="1:82" x14ac:dyDescent="0.25">
      <c r="A217"/>
      <c r="B217"/>
      <c r="C217"/>
      <c r="D217"/>
      <c r="E217"/>
      <c r="F217"/>
      <c r="G217"/>
      <c r="H217"/>
      <c r="I217" s="66">
        <v>0</v>
      </c>
      <c r="J217"/>
      <c r="K217"/>
      <c r="L217" s="66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</row>
    <row r="218" spans="1:82" x14ac:dyDescent="0.25">
      <c r="A218"/>
      <c r="B218"/>
      <c r="C218"/>
      <c r="D218"/>
      <c r="E218"/>
      <c r="F218"/>
      <c r="G218"/>
      <c r="H218"/>
      <c r="I218" s="66">
        <v>0</v>
      </c>
      <c r="J218"/>
      <c r="K218"/>
      <c r="L218" s="66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</row>
    <row r="219" spans="1:82" x14ac:dyDescent="0.25">
      <c r="A219"/>
      <c r="B219"/>
      <c r="C219"/>
      <c r="D219"/>
      <c r="E219"/>
      <c r="F219"/>
      <c r="G219"/>
      <c r="H219"/>
      <c r="I219" s="66">
        <v>0</v>
      </c>
      <c r="J219"/>
      <c r="K219"/>
      <c r="L219" s="66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</row>
    <row r="220" spans="1:82" x14ac:dyDescent="0.25">
      <c r="A220"/>
      <c r="B220"/>
      <c r="C220"/>
      <c r="D220"/>
      <c r="E220"/>
      <c r="F220"/>
      <c r="G220"/>
      <c r="H220"/>
      <c r="I220" s="66">
        <v>0</v>
      </c>
      <c r="J220"/>
      <c r="K220"/>
      <c r="L220" s="66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</row>
    <row r="221" spans="1:82" x14ac:dyDescent="0.25">
      <c r="A221"/>
      <c r="B221"/>
      <c r="C221"/>
      <c r="D221"/>
      <c r="E221"/>
      <c r="F221"/>
      <c r="G221"/>
      <c r="H221"/>
      <c r="I221" s="66">
        <v>0</v>
      </c>
      <c r="J221"/>
      <c r="K221"/>
      <c r="L221" s="66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</row>
    <row r="222" spans="1:82" x14ac:dyDescent="0.25">
      <c r="A222"/>
      <c r="B222"/>
      <c r="C222"/>
      <c r="D222"/>
      <c r="E222"/>
      <c r="F222"/>
      <c r="G222"/>
      <c r="H222"/>
      <c r="I222" s="66">
        <v>0</v>
      </c>
      <c r="J222"/>
      <c r="K222"/>
      <c r="L222" s="66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</row>
    <row r="223" spans="1:82" x14ac:dyDescent="0.25">
      <c r="A223"/>
      <c r="B223"/>
      <c r="C223"/>
      <c r="D223"/>
      <c r="E223"/>
      <c r="F223"/>
      <c r="G223"/>
      <c r="H223"/>
      <c r="I223" s="66">
        <v>0</v>
      </c>
      <c r="J223"/>
      <c r="K223"/>
      <c r="L223" s="66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</row>
    <row r="224" spans="1:82" x14ac:dyDescent="0.25">
      <c r="A224"/>
      <c r="B224"/>
      <c r="C224"/>
      <c r="D224"/>
      <c r="E224"/>
      <c r="F224"/>
      <c r="G224"/>
      <c r="H224"/>
      <c r="I224" s="66">
        <v>0</v>
      </c>
      <c r="J224"/>
      <c r="K224"/>
      <c r="L224" s="66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</row>
    <row r="225" spans="1:82" x14ac:dyDescent="0.25">
      <c r="A225"/>
      <c r="B225"/>
      <c r="C225"/>
      <c r="D225"/>
      <c r="E225"/>
      <c r="F225"/>
      <c r="G225"/>
      <c r="H225"/>
      <c r="I225" s="66">
        <v>0</v>
      </c>
      <c r="J225"/>
      <c r="K225"/>
      <c r="L225" s="66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</row>
    <row r="226" spans="1:82" x14ac:dyDescent="0.25">
      <c r="A226"/>
      <c r="B226"/>
      <c r="C226"/>
      <c r="D226"/>
      <c r="E226"/>
      <c r="F226"/>
      <c r="G226"/>
      <c r="H226"/>
      <c r="I226" s="66">
        <v>0</v>
      </c>
      <c r="J226"/>
      <c r="K226"/>
      <c r="L226" s="6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</row>
    <row r="227" spans="1:82" x14ac:dyDescent="0.25">
      <c r="A227"/>
      <c r="B227"/>
      <c r="C227"/>
      <c r="D227"/>
      <c r="E227"/>
      <c r="F227"/>
      <c r="G227"/>
      <c r="H227"/>
      <c r="I227" s="66">
        <v>0</v>
      </c>
      <c r="J227"/>
      <c r="K227"/>
      <c r="L227" s="66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</row>
    <row r="228" spans="1:82" x14ac:dyDescent="0.25">
      <c r="A228"/>
      <c r="B228"/>
      <c r="C228"/>
      <c r="D228"/>
      <c r="E228"/>
      <c r="F228"/>
      <c r="G228"/>
      <c r="H228"/>
      <c r="I228" s="66">
        <v>0</v>
      </c>
      <c r="J228"/>
      <c r="K228"/>
      <c r="L228" s="66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</row>
    <row r="229" spans="1:82" x14ac:dyDescent="0.25">
      <c r="A229"/>
      <c r="B229"/>
      <c r="C229"/>
      <c r="D229"/>
      <c r="E229"/>
      <c r="F229"/>
      <c r="G229"/>
      <c r="H229"/>
      <c r="I229" s="66">
        <v>0</v>
      </c>
      <c r="J229"/>
      <c r="K229"/>
      <c r="L229" s="66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</row>
    <row r="230" spans="1:82" x14ac:dyDescent="0.25">
      <c r="A230"/>
      <c r="B230"/>
      <c r="C230"/>
      <c r="D230"/>
      <c r="E230"/>
      <c r="F230"/>
      <c r="G230"/>
      <c r="H230"/>
      <c r="I230" s="66">
        <v>0</v>
      </c>
      <c r="J230"/>
      <c r="K230"/>
      <c r="L230" s="66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</row>
    <row r="231" spans="1:82" x14ac:dyDescent="0.25">
      <c r="A231"/>
      <c r="B231"/>
      <c r="C231"/>
      <c r="D231"/>
      <c r="E231"/>
      <c r="F231"/>
      <c r="G231"/>
      <c r="H231"/>
      <c r="I231" s="66">
        <v>0</v>
      </c>
      <c r="J231"/>
      <c r="K231"/>
      <c r="L231" s="66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</row>
    <row r="232" spans="1:82" x14ac:dyDescent="0.25">
      <c r="A232"/>
      <c r="B232"/>
      <c r="C232"/>
      <c r="D232"/>
      <c r="E232"/>
      <c r="F232"/>
      <c r="G232"/>
      <c r="H232"/>
      <c r="I232" s="66">
        <v>0</v>
      </c>
      <c r="J232"/>
      <c r="K232"/>
      <c r="L232" s="66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</row>
    <row r="233" spans="1:82" x14ac:dyDescent="0.25">
      <c r="A233"/>
      <c r="B233"/>
      <c r="C233"/>
      <c r="D233"/>
      <c r="E233"/>
      <c r="F233"/>
      <c r="G233"/>
      <c r="H233"/>
      <c r="I233" s="66">
        <v>0</v>
      </c>
      <c r="J233"/>
      <c r="K233"/>
      <c r="L233" s="66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</row>
    <row r="234" spans="1:82" x14ac:dyDescent="0.25">
      <c r="A234"/>
      <c r="B234"/>
      <c r="C234"/>
      <c r="D234"/>
      <c r="E234"/>
      <c r="F234"/>
      <c r="G234"/>
      <c r="H234"/>
      <c r="I234" s="66">
        <v>0</v>
      </c>
      <c r="J234"/>
      <c r="K234"/>
      <c r="L234" s="66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</row>
    <row r="235" spans="1:82" x14ac:dyDescent="0.25">
      <c r="A235"/>
      <c r="B235"/>
      <c r="C235"/>
      <c r="D235"/>
      <c r="E235"/>
      <c r="F235"/>
      <c r="G235"/>
      <c r="H235"/>
      <c r="I235" s="66">
        <v>0</v>
      </c>
      <c r="J235"/>
      <c r="K235"/>
      <c r="L235" s="66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</row>
    <row r="236" spans="1:82" x14ac:dyDescent="0.25">
      <c r="A236"/>
      <c r="B236"/>
      <c r="C236"/>
      <c r="D236"/>
      <c r="E236"/>
      <c r="F236"/>
      <c r="G236"/>
      <c r="H236"/>
      <c r="I236" s="66">
        <v>0</v>
      </c>
      <c r="J236"/>
      <c r="K236"/>
      <c r="L236" s="6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</row>
    <row r="237" spans="1:82" x14ac:dyDescent="0.25">
      <c r="A237"/>
      <c r="B237"/>
      <c r="C237"/>
      <c r="D237"/>
      <c r="E237"/>
      <c r="F237"/>
      <c r="G237"/>
      <c r="H237"/>
      <c r="I237" s="66">
        <v>0</v>
      </c>
      <c r="J237"/>
      <c r="K237"/>
      <c r="L237" s="66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</row>
    <row r="238" spans="1:82" x14ac:dyDescent="0.25">
      <c r="A238"/>
      <c r="B238"/>
      <c r="C238"/>
      <c r="D238"/>
      <c r="E238"/>
      <c r="F238"/>
      <c r="G238"/>
      <c r="H238"/>
      <c r="I238" s="66">
        <v>0</v>
      </c>
      <c r="J238"/>
      <c r="K238"/>
      <c r="L238" s="66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</row>
    <row r="239" spans="1:82" x14ac:dyDescent="0.25">
      <c r="A239"/>
      <c r="B239"/>
      <c r="C239"/>
      <c r="D239"/>
      <c r="E239"/>
      <c r="F239"/>
      <c r="G239"/>
      <c r="H239"/>
      <c r="I239" s="66">
        <v>0</v>
      </c>
      <c r="J239"/>
      <c r="K239"/>
      <c r="L239" s="66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</row>
    <row r="240" spans="1:82" x14ac:dyDescent="0.25">
      <c r="A240"/>
      <c r="B240"/>
      <c r="C240"/>
      <c r="D240"/>
      <c r="E240"/>
      <c r="F240"/>
      <c r="G240"/>
      <c r="H240"/>
      <c r="I240" s="66">
        <v>0</v>
      </c>
      <c r="J240"/>
      <c r="K240"/>
      <c r="L240" s="66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</row>
    <row r="241" spans="1:82" x14ac:dyDescent="0.25">
      <c r="A241"/>
      <c r="B241"/>
      <c r="C241"/>
      <c r="D241"/>
      <c r="E241"/>
      <c r="F241"/>
      <c r="G241"/>
      <c r="H241"/>
      <c r="I241" s="66">
        <v>0</v>
      </c>
      <c r="J241"/>
      <c r="K241"/>
      <c r="L241" s="66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</row>
    <row r="242" spans="1:82" x14ac:dyDescent="0.25">
      <c r="A242"/>
      <c r="B242"/>
      <c r="C242"/>
      <c r="D242"/>
      <c r="E242"/>
      <c r="F242"/>
      <c r="G242"/>
      <c r="H242"/>
      <c r="I242" s="66">
        <v>0</v>
      </c>
      <c r="J242"/>
      <c r="K242"/>
      <c r="L242" s="66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</row>
    <row r="243" spans="1:82" x14ac:dyDescent="0.25">
      <c r="A243"/>
      <c r="B243"/>
      <c r="C243"/>
      <c r="D243"/>
      <c r="E243"/>
      <c r="F243"/>
      <c r="G243"/>
      <c r="H243"/>
      <c r="I243" s="66">
        <v>0</v>
      </c>
      <c r="J243"/>
      <c r="K243"/>
      <c r="L243" s="66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</row>
    <row r="244" spans="1:82" x14ac:dyDescent="0.25">
      <c r="A244"/>
      <c r="B244"/>
      <c r="C244"/>
      <c r="D244"/>
      <c r="E244"/>
      <c r="F244"/>
      <c r="G244"/>
      <c r="H244"/>
      <c r="I244" s="66">
        <v>0</v>
      </c>
      <c r="J244"/>
      <c r="K244"/>
      <c r="L244" s="66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</row>
    <row r="245" spans="1:82" x14ac:dyDescent="0.25">
      <c r="A245"/>
      <c r="B245"/>
      <c r="C245"/>
      <c r="D245"/>
      <c r="E245"/>
      <c r="F245"/>
      <c r="G245"/>
      <c r="H245"/>
      <c r="I245" s="66">
        <v>0</v>
      </c>
      <c r="J245"/>
      <c r="K245"/>
      <c r="L245" s="66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</row>
    <row r="246" spans="1:82" x14ac:dyDescent="0.25">
      <c r="A246"/>
      <c r="B246"/>
      <c r="C246"/>
      <c r="D246"/>
      <c r="E246"/>
      <c r="F246"/>
      <c r="G246"/>
      <c r="H246"/>
      <c r="I246" s="66">
        <v>0</v>
      </c>
      <c r="J246"/>
      <c r="K246"/>
      <c r="L246" s="6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</row>
    <row r="247" spans="1:82" x14ac:dyDescent="0.25">
      <c r="A247"/>
      <c r="B247"/>
      <c r="C247"/>
      <c r="D247"/>
      <c r="E247"/>
      <c r="F247"/>
      <c r="G247"/>
      <c r="H247"/>
      <c r="I247" s="66">
        <v>0</v>
      </c>
      <c r="J247"/>
      <c r="K247"/>
      <c r="L247" s="66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</row>
    <row r="248" spans="1:82" x14ac:dyDescent="0.25">
      <c r="A248"/>
      <c r="B248"/>
      <c r="C248"/>
      <c r="D248"/>
      <c r="E248"/>
      <c r="F248"/>
      <c r="G248"/>
      <c r="H248"/>
      <c r="I248" s="66">
        <v>0</v>
      </c>
      <c r="J248"/>
      <c r="K248"/>
      <c r="L248" s="66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</row>
    <row r="249" spans="1:82" x14ac:dyDescent="0.25">
      <c r="A249"/>
      <c r="B249"/>
      <c r="C249"/>
      <c r="D249"/>
      <c r="E249"/>
      <c r="F249"/>
      <c r="G249"/>
      <c r="H249"/>
      <c r="I249" s="66">
        <v>0</v>
      </c>
      <c r="J249"/>
      <c r="K249"/>
      <c r="L249" s="66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</row>
    <row r="250" spans="1:82" x14ac:dyDescent="0.25">
      <c r="A250"/>
      <c r="B250"/>
      <c r="C250"/>
      <c r="D250"/>
      <c r="E250"/>
      <c r="F250"/>
      <c r="G250"/>
      <c r="H250"/>
      <c r="I250" s="66">
        <v>0</v>
      </c>
      <c r="J250"/>
      <c r="K250"/>
      <c r="L250" s="66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</row>
    <row r="251" spans="1:82" x14ac:dyDescent="0.25">
      <c r="A251"/>
      <c r="B251"/>
      <c r="C251"/>
      <c r="D251"/>
      <c r="E251"/>
      <c r="F251"/>
      <c r="G251"/>
      <c r="H251"/>
      <c r="I251" s="66">
        <v>0</v>
      </c>
      <c r="J251"/>
      <c r="K251"/>
      <c r="L251" s="66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</row>
    <row r="252" spans="1:82" x14ac:dyDescent="0.25">
      <c r="A252"/>
      <c r="B252"/>
      <c r="C252"/>
      <c r="D252"/>
      <c r="E252"/>
      <c r="F252"/>
      <c r="G252"/>
      <c r="H252"/>
      <c r="I252" s="66">
        <v>0</v>
      </c>
      <c r="J252"/>
      <c r="K252"/>
      <c r="L252" s="66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</row>
    <row r="253" spans="1:82" x14ac:dyDescent="0.25">
      <c r="A253"/>
      <c r="B253"/>
      <c r="C253"/>
      <c r="D253"/>
      <c r="E253"/>
      <c r="F253"/>
      <c r="G253"/>
      <c r="H253"/>
      <c r="I253" s="66">
        <v>0</v>
      </c>
      <c r="J253"/>
      <c r="K253"/>
      <c r="L253" s="66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</row>
    <row r="254" spans="1:82" x14ac:dyDescent="0.25">
      <c r="A254"/>
      <c r="B254"/>
      <c r="C254"/>
      <c r="D254"/>
      <c r="E254"/>
      <c r="F254"/>
      <c r="G254"/>
      <c r="H254"/>
      <c r="I254" s="66">
        <v>0</v>
      </c>
      <c r="J254"/>
      <c r="K254"/>
      <c r="L254" s="66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</row>
    <row r="255" spans="1:82" x14ac:dyDescent="0.25">
      <c r="A255"/>
      <c r="B255"/>
      <c r="C255"/>
      <c r="D255"/>
      <c r="E255"/>
      <c r="F255"/>
      <c r="G255"/>
      <c r="H255"/>
      <c r="I255" s="66">
        <v>0</v>
      </c>
      <c r="J255"/>
      <c r="K255"/>
      <c r="L255" s="66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</row>
    <row r="256" spans="1:82" x14ac:dyDescent="0.25">
      <c r="A256"/>
      <c r="B256"/>
      <c r="C256"/>
      <c r="D256"/>
      <c r="E256"/>
      <c r="F256"/>
      <c r="G256"/>
      <c r="H256"/>
      <c r="I256" s="66">
        <v>0</v>
      </c>
      <c r="J256"/>
      <c r="K256"/>
      <c r="L256" s="6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</row>
    <row r="257" spans="1:82" x14ac:dyDescent="0.25">
      <c r="A257"/>
      <c r="B257"/>
      <c r="C257"/>
      <c r="D257"/>
      <c r="E257"/>
      <c r="F257"/>
      <c r="G257"/>
      <c r="H257"/>
      <c r="I257" s="66">
        <v>0</v>
      </c>
      <c r="J257"/>
      <c r="K257"/>
      <c r="L257" s="66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</row>
    <row r="258" spans="1:82" x14ac:dyDescent="0.25">
      <c r="A258"/>
      <c r="B258"/>
      <c r="C258"/>
      <c r="D258"/>
      <c r="E258"/>
      <c r="F258"/>
      <c r="G258"/>
      <c r="H258"/>
      <c r="I258" s="66">
        <v>0</v>
      </c>
      <c r="J258"/>
      <c r="K258"/>
      <c r="L258" s="66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</row>
    <row r="259" spans="1:82" x14ac:dyDescent="0.25">
      <c r="A259"/>
      <c r="B259"/>
      <c r="C259"/>
      <c r="D259"/>
      <c r="E259"/>
      <c r="F259"/>
      <c r="G259"/>
      <c r="H259"/>
      <c r="I259" s="66">
        <v>0</v>
      </c>
      <c r="J259"/>
      <c r="K259"/>
      <c r="L259" s="66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</row>
    <row r="260" spans="1:82" x14ac:dyDescent="0.25">
      <c r="A260"/>
      <c r="B260"/>
      <c r="C260"/>
      <c r="D260"/>
      <c r="E260"/>
      <c r="F260"/>
      <c r="G260"/>
      <c r="H260"/>
      <c r="I260" s="66">
        <v>0</v>
      </c>
      <c r="J260"/>
      <c r="K260"/>
      <c r="L260" s="66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</row>
    <row r="261" spans="1:82" x14ac:dyDescent="0.25">
      <c r="A261"/>
      <c r="B261"/>
      <c r="C261"/>
      <c r="D261"/>
      <c r="E261"/>
      <c r="F261"/>
      <c r="G261"/>
      <c r="H261"/>
      <c r="I261" s="66">
        <v>0</v>
      </c>
      <c r="J261"/>
      <c r="K261"/>
      <c r="L261" s="66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</row>
    <row r="262" spans="1:82" x14ac:dyDescent="0.25">
      <c r="A262"/>
      <c r="B262"/>
      <c r="C262"/>
      <c r="D262"/>
      <c r="E262"/>
      <c r="F262"/>
      <c r="G262"/>
      <c r="H262"/>
      <c r="I262" s="66">
        <v>0</v>
      </c>
      <c r="J262"/>
      <c r="K262"/>
      <c r="L262" s="66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</row>
    <row r="263" spans="1:82" x14ac:dyDescent="0.25">
      <c r="A263"/>
      <c r="B263"/>
      <c r="C263"/>
      <c r="D263"/>
      <c r="E263"/>
      <c r="F263"/>
      <c r="G263"/>
      <c r="H263"/>
      <c r="I263" s="66">
        <v>0</v>
      </c>
      <c r="J263"/>
      <c r="K263"/>
      <c r="L263" s="66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</row>
    <row r="264" spans="1:82" x14ac:dyDescent="0.25">
      <c r="A264"/>
      <c r="B264"/>
      <c r="C264"/>
      <c r="D264"/>
      <c r="E264"/>
      <c r="F264"/>
      <c r="G264"/>
      <c r="H264"/>
      <c r="I264" s="66">
        <v>0</v>
      </c>
      <c r="J264"/>
      <c r="K264"/>
      <c r="L264" s="66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</row>
    <row r="265" spans="1:82" x14ac:dyDescent="0.25">
      <c r="A265"/>
      <c r="B265"/>
      <c r="C265"/>
      <c r="D265"/>
      <c r="E265"/>
      <c r="F265"/>
      <c r="G265"/>
      <c r="H265"/>
      <c r="I265" s="66">
        <v>0</v>
      </c>
      <c r="J265"/>
      <c r="K265"/>
      <c r="L265" s="66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</row>
    <row r="266" spans="1:82" x14ac:dyDescent="0.25">
      <c r="A266"/>
      <c r="B266"/>
      <c r="C266"/>
      <c r="D266"/>
      <c r="E266"/>
      <c r="F266"/>
      <c r="G266"/>
      <c r="H266"/>
      <c r="I266" s="66">
        <v>0</v>
      </c>
      <c r="J266"/>
      <c r="K266"/>
      <c r="L266" s="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</row>
    <row r="267" spans="1:82" x14ac:dyDescent="0.25">
      <c r="A267"/>
      <c r="B267"/>
      <c r="C267"/>
      <c r="D267"/>
      <c r="E267"/>
      <c r="F267"/>
      <c r="G267"/>
      <c r="H267"/>
      <c r="I267" s="66">
        <v>0</v>
      </c>
      <c r="J267"/>
      <c r="K267"/>
      <c r="L267" s="66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</row>
    <row r="268" spans="1:82" x14ac:dyDescent="0.25">
      <c r="A268"/>
      <c r="B268"/>
      <c r="C268"/>
      <c r="D268"/>
      <c r="E268"/>
      <c r="F268"/>
      <c r="G268"/>
      <c r="H268"/>
      <c r="I268" s="66">
        <v>0</v>
      </c>
      <c r="J268"/>
      <c r="K268"/>
      <c r="L268" s="66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</row>
    <row r="269" spans="1:82" x14ac:dyDescent="0.25">
      <c r="A269"/>
      <c r="B269"/>
      <c r="C269"/>
      <c r="D269"/>
      <c r="E269"/>
      <c r="F269"/>
      <c r="G269"/>
      <c r="H269"/>
      <c r="I269" s="66">
        <v>0</v>
      </c>
      <c r="J269"/>
      <c r="K269"/>
      <c r="L269" s="66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</row>
    <row r="270" spans="1:82" x14ac:dyDescent="0.25">
      <c r="A270"/>
      <c r="B270"/>
      <c r="C270"/>
      <c r="D270"/>
      <c r="E270"/>
      <c r="F270"/>
      <c r="G270"/>
      <c r="H270"/>
      <c r="I270" s="66">
        <v>0</v>
      </c>
      <c r="J270"/>
      <c r="K270"/>
      <c r="L270" s="66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</row>
    <row r="271" spans="1:82" x14ac:dyDescent="0.25">
      <c r="A271"/>
      <c r="B271"/>
      <c r="C271"/>
      <c r="D271"/>
      <c r="E271"/>
      <c r="F271"/>
      <c r="G271"/>
      <c r="H271"/>
      <c r="I271" s="66">
        <v>0</v>
      </c>
      <c r="J271"/>
      <c r="K271"/>
      <c r="L271" s="66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</row>
    <row r="272" spans="1:82" x14ac:dyDescent="0.25">
      <c r="A272"/>
      <c r="B272"/>
      <c r="C272"/>
      <c r="D272"/>
      <c r="E272"/>
      <c r="F272"/>
      <c r="G272"/>
      <c r="H272"/>
      <c r="I272" s="66">
        <v>0</v>
      </c>
      <c r="J272"/>
      <c r="K272"/>
      <c r="L272" s="66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</row>
    <row r="273" spans="1:82" x14ac:dyDescent="0.25">
      <c r="A273"/>
      <c r="B273"/>
      <c r="C273"/>
      <c r="D273"/>
      <c r="E273"/>
      <c r="F273"/>
      <c r="G273"/>
      <c r="H273"/>
      <c r="I273" s="66">
        <v>0</v>
      </c>
      <c r="J273"/>
      <c r="K273"/>
      <c r="L273" s="66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</row>
    <row r="274" spans="1:82" x14ac:dyDescent="0.25">
      <c r="A274"/>
      <c r="B274"/>
      <c r="C274"/>
      <c r="D274"/>
      <c r="E274"/>
      <c r="F274"/>
      <c r="G274"/>
      <c r="H274"/>
      <c r="I274" s="66">
        <v>0</v>
      </c>
      <c r="J274"/>
      <c r="K274"/>
      <c r="L274" s="66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</row>
    <row r="275" spans="1:82" x14ac:dyDescent="0.25">
      <c r="A275"/>
      <c r="B275"/>
      <c r="C275"/>
      <c r="D275"/>
      <c r="E275"/>
      <c r="F275"/>
      <c r="G275"/>
      <c r="H275"/>
      <c r="I275" s="66">
        <v>0</v>
      </c>
      <c r="J275"/>
      <c r="K275"/>
      <c r="L275" s="66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</row>
    <row r="276" spans="1:82" x14ac:dyDescent="0.25">
      <c r="A276"/>
      <c r="B276"/>
      <c r="C276"/>
      <c r="D276"/>
      <c r="E276"/>
      <c r="F276"/>
      <c r="G276"/>
      <c r="H276"/>
      <c r="I276" s="66">
        <v>0</v>
      </c>
      <c r="J276"/>
      <c r="K276"/>
      <c r="L276" s="6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</row>
    <row r="277" spans="1:82" x14ac:dyDescent="0.25">
      <c r="A277"/>
      <c r="B277"/>
      <c r="C277"/>
      <c r="D277"/>
      <c r="E277"/>
      <c r="F277"/>
      <c r="G277"/>
      <c r="H277"/>
      <c r="I277" s="66">
        <v>0</v>
      </c>
      <c r="J277"/>
      <c r="K277"/>
      <c r="L277" s="66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</row>
    <row r="278" spans="1:82" x14ac:dyDescent="0.25">
      <c r="A278"/>
      <c r="B278"/>
      <c r="C278"/>
      <c r="D278"/>
      <c r="E278"/>
      <c r="F278"/>
      <c r="G278"/>
      <c r="H278"/>
      <c r="I278" s="66">
        <v>0</v>
      </c>
      <c r="J278"/>
      <c r="K278"/>
      <c r="L278" s="66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</row>
    <row r="279" spans="1:82" x14ac:dyDescent="0.25">
      <c r="A279"/>
      <c r="B279"/>
      <c r="C279"/>
      <c r="D279"/>
      <c r="E279"/>
      <c r="F279"/>
      <c r="G279"/>
      <c r="H279"/>
      <c r="I279" s="66">
        <v>0</v>
      </c>
      <c r="J279"/>
      <c r="K279"/>
      <c r="L279" s="66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</row>
    <row r="280" spans="1:82" x14ac:dyDescent="0.25">
      <c r="A280"/>
      <c r="B280"/>
      <c r="C280"/>
      <c r="D280"/>
      <c r="E280"/>
      <c r="F280"/>
      <c r="G280"/>
      <c r="H280"/>
      <c r="I280" s="66">
        <v>0</v>
      </c>
      <c r="J280"/>
      <c r="K280"/>
      <c r="L280" s="66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</row>
    <row r="281" spans="1:82" x14ac:dyDescent="0.25">
      <c r="A281"/>
      <c r="B281"/>
      <c r="C281"/>
      <c r="D281"/>
      <c r="E281"/>
      <c r="F281"/>
      <c r="G281"/>
      <c r="H281"/>
      <c r="I281" s="66">
        <v>0</v>
      </c>
      <c r="J281"/>
      <c r="K281"/>
      <c r="L281" s="66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</row>
    <row r="282" spans="1:82" x14ac:dyDescent="0.25">
      <c r="A282"/>
      <c r="B282"/>
      <c r="C282"/>
      <c r="D282"/>
      <c r="E282"/>
      <c r="F282"/>
      <c r="G282"/>
      <c r="H282"/>
      <c r="I282" s="66">
        <v>0</v>
      </c>
      <c r="J282"/>
      <c r="K282"/>
      <c r="L282" s="66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</row>
    <row r="283" spans="1:82" x14ac:dyDescent="0.25">
      <c r="A283"/>
      <c r="B283"/>
      <c r="C283"/>
      <c r="D283"/>
      <c r="E283"/>
      <c r="F283"/>
      <c r="G283"/>
      <c r="H283"/>
      <c r="I283" s="66">
        <v>0</v>
      </c>
      <c r="J283"/>
      <c r="K283"/>
      <c r="L283" s="66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</row>
    <row r="284" spans="1:82" x14ac:dyDescent="0.25">
      <c r="A284"/>
      <c r="B284"/>
      <c r="C284"/>
      <c r="D284"/>
      <c r="E284"/>
      <c r="F284"/>
      <c r="G284"/>
      <c r="H284"/>
      <c r="I284" s="66">
        <v>0</v>
      </c>
      <c r="J284"/>
      <c r="K284"/>
      <c r="L284" s="66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</row>
    <row r="285" spans="1:82" x14ac:dyDescent="0.25">
      <c r="A285"/>
      <c r="B285"/>
      <c r="C285"/>
      <c r="D285"/>
      <c r="E285"/>
      <c r="F285"/>
      <c r="G285"/>
      <c r="H285"/>
      <c r="I285" s="66">
        <v>0</v>
      </c>
      <c r="J285"/>
      <c r="K285"/>
      <c r="L285" s="66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</row>
    <row r="286" spans="1:82" x14ac:dyDescent="0.25">
      <c r="A286"/>
      <c r="B286"/>
      <c r="C286"/>
      <c r="D286"/>
      <c r="E286"/>
      <c r="F286"/>
      <c r="G286"/>
      <c r="H286"/>
      <c r="I286" s="66">
        <v>0</v>
      </c>
      <c r="J286"/>
      <c r="K286"/>
      <c r="L286" s="6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</row>
    <row r="287" spans="1:82" x14ac:dyDescent="0.25">
      <c r="A287"/>
      <c r="B287"/>
      <c r="C287"/>
      <c r="D287"/>
      <c r="E287"/>
      <c r="F287"/>
      <c r="G287"/>
      <c r="H287"/>
      <c r="I287" s="66">
        <v>0</v>
      </c>
      <c r="J287"/>
      <c r="K287"/>
      <c r="L287" s="66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</row>
    <row r="288" spans="1:82" x14ac:dyDescent="0.25">
      <c r="A288"/>
      <c r="B288"/>
      <c r="C288"/>
      <c r="D288"/>
      <c r="E288"/>
      <c r="F288"/>
      <c r="G288"/>
      <c r="H288"/>
      <c r="I288" s="66">
        <v>0</v>
      </c>
      <c r="J288"/>
      <c r="K288"/>
      <c r="L288" s="66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</row>
    <row r="289" spans="1:82" x14ac:dyDescent="0.25">
      <c r="A289"/>
      <c r="B289"/>
      <c r="C289"/>
      <c r="D289"/>
      <c r="E289"/>
      <c r="F289"/>
      <c r="G289"/>
      <c r="H289"/>
      <c r="I289" s="66">
        <v>0</v>
      </c>
      <c r="J289"/>
      <c r="K289"/>
      <c r="L289" s="66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</row>
    <row r="290" spans="1:82" x14ac:dyDescent="0.25">
      <c r="A290"/>
      <c r="B290"/>
      <c r="C290"/>
      <c r="D290"/>
      <c r="E290"/>
      <c r="F290"/>
      <c r="G290"/>
      <c r="H290"/>
      <c r="I290" s="66">
        <v>0</v>
      </c>
      <c r="J290"/>
      <c r="K290"/>
      <c r="L290" s="66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</row>
    <row r="291" spans="1:82" x14ac:dyDescent="0.25">
      <c r="A291"/>
      <c r="B291"/>
      <c r="C291"/>
      <c r="D291"/>
      <c r="E291"/>
      <c r="F291"/>
      <c r="G291"/>
      <c r="H291"/>
      <c r="I291" s="66">
        <v>0</v>
      </c>
      <c r="J291"/>
      <c r="K291"/>
      <c r="L291" s="66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</row>
    <row r="292" spans="1:82" x14ac:dyDescent="0.25">
      <c r="A292"/>
      <c r="B292"/>
      <c r="C292"/>
      <c r="D292"/>
      <c r="E292"/>
      <c r="F292"/>
      <c r="G292"/>
      <c r="H292"/>
      <c r="I292" s="66">
        <v>0</v>
      </c>
      <c r="J292"/>
      <c r="K292"/>
      <c r="L292" s="66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</row>
    <row r="293" spans="1:82" x14ac:dyDescent="0.25">
      <c r="A293"/>
      <c r="B293"/>
      <c r="C293"/>
      <c r="D293"/>
      <c r="E293"/>
      <c r="F293"/>
      <c r="G293"/>
      <c r="H293"/>
      <c r="I293" s="66">
        <v>0</v>
      </c>
      <c r="J293"/>
      <c r="K293"/>
      <c r="L293" s="66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</row>
    <row r="294" spans="1:82" x14ac:dyDescent="0.25">
      <c r="A294"/>
      <c r="B294"/>
      <c r="C294"/>
      <c r="D294"/>
      <c r="E294"/>
      <c r="F294"/>
      <c r="G294"/>
      <c r="H294"/>
      <c r="I294" s="66">
        <v>0</v>
      </c>
      <c r="J294"/>
      <c r="K294"/>
      <c r="L294" s="66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</row>
    <row r="295" spans="1:82" x14ac:dyDescent="0.25">
      <c r="A295"/>
      <c r="B295"/>
      <c r="C295"/>
      <c r="D295"/>
      <c r="E295"/>
      <c r="F295"/>
      <c r="G295"/>
      <c r="H295"/>
      <c r="I295" s="66">
        <v>0</v>
      </c>
      <c r="J295"/>
      <c r="K295"/>
      <c r="L295" s="66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</row>
    <row r="296" spans="1:82" x14ac:dyDescent="0.25">
      <c r="A296"/>
      <c r="B296"/>
      <c r="C296"/>
      <c r="D296"/>
      <c r="E296"/>
      <c r="F296"/>
      <c r="G296"/>
      <c r="H296"/>
      <c r="I296" s="66">
        <v>0</v>
      </c>
      <c r="J296"/>
      <c r="K296"/>
      <c r="L296" s="6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</row>
    <row r="297" spans="1:82" x14ac:dyDescent="0.25">
      <c r="A297"/>
      <c r="B297"/>
      <c r="C297"/>
      <c r="D297"/>
      <c r="E297"/>
      <c r="F297"/>
      <c r="G297"/>
      <c r="H297"/>
      <c r="I297" s="66">
        <v>0</v>
      </c>
      <c r="J297"/>
      <c r="K297"/>
      <c r="L297" s="66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</row>
    <row r="298" spans="1:82" x14ac:dyDescent="0.25">
      <c r="A298"/>
      <c r="B298"/>
      <c r="C298"/>
      <c r="D298"/>
      <c r="E298"/>
      <c r="F298"/>
      <c r="G298"/>
      <c r="H298"/>
      <c r="I298" s="66">
        <v>0</v>
      </c>
      <c r="J298"/>
      <c r="K298"/>
      <c r="L298" s="66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</row>
    <row r="299" spans="1:82" x14ac:dyDescent="0.25">
      <c r="A299"/>
      <c r="B299"/>
      <c r="C299"/>
      <c r="D299"/>
      <c r="E299"/>
      <c r="F299"/>
      <c r="G299"/>
      <c r="H299"/>
      <c r="I299" s="66">
        <v>0</v>
      </c>
      <c r="J299"/>
      <c r="K299"/>
      <c r="L299" s="66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</row>
    <row r="300" spans="1:82" x14ac:dyDescent="0.25">
      <c r="A300"/>
      <c r="B300"/>
      <c r="C300"/>
      <c r="D300"/>
      <c r="E300"/>
      <c r="F300"/>
      <c r="G300"/>
      <c r="H300"/>
      <c r="I300" s="66">
        <v>0</v>
      </c>
      <c r="J300"/>
      <c r="K300"/>
      <c r="L300" s="66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</row>
    <row r="301" spans="1:82" x14ac:dyDescent="0.25">
      <c r="A301"/>
      <c r="B301"/>
      <c r="C301"/>
      <c r="D301"/>
      <c r="E301"/>
      <c r="F301"/>
      <c r="G301"/>
      <c r="H301"/>
      <c r="I301" s="66">
        <v>0</v>
      </c>
      <c r="J301"/>
      <c r="K301"/>
      <c r="L301" s="66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</row>
    <row r="302" spans="1:82" x14ac:dyDescent="0.25">
      <c r="A302"/>
      <c r="B302"/>
      <c r="C302"/>
      <c r="D302"/>
      <c r="E302"/>
      <c r="F302"/>
      <c r="G302"/>
      <c r="H302"/>
      <c r="I302" s="66">
        <v>0</v>
      </c>
      <c r="J302"/>
      <c r="K302"/>
      <c r="L302" s="66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</row>
    <row r="303" spans="1:82" x14ac:dyDescent="0.25">
      <c r="A303"/>
      <c r="B303"/>
      <c r="C303"/>
      <c r="D303"/>
      <c r="E303"/>
      <c r="F303"/>
      <c r="G303"/>
      <c r="H303"/>
      <c r="I303" s="66">
        <v>0</v>
      </c>
      <c r="J303"/>
      <c r="K303"/>
      <c r="L303" s="66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</row>
    <row r="304" spans="1:82" x14ac:dyDescent="0.25">
      <c r="A304"/>
      <c r="B304"/>
      <c r="C304"/>
      <c r="D304"/>
      <c r="E304"/>
      <c r="F304"/>
      <c r="G304"/>
      <c r="H304"/>
      <c r="I304" s="66">
        <v>0</v>
      </c>
      <c r="J304"/>
      <c r="K304"/>
      <c r="L304" s="66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</row>
    <row r="305" spans="1:82" x14ac:dyDescent="0.25">
      <c r="A305"/>
      <c r="B305"/>
      <c r="C305"/>
      <c r="D305"/>
      <c r="E305"/>
      <c r="F305"/>
      <c r="G305"/>
      <c r="H305"/>
      <c r="I305" s="66">
        <v>0</v>
      </c>
      <c r="J305"/>
      <c r="K305"/>
      <c r="L305" s="66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</row>
    <row r="306" spans="1:82" x14ac:dyDescent="0.25">
      <c r="A306"/>
      <c r="B306"/>
      <c r="C306"/>
      <c r="D306"/>
      <c r="E306"/>
      <c r="F306"/>
      <c r="G306"/>
      <c r="H306"/>
      <c r="I306" s="66">
        <v>0</v>
      </c>
      <c r="J306"/>
      <c r="K306"/>
      <c r="L306" s="6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</row>
    <row r="307" spans="1:82" x14ac:dyDescent="0.25">
      <c r="A307"/>
      <c r="B307"/>
      <c r="C307"/>
      <c r="D307"/>
      <c r="E307"/>
      <c r="F307"/>
      <c r="G307"/>
      <c r="H307"/>
      <c r="I307" s="66">
        <v>0</v>
      </c>
      <c r="J307"/>
      <c r="K307"/>
      <c r="L307" s="66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</row>
    <row r="308" spans="1:82" x14ac:dyDescent="0.25">
      <c r="A308"/>
      <c r="B308"/>
      <c r="C308"/>
      <c r="D308"/>
      <c r="E308"/>
      <c r="F308"/>
      <c r="G308"/>
      <c r="H308"/>
      <c r="I308" s="66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</row>
    <row r="309" spans="1:82" x14ac:dyDescent="0.25">
      <c r="A309"/>
      <c r="B309"/>
      <c r="C309"/>
      <c r="D309"/>
      <c r="E309"/>
      <c r="F309"/>
      <c r="G309"/>
      <c r="H309"/>
      <c r="I309" s="66">
        <v>0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</row>
    <row r="310" spans="1:82" x14ac:dyDescent="0.25">
      <c r="A310"/>
      <c r="B310"/>
      <c r="C310"/>
      <c r="D310"/>
      <c r="E310"/>
      <c r="F310"/>
      <c r="G310"/>
      <c r="H310"/>
      <c r="I310" s="66">
        <v>0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</row>
    <row r="311" spans="1:82" x14ac:dyDescent="0.25">
      <c r="A311"/>
      <c r="B311"/>
      <c r="C311"/>
      <c r="D311"/>
      <c r="E311"/>
      <c r="F311"/>
      <c r="G311"/>
      <c r="H311"/>
      <c r="I311" s="66">
        <v>0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</row>
    <row r="312" spans="1:82" x14ac:dyDescent="0.25">
      <c r="A312"/>
      <c r="B312"/>
      <c r="C312"/>
      <c r="D312"/>
      <c r="E312"/>
      <c r="F312"/>
      <c r="G312"/>
      <c r="H312"/>
      <c r="I312" s="66">
        <v>0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</row>
    <row r="313" spans="1:82" x14ac:dyDescent="0.25">
      <c r="A313"/>
      <c r="B313"/>
      <c r="C313"/>
      <c r="D313"/>
      <c r="E313"/>
      <c r="F313"/>
      <c r="G313"/>
      <c r="H313"/>
      <c r="I313" s="66">
        <v>0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</row>
    <row r="314" spans="1:82" x14ac:dyDescent="0.25">
      <c r="A314"/>
      <c r="B314"/>
      <c r="C314"/>
      <c r="D314"/>
      <c r="E314"/>
      <c r="F314"/>
      <c r="G314"/>
      <c r="H314"/>
      <c r="I314" s="66">
        <v>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</row>
    <row r="315" spans="1:82" x14ac:dyDescent="0.25">
      <c r="A315"/>
      <c r="B315"/>
      <c r="C315"/>
      <c r="D315"/>
      <c r="E315"/>
      <c r="F315"/>
      <c r="G315"/>
      <c r="H315"/>
      <c r="I315" s="66">
        <v>0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</row>
    <row r="316" spans="1:82" x14ac:dyDescent="0.25">
      <c r="A316"/>
      <c r="B316"/>
      <c r="C316"/>
      <c r="D316"/>
      <c r="E316"/>
      <c r="F316"/>
      <c r="G316"/>
      <c r="H316"/>
      <c r="I316" s="66">
        <v>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</row>
    <row r="317" spans="1:82" x14ac:dyDescent="0.25">
      <c r="A317"/>
      <c r="B317"/>
      <c r="C317"/>
      <c r="D317"/>
      <c r="E317"/>
      <c r="F317"/>
      <c r="G317"/>
      <c r="H317"/>
      <c r="I317" s="66">
        <v>0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</row>
    <row r="318" spans="1:82" x14ac:dyDescent="0.25">
      <c r="A318"/>
      <c r="B318"/>
      <c r="C318"/>
      <c r="D318"/>
      <c r="E318"/>
      <c r="F318"/>
      <c r="G318"/>
      <c r="H318"/>
      <c r="I318" s="66">
        <v>0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</row>
    <row r="319" spans="1:82" x14ac:dyDescent="0.25">
      <c r="A319"/>
      <c r="B319"/>
      <c r="C319"/>
      <c r="D319"/>
      <c r="E319"/>
      <c r="F319"/>
      <c r="G319"/>
      <c r="H319"/>
      <c r="I319" s="66">
        <v>0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</row>
    <row r="320" spans="1:82" x14ac:dyDescent="0.25">
      <c r="A320"/>
      <c r="B320"/>
      <c r="C320"/>
      <c r="D320"/>
      <c r="E320"/>
      <c r="F320"/>
      <c r="G320"/>
      <c r="H320"/>
      <c r="I320" s="66">
        <v>0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</row>
    <row r="321" spans="1:82" x14ac:dyDescent="0.25">
      <c r="A321"/>
      <c r="B321"/>
      <c r="C321"/>
      <c r="D321"/>
      <c r="E321"/>
      <c r="F321"/>
      <c r="G321"/>
      <c r="H321"/>
      <c r="I321" s="66">
        <v>0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</row>
    <row r="322" spans="1:82" x14ac:dyDescent="0.25">
      <c r="A322"/>
      <c r="B322"/>
      <c r="C322"/>
      <c r="D322"/>
      <c r="E322"/>
      <c r="F322"/>
      <c r="G322"/>
      <c r="H322"/>
      <c r="I322" s="66">
        <v>0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</row>
    <row r="323" spans="1:82" x14ac:dyDescent="0.25">
      <c r="A323"/>
      <c r="B323"/>
      <c r="C323"/>
      <c r="D323"/>
      <c r="E323"/>
      <c r="F323"/>
      <c r="G323"/>
      <c r="H323"/>
      <c r="I323" s="66">
        <v>0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</row>
    <row r="324" spans="1:82" x14ac:dyDescent="0.25">
      <c r="A324"/>
      <c r="B324"/>
      <c r="C324"/>
      <c r="D324"/>
      <c r="E324"/>
      <c r="F324"/>
      <c r="G324"/>
      <c r="H324"/>
      <c r="I324" s="66">
        <v>0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</row>
    <row r="325" spans="1:82" x14ac:dyDescent="0.25">
      <c r="A325"/>
      <c r="B325"/>
      <c r="C325"/>
      <c r="D325"/>
      <c r="E325"/>
      <c r="F325"/>
      <c r="G325"/>
      <c r="H325"/>
      <c r="I325" s="66">
        <v>0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</row>
    <row r="326" spans="1:82" x14ac:dyDescent="0.25">
      <c r="A326"/>
      <c r="B326"/>
      <c r="C326"/>
      <c r="D326"/>
      <c r="E326"/>
      <c r="F326"/>
      <c r="G326"/>
      <c r="H326"/>
      <c r="I326" s="66">
        <v>0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</row>
    <row r="327" spans="1:82" x14ac:dyDescent="0.25">
      <c r="A327"/>
      <c r="B327"/>
      <c r="C327"/>
      <c r="D327"/>
      <c r="E327"/>
      <c r="F327"/>
      <c r="G327"/>
      <c r="H327"/>
      <c r="I327" s="66">
        <v>0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</row>
    <row r="328" spans="1:82" x14ac:dyDescent="0.25">
      <c r="A328"/>
      <c r="B328"/>
      <c r="C328"/>
      <c r="D328"/>
      <c r="E328"/>
      <c r="F328"/>
      <c r="G328"/>
      <c r="H328"/>
      <c r="I328" s="66">
        <v>0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</row>
    <row r="329" spans="1:82" x14ac:dyDescent="0.25">
      <c r="A329"/>
      <c r="B329"/>
      <c r="C329"/>
      <c r="D329"/>
      <c r="E329"/>
      <c r="F329"/>
      <c r="G329"/>
      <c r="H329"/>
      <c r="I329" s="66">
        <v>0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</row>
    <row r="330" spans="1:82" x14ac:dyDescent="0.25">
      <c r="A330"/>
      <c r="B330"/>
      <c r="C330"/>
      <c r="D330"/>
      <c r="E330"/>
      <c r="F330"/>
      <c r="G330"/>
      <c r="H330"/>
      <c r="I330" s="66">
        <v>0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</row>
    <row r="331" spans="1:82" x14ac:dyDescent="0.25">
      <c r="A331"/>
      <c r="B331"/>
      <c r="C331"/>
      <c r="D331"/>
      <c r="E331"/>
      <c r="F331"/>
      <c r="G331"/>
      <c r="H331"/>
      <c r="I331" s="66">
        <v>0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</row>
    <row r="332" spans="1:82" x14ac:dyDescent="0.25">
      <c r="A332"/>
      <c r="B332"/>
      <c r="C332"/>
      <c r="D332"/>
      <c r="E332"/>
      <c r="F332"/>
      <c r="G332"/>
      <c r="H332"/>
      <c r="I332" s="66">
        <v>0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</row>
    <row r="333" spans="1:82" x14ac:dyDescent="0.25">
      <c r="A333"/>
      <c r="B333"/>
      <c r="C333"/>
      <c r="D333"/>
      <c r="E333"/>
      <c r="F333"/>
      <c r="G333"/>
      <c r="H333"/>
      <c r="I333" s="66">
        <v>0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</row>
    <row r="334" spans="1:82" x14ac:dyDescent="0.25">
      <c r="A334"/>
      <c r="B334"/>
      <c r="C334"/>
      <c r="D334"/>
      <c r="E334"/>
      <c r="F334"/>
      <c r="G334"/>
      <c r="H334"/>
      <c r="I334" s="66">
        <v>0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</row>
    <row r="335" spans="1:82" x14ac:dyDescent="0.25">
      <c r="A335"/>
      <c r="B335"/>
      <c r="C335"/>
      <c r="D335"/>
      <c r="E335"/>
      <c r="F335"/>
      <c r="G335"/>
      <c r="H335"/>
      <c r="I335" s="66">
        <v>0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</row>
    <row r="336" spans="1:82" x14ac:dyDescent="0.25">
      <c r="A336"/>
      <c r="B336"/>
      <c r="C336"/>
      <c r="D336"/>
      <c r="E336"/>
      <c r="F336"/>
      <c r="G336"/>
      <c r="H336"/>
      <c r="I336" s="66">
        <v>0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</row>
    <row r="337" spans="1:82" x14ac:dyDescent="0.25">
      <c r="A337"/>
      <c r="B337"/>
      <c r="C337"/>
      <c r="D337"/>
      <c r="E337"/>
      <c r="F337"/>
      <c r="G337"/>
      <c r="H337"/>
      <c r="I337" s="66">
        <v>0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</row>
    <row r="338" spans="1:82" x14ac:dyDescent="0.25">
      <c r="A338"/>
      <c r="B338"/>
      <c r="C338"/>
      <c r="D338"/>
      <c r="E338"/>
      <c r="F338"/>
      <c r="G338"/>
      <c r="H338"/>
      <c r="I338" s="66">
        <v>0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</row>
    <row r="339" spans="1:82" x14ac:dyDescent="0.25">
      <c r="A339"/>
      <c r="B339"/>
      <c r="C339"/>
      <c r="D339"/>
      <c r="E339"/>
      <c r="F339"/>
      <c r="G339"/>
      <c r="H339"/>
      <c r="I339" s="66">
        <v>0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</row>
    <row r="340" spans="1:82" x14ac:dyDescent="0.25">
      <c r="A340"/>
      <c r="B340"/>
      <c r="C340"/>
      <c r="D340"/>
      <c r="E340"/>
      <c r="F340"/>
      <c r="G340"/>
      <c r="H340"/>
      <c r="I340" s="66">
        <v>0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</row>
    <row r="341" spans="1:82" x14ac:dyDescent="0.25">
      <c r="A341"/>
      <c r="B341"/>
      <c r="C341"/>
      <c r="D341"/>
      <c r="E341"/>
      <c r="F341"/>
      <c r="G341"/>
      <c r="H341"/>
      <c r="I341" s="66">
        <v>0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</row>
    <row r="342" spans="1:82" x14ac:dyDescent="0.25">
      <c r="A342"/>
      <c r="B342"/>
      <c r="C342"/>
      <c r="D342"/>
      <c r="E342"/>
      <c r="F342"/>
      <c r="G342"/>
      <c r="H342"/>
      <c r="I342" s="66">
        <v>0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</row>
    <row r="343" spans="1:82" x14ac:dyDescent="0.25">
      <c r="A343"/>
      <c r="B343"/>
      <c r="C343"/>
      <c r="D343"/>
      <c r="E343"/>
      <c r="F343"/>
      <c r="G343"/>
      <c r="H343"/>
      <c r="I343" s="66">
        <v>0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</row>
    <row r="344" spans="1:82" x14ac:dyDescent="0.25">
      <c r="A344"/>
      <c r="B344"/>
      <c r="C344"/>
      <c r="D344"/>
      <c r="E344"/>
      <c r="F344"/>
      <c r="G344"/>
      <c r="H344"/>
      <c r="I344" s="66">
        <v>0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</row>
    <row r="345" spans="1:82" x14ac:dyDescent="0.25">
      <c r="A345"/>
      <c r="B345"/>
      <c r="C345"/>
      <c r="D345"/>
      <c r="E345"/>
      <c r="F345"/>
      <c r="G345"/>
      <c r="H345"/>
      <c r="I345" s="66">
        <v>0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</row>
    <row r="346" spans="1:82" x14ac:dyDescent="0.25">
      <c r="A346"/>
      <c r="B346"/>
      <c r="C346"/>
      <c r="D346"/>
      <c r="E346"/>
      <c r="F346"/>
      <c r="G346"/>
      <c r="H346"/>
      <c r="I346" s="66">
        <v>0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</row>
    <row r="347" spans="1:82" x14ac:dyDescent="0.25">
      <c r="A347"/>
      <c r="B347"/>
      <c r="C347"/>
      <c r="D347"/>
      <c r="E347"/>
      <c r="F347"/>
      <c r="G347"/>
      <c r="H347"/>
      <c r="I347" s="66">
        <v>0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</row>
    <row r="348" spans="1:82" x14ac:dyDescent="0.25">
      <c r="A348"/>
      <c r="B348"/>
      <c r="C348"/>
      <c r="D348"/>
      <c r="E348"/>
      <c r="F348"/>
      <c r="G348"/>
      <c r="H348"/>
      <c r="I348" s="66">
        <v>0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</row>
    <row r="349" spans="1:82" x14ac:dyDescent="0.25">
      <c r="A349"/>
      <c r="B349"/>
      <c r="C349"/>
      <c r="D349"/>
      <c r="E349"/>
      <c r="F349"/>
      <c r="G349"/>
      <c r="H349"/>
      <c r="I349" s="66">
        <v>0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</row>
    <row r="350" spans="1:82" x14ac:dyDescent="0.25">
      <c r="A350"/>
      <c r="B350"/>
      <c r="C350"/>
      <c r="D350"/>
      <c r="E350"/>
      <c r="F350"/>
      <c r="G350"/>
      <c r="H350"/>
      <c r="I350" s="66">
        <v>0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</row>
    <row r="351" spans="1:82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</row>
    <row r="352" spans="1:82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</row>
    <row r="353" spans="1:82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</row>
    <row r="354" spans="1:82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</row>
    <row r="355" spans="1:82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</row>
    <row r="356" spans="1:82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</row>
    <row r="357" spans="1:82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</row>
    <row r="358" spans="1:82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</row>
    <row r="359" spans="1:82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</row>
    <row r="360" spans="1:82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</row>
    <row r="361" spans="1:82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</row>
    <row r="362" spans="1:82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</row>
    <row r="363" spans="1:82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</row>
    <row r="364" spans="1:82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</row>
    <row r="365" spans="1:82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</row>
    <row r="366" spans="1:82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</row>
    <row r="367" spans="1:82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</row>
    <row r="368" spans="1:82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</row>
    <row r="369" spans="1:82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</row>
    <row r="370" spans="1:82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</row>
    <row r="371" spans="1:82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</row>
    <row r="372" spans="1:82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</row>
    <row r="373" spans="1:82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</row>
    <row r="374" spans="1:82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</row>
    <row r="375" spans="1:82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</row>
    <row r="376" spans="1:82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</row>
    <row r="377" spans="1:82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</row>
    <row r="378" spans="1:82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</row>
    <row r="379" spans="1:82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</row>
    <row r="380" spans="1:82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</row>
    <row r="381" spans="1:82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</row>
    <row r="382" spans="1:82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</row>
    <row r="383" spans="1:82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</row>
    <row r="384" spans="1:82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</row>
    <row r="385" spans="1:82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</row>
    <row r="386" spans="1:82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</row>
    <row r="387" spans="1:82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</row>
    <row r="388" spans="1:82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</row>
    <row r="389" spans="1:82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</row>
    <row r="390" spans="1:82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</row>
    <row r="391" spans="1:82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</row>
    <row r="392" spans="1:82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</row>
    <row r="393" spans="1:82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</row>
    <row r="394" spans="1:82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</row>
    <row r="395" spans="1:82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</row>
    <row r="396" spans="1:82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</row>
    <row r="397" spans="1:82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</row>
    <row r="398" spans="1:82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</row>
    <row r="399" spans="1:82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</row>
    <row r="400" spans="1:82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</row>
    <row r="401" spans="1:82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</row>
    <row r="402" spans="1:82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</row>
    <row r="403" spans="1:82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</row>
    <row r="404" spans="1:82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</row>
    <row r="405" spans="1:82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</row>
    <row r="406" spans="1:82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</row>
    <row r="407" spans="1:82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</row>
    <row r="408" spans="1:82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</row>
    <row r="409" spans="1:82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</row>
    <row r="410" spans="1:82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</row>
    <row r="411" spans="1:82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</row>
    <row r="412" spans="1:82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</row>
    <row r="413" spans="1:82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</row>
    <row r="414" spans="1:82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</row>
    <row r="415" spans="1:82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</row>
    <row r="416" spans="1:82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</row>
    <row r="417" spans="1:82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</row>
    <row r="418" spans="1:82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</row>
    <row r="419" spans="1:82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</row>
    <row r="420" spans="1:82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</row>
    <row r="421" spans="1:82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</row>
    <row r="422" spans="1:82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</row>
    <row r="423" spans="1:82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</row>
    <row r="424" spans="1:82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</row>
    <row r="425" spans="1:82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</row>
    <row r="426" spans="1:82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</row>
    <row r="427" spans="1:82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</row>
    <row r="428" spans="1:82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</row>
    <row r="429" spans="1:82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</row>
    <row r="430" spans="1:82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</row>
    <row r="431" spans="1:82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</row>
    <row r="432" spans="1:82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</row>
    <row r="433" spans="1:82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</row>
    <row r="434" spans="1:82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</row>
    <row r="435" spans="1:82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</row>
    <row r="436" spans="1:82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</row>
    <row r="437" spans="1:82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</row>
    <row r="438" spans="1:82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</row>
    <row r="439" spans="1:82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</row>
    <row r="440" spans="1:82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</row>
    <row r="441" spans="1:82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</row>
    <row r="442" spans="1:82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</row>
    <row r="443" spans="1:82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</row>
    <row r="444" spans="1:82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</row>
    <row r="445" spans="1:82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</row>
    <row r="446" spans="1:82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</row>
    <row r="447" spans="1:82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</row>
    <row r="448" spans="1:82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</row>
    <row r="449" spans="1:82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</row>
    <row r="450" spans="1:82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</row>
    <row r="451" spans="1:82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</row>
    <row r="452" spans="1:82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</row>
    <row r="453" spans="1:82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</row>
    <row r="454" spans="1:82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</row>
    <row r="455" spans="1:82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</row>
    <row r="456" spans="1:82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</row>
    <row r="457" spans="1:82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</row>
    <row r="458" spans="1:82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</row>
    <row r="459" spans="1:82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</row>
    <row r="460" spans="1:82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</row>
    <row r="461" spans="1:82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</row>
    <row r="462" spans="1:82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</row>
    <row r="463" spans="1:82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</row>
    <row r="464" spans="1:82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</row>
    <row r="465" spans="1:82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</row>
    <row r="466" spans="1:82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</row>
    <row r="467" spans="1:82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</row>
    <row r="468" spans="1:82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</row>
    <row r="469" spans="1:82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</row>
    <row r="470" spans="1:82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</row>
    <row r="471" spans="1:82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</row>
    <row r="472" spans="1:82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</row>
    <row r="473" spans="1:82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</row>
    <row r="474" spans="1:82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</row>
    <row r="475" spans="1:82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</row>
    <row r="476" spans="1:82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</row>
    <row r="477" spans="1:82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</row>
    <row r="478" spans="1:82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</row>
    <row r="479" spans="1:82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</row>
    <row r="480" spans="1:82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</row>
    <row r="481" spans="1:82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</row>
    <row r="482" spans="1:82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</row>
    <row r="483" spans="1:82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</row>
    <row r="484" spans="1:82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</row>
    <row r="485" spans="1:82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</row>
    <row r="486" spans="1:82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</row>
    <row r="487" spans="1:82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</row>
    <row r="488" spans="1:82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</row>
    <row r="489" spans="1:82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</row>
    <row r="490" spans="1:82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</row>
    <row r="491" spans="1:82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</row>
    <row r="492" spans="1:82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</row>
    <row r="493" spans="1:82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</row>
    <row r="494" spans="1:82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</row>
    <row r="495" spans="1:82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</row>
    <row r="496" spans="1:82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</row>
    <row r="497" spans="1:82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</row>
    <row r="498" spans="1:82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</row>
    <row r="499" spans="1:82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</row>
    <row r="500" spans="1:82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</row>
    <row r="501" spans="1:82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</row>
    <row r="502" spans="1:82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</row>
    <row r="503" spans="1:82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</row>
    <row r="504" spans="1:82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</row>
    <row r="505" spans="1:82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</row>
    <row r="506" spans="1:82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</row>
    <row r="507" spans="1:82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</row>
    <row r="508" spans="1:82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</row>
    <row r="509" spans="1:82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</row>
    <row r="510" spans="1:82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</row>
    <row r="511" spans="1:82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</row>
    <row r="512" spans="1:82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</row>
    <row r="513" spans="1:82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</row>
    <row r="514" spans="1:82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</row>
    <row r="515" spans="1:82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</row>
    <row r="516" spans="1:82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</row>
    <row r="517" spans="1:82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</row>
    <row r="518" spans="1:82" x14ac:dyDescent="0.25">
      <c r="A518" s="7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</row>
    <row r="519" spans="1:82" x14ac:dyDescent="0.25">
      <c r="A519" s="7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</row>
    <row r="520" spans="1:82" x14ac:dyDescent="0.25">
      <c r="A520" s="7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</row>
    <row r="521" spans="1:82" x14ac:dyDescent="0.25">
      <c r="A521" s="7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</row>
    <row r="522" spans="1:82" x14ac:dyDescent="0.25">
      <c r="A522" s="7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</row>
    <row r="523" spans="1:82" x14ac:dyDescent="0.25">
      <c r="A523" s="7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</row>
    <row r="524" spans="1:82" x14ac:dyDescent="0.25">
      <c r="A524" s="7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</row>
    <row r="525" spans="1:82" x14ac:dyDescent="0.25">
      <c r="A525" s="7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</row>
    <row r="526" spans="1:82" x14ac:dyDescent="0.25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</row>
    <row r="527" spans="1:82" x14ac:dyDescent="0.25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</row>
    <row r="528" spans="1:82" x14ac:dyDescent="0.25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  <c r="AX528" s="72"/>
      <c r="AY528" s="72"/>
      <c r="AZ528" s="72"/>
      <c r="BA528" s="72"/>
      <c r="BB528" s="72"/>
      <c r="BC528" s="72"/>
      <c r="BD528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F70"/>
  <sheetViews>
    <sheetView workbookViewId="0">
      <selection activeCell="I21" sqref="I21"/>
    </sheetView>
  </sheetViews>
  <sheetFormatPr defaultRowHeight="13.2" x14ac:dyDescent="0.25"/>
  <cols>
    <col min="1" max="1" width="9.33203125" style="197" bestFit="1" customWidth="1"/>
    <col min="2" max="9" width="9.109375" style="197" customWidth="1"/>
    <col min="10" max="10" width="9.33203125" style="197" bestFit="1" customWidth="1"/>
    <col min="11" max="11" width="9.88671875" style="197" bestFit="1" customWidth="1"/>
    <col min="12" max="12" width="9.109375" style="197" customWidth="1"/>
    <col min="13" max="13" width="12" style="197" bestFit="1" customWidth="1"/>
    <col min="14" max="14" width="9.33203125" style="197" bestFit="1" customWidth="1"/>
    <col min="15" max="32" width="9.109375" style="197" customWidth="1"/>
  </cols>
  <sheetData>
    <row r="3" spans="1:20" x14ac:dyDescent="0.25">
      <c r="Q3" s="197" t="s">
        <v>187</v>
      </c>
      <c r="S3" s="197" t="s">
        <v>33</v>
      </c>
    </row>
    <row r="5" spans="1:20" x14ac:dyDescent="0.25">
      <c r="A5" s="197" t="s">
        <v>188</v>
      </c>
      <c r="B5" s="197" t="s">
        <v>164</v>
      </c>
      <c r="C5" s="197" t="s">
        <v>107</v>
      </c>
      <c r="D5" s="197" t="s">
        <v>21</v>
      </c>
      <c r="E5" s="197" t="s">
        <v>189</v>
      </c>
      <c r="F5" s="197" t="s">
        <v>22</v>
      </c>
      <c r="G5" s="197" t="s">
        <v>157</v>
      </c>
      <c r="H5" s="197" t="s">
        <v>155</v>
      </c>
      <c r="I5" s="197" t="s">
        <v>190</v>
      </c>
      <c r="J5" s="197" t="s">
        <v>37</v>
      </c>
      <c r="K5" s="197" t="s">
        <v>28</v>
      </c>
      <c r="M5" s="197" t="s">
        <v>37</v>
      </c>
    </row>
    <row r="6" spans="1:20" x14ac:dyDescent="0.25">
      <c r="A6" s="275">
        <v>1.07</v>
      </c>
      <c r="B6" s="275">
        <v>3.68</v>
      </c>
      <c r="C6" s="197">
        <v>4.75</v>
      </c>
      <c r="D6" s="197">
        <v>3.6999999999999998E-2</v>
      </c>
      <c r="E6" s="197">
        <v>3.6999999999999998E-2</v>
      </c>
      <c r="F6" s="197">
        <v>0.8</v>
      </c>
      <c r="G6" s="259">
        <f ca="1">H6-TODAY()</f>
        <v>80</v>
      </c>
      <c r="H6" s="273">
        <v>37343</v>
      </c>
      <c r="I6" s="197">
        <v>1</v>
      </c>
      <c r="J6" s="272">
        <f ca="1">_xll.DIGITAL($A6,$B6,$C6,$D6,$E6,$F6,$G6,$I6,0)</f>
        <v>0.20425907729856543</v>
      </c>
      <c r="K6" s="272">
        <f ca="1">_xll.DIGITAL($A6,$B6,$C6,$D6,$E6,$F6,$G6,$I6,1)</f>
        <v>0.2107024934939416</v>
      </c>
      <c r="M6" s="274">
        <f ca="1">J6*-1</f>
        <v>-0.20425907729856543</v>
      </c>
      <c r="N6" s="275">
        <f ca="1">_xll.DIGITAL($A6,$B6+0.01,$C6,$D6,$E6,$F6,$G6,$I6,0)</f>
        <v>0.20636972661254352</v>
      </c>
      <c r="O6" s="272">
        <f ca="1">N6-J6</f>
        <v>2.1106493139780858E-3</v>
      </c>
      <c r="Q6" s="275">
        <f ca="1">O6/100</f>
        <v>2.1106493139780856E-5</v>
      </c>
      <c r="S6" s="272">
        <f ca="1">T6-J6</f>
        <v>1.7684594272210363E-3</v>
      </c>
      <c r="T6" s="272">
        <f ca="1">_xll.DIGITAL($A6,$B6,$C6,$D6,$E6,$F6+0.01,$G6,$I6,0)</f>
        <v>0.20602753672578647</v>
      </c>
    </row>
    <row r="7" spans="1:20" x14ac:dyDescent="0.25">
      <c r="A7" s="272"/>
      <c r="G7" s="259"/>
      <c r="H7" s="273"/>
      <c r="J7" s="272"/>
      <c r="K7" s="272"/>
      <c r="M7" s="272"/>
      <c r="N7" s="272"/>
      <c r="O7" s="272"/>
      <c r="Q7" s="275"/>
      <c r="S7" s="272"/>
      <c r="T7" s="272"/>
    </row>
    <row r="8" spans="1:20" x14ac:dyDescent="0.25">
      <c r="A8" s="272"/>
      <c r="G8" s="259"/>
      <c r="H8" s="273"/>
      <c r="J8" s="272"/>
      <c r="K8" s="272"/>
      <c r="M8" s="272"/>
      <c r="N8" s="272"/>
      <c r="O8" s="272"/>
      <c r="Q8" s="275"/>
      <c r="S8" s="272"/>
      <c r="T8" s="272"/>
    </row>
    <row r="9" spans="1:20" x14ac:dyDescent="0.25">
      <c r="A9" s="272"/>
      <c r="G9" s="259"/>
      <c r="H9" s="273"/>
      <c r="J9" s="272"/>
      <c r="K9" s="272"/>
      <c r="M9" s="272"/>
      <c r="N9" s="272"/>
      <c r="O9" s="272"/>
      <c r="Q9" s="275"/>
      <c r="S9" s="272"/>
      <c r="T9" s="272"/>
    </row>
    <row r="10" spans="1:20" x14ac:dyDescent="0.25">
      <c r="A10" s="272"/>
      <c r="G10" s="259"/>
      <c r="H10" s="273"/>
      <c r="J10" s="272"/>
      <c r="K10" s="272"/>
      <c r="M10" s="272"/>
      <c r="N10" s="272"/>
      <c r="O10" s="272"/>
      <c r="Q10" s="275"/>
      <c r="S10" s="272"/>
      <c r="T10" s="272"/>
    </row>
    <row r="11" spans="1:20" x14ac:dyDescent="0.25">
      <c r="A11" s="272"/>
      <c r="G11" s="259"/>
      <c r="H11" s="273"/>
      <c r="J11" s="272"/>
      <c r="K11" s="272"/>
      <c r="M11" s="272"/>
      <c r="N11" s="272"/>
      <c r="O11" s="272"/>
      <c r="Q11" s="275"/>
      <c r="S11" s="272"/>
      <c r="T11" s="272"/>
    </row>
    <row r="12" spans="1:20" x14ac:dyDescent="0.25">
      <c r="A12" s="272"/>
      <c r="G12" s="259"/>
      <c r="H12" s="273"/>
      <c r="J12" s="272"/>
      <c r="K12" s="272"/>
      <c r="M12" s="272"/>
      <c r="N12" s="272"/>
      <c r="O12" s="272"/>
      <c r="Q12" s="275"/>
      <c r="S12" s="272"/>
      <c r="T12" s="272"/>
    </row>
    <row r="13" spans="1:20" x14ac:dyDescent="0.25">
      <c r="A13" s="272"/>
      <c r="E13" s="197">
        <v>0</v>
      </c>
    </row>
    <row r="14" spans="1:20" x14ac:dyDescent="0.25">
      <c r="A14" s="272"/>
    </row>
    <row r="15" spans="1:20" x14ac:dyDescent="0.25">
      <c r="A15" s="272"/>
      <c r="K15" s="272"/>
      <c r="M15" s="272"/>
      <c r="O15" s="272"/>
      <c r="Q15" s="275"/>
      <c r="S15" s="272"/>
    </row>
    <row r="16" spans="1:20" x14ac:dyDescent="0.25">
      <c r="A16" s="272"/>
    </row>
    <row r="17" spans="1:19" x14ac:dyDescent="0.25">
      <c r="A17" s="272"/>
      <c r="K17" s="272"/>
      <c r="M17" s="272"/>
      <c r="O17" s="272"/>
      <c r="Q17" s="275"/>
      <c r="S17" s="272"/>
    </row>
    <row r="18" spans="1:19" x14ac:dyDescent="0.25">
      <c r="A18" s="272"/>
    </row>
    <row r="19" spans="1:19" x14ac:dyDescent="0.25">
      <c r="A19" s="272"/>
    </row>
    <row r="20" spans="1:19" x14ac:dyDescent="0.25">
      <c r="A20" s="272"/>
    </row>
    <row r="21" spans="1:19" x14ac:dyDescent="0.25">
      <c r="A21" s="272"/>
    </row>
    <row r="22" spans="1:19" x14ac:dyDescent="0.25">
      <c r="A22" s="272">
        <v>1.07</v>
      </c>
    </row>
    <row r="23" spans="1:19" x14ac:dyDescent="0.25">
      <c r="A23" s="272"/>
    </row>
    <row r="24" spans="1:19" x14ac:dyDescent="0.25">
      <c r="A24" s="272"/>
    </row>
    <row r="25" spans="1:19" x14ac:dyDescent="0.25">
      <c r="A25" s="272"/>
    </row>
    <row r="26" spans="1:19" x14ac:dyDescent="0.25">
      <c r="A26" s="272"/>
    </row>
    <row r="27" spans="1:19" x14ac:dyDescent="0.25">
      <c r="A27" s="272"/>
    </row>
    <row r="28" spans="1:19" x14ac:dyDescent="0.25">
      <c r="A28" s="272"/>
    </row>
    <row r="29" spans="1:19" x14ac:dyDescent="0.25">
      <c r="A29" s="272"/>
    </row>
    <row r="30" spans="1:19" x14ac:dyDescent="0.25">
      <c r="A30" s="272"/>
    </row>
    <row r="31" spans="1:19" x14ac:dyDescent="0.25">
      <c r="A31" s="272"/>
    </row>
    <row r="32" spans="1:19" x14ac:dyDescent="0.25">
      <c r="A32" s="272"/>
    </row>
    <row r="33" spans="1:1" x14ac:dyDescent="0.25">
      <c r="A33" s="272"/>
    </row>
    <row r="34" spans="1:1" x14ac:dyDescent="0.25">
      <c r="A34" s="272"/>
    </row>
    <row r="35" spans="1:1" x14ac:dyDescent="0.25">
      <c r="A35" s="272"/>
    </row>
    <row r="36" spans="1:1" x14ac:dyDescent="0.25">
      <c r="A36" s="272"/>
    </row>
    <row r="37" spans="1:1" x14ac:dyDescent="0.25">
      <c r="A37" s="272"/>
    </row>
    <row r="38" spans="1:1" x14ac:dyDescent="0.25">
      <c r="A38" s="272"/>
    </row>
    <row r="39" spans="1:1" x14ac:dyDescent="0.25">
      <c r="A39" s="272"/>
    </row>
    <row r="40" spans="1:1" x14ac:dyDescent="0.25">
      <c r="A40" s="272"/>
    </row>
    <row r="41" spans="1:1" x14ac:dyDescent="0.25">
      <c r="A41" s="272"/>
    </row>
    <row r="42" spans="1:1" x14ac:dyDescent="0.25">
      <c r="A42" s="272"/>
    </row>
    <row r="43" spans="1:1" x14ac:dyDescent="0.25">
      <c r="A43" s="272"/>
    </row>
    <row r="44" spans="1:1" x14ac:dyDescent="0.25">
      <c r="A44" s="272"/>
    </row>
    <row r="45" spans="1:1" x14ac:dyDescent="0.25">
      <c r="A45" s="272"/>
    </row>
    <row r="46" spans="1:1" x14ac:dyDescent="0.25">
      <c r="A46" s="272"/>
    </row>
    <row r="47" spans="1:1" x14ac:dyDescent="0.25">
      <c r="A47" s="272"/>
    </row>
    <row r="48" spans="1:1" x14ac:dyDescent="0.25">
      <c r="A48" s="272"/>
    </row>
    <row r="49" spans="1:1" x14ac:dyDescent="0.25">
      <c r="A49" s="272"/>
    </row>
    <row r="50" spans="1:1" x14ac:dyDescent="0.25">
      <c r="A50" s="272"/>
    </row>
    <row r="51" spans="1:1" x14ac:dyDescent="0.25">
      <c r="A51" s="272"/>
    </row>
    <row r="52" spans="1:1" x14ac:dyDescent="0.25">
      <c r="A52" s="272"/>
    </row>
    <row r="53" spans="1:1" x14ac:dyDescent="0.25">
      <c r="A53" s="272"/>
    </row>
    <row r="54" spans="1:1" x14ac:dyDescent="0.25">
      <c r="A54" s="272"/>
    </row>
    <row r="55" spans="1:1" x14ac:dyDescent="0.25">
      <c r="A55" s="272"/>
    </row>
    <row r="56" spans="1:1" x14ac:dyDescent="0.25">
      <c r="A56" s="272"/>
    </row>
    <row r="57" spans="1:1" x14ac:dyDescent="0.25">
      <c r="A57" s="272"/>
    </row>
    <row r="58" spans="1:1" x14ac:dyDescent="0.25">
      <c r="A58" s="272"/>
    </row>
    <row r="59" spans="1:1" x14ac:dyDescent="0.25">
      <c r="A59" s="272"/>
    </row>
    <row r="60" spans="1:1" x14ac:dyDescent="0.25">
      <c r="A60" s="272"/>
    </row>
    <row r="61" spans="1:1" x14ac:dyDescent="0.25">
      <c r="A61" s="272"/>
    </row>
    <row r="62" spans="1:1" x14ac:dyDescent="0.25">
      <c r="A62" s="272"/>
    </row>
    <row r="63" spans="1:1" x14ac:dyDescent="0.25">
      <c r="A63" s="272"/>
    </row>
    <row r="64" spans="1:1" x14ac:dyDescent="0.25">
      <c r="A64" s="272"/>
    </row>
    <row r="65" spans="1:1" x14ac:dyDescent="0.25">
      <c r="A65" s="272"/>
    </row>
    <row r="66" spans="1:1" x14ac:dyDescent="0.25">
      <c r="A66" s="272"/>
    </row>
    <row r="67" spans="1:1" x14ac:dyDescent="0.25">
      <c r="A67" s="272"/>
    </row>
    <row r="68" spans="1:1" x14ac:dyDescent="0.25">
      <c r="A68" s="272"/>
    </row>
    <row r="69" spans="1:1" x14ac:dyDescent="0.25">
      <c r="A69" s="272"/>
    </row>
    <row r="70" spans="1:1" x14ac:dyDescent="0.25">
      <c r="A70" s="272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3.2" x14ac:dyDescent="0.25"/>
  <sheetData>
    <row r="1" spans="1:16" x14ac:dyDescent="0.25">
      <c r="A1" s="144"/>
      <c r="B1" s="144"/>
      <c r="C1" s="144"/>
      <c r="D1" s="144"/>
    </row>
    <row r="2" spans="1:16" ht="15.6" x14ac:dyDescent="0.3">
      <c r="A2" s="258"/>
      <c r="B2" s="258"/>
      <c r="C2" s="258"/>
      <c r="D2" s="258"/>
    </row>
    <row r="3" spans="1:16" ht="16.2" thickBot="1" x14ac:dyDescent="0.35">
      <c r="A3" s="258"/>
      <c r="B3" s="258"/>
      <c r="C3" s="258"/>
      <c r="D3" s="258"/>
      <c r="G3" t="e">
        <f ca="1">STRADDLES!BE23</f>
        <v>#REF!</v>
      </c>
      <c r="I3" t="s">
        <v>182</v>
      </c>
      <c r="K3" t="s">
        <v>176</v>
      </c>
      <c r="L3" t="s">
        <v>178</v>
      </c>
      <c r="M3" t="s">
        <v>180</v>
      </c>
      <c r="N3" s="99"/>
      <c r="O3" s="99"/>
      <c r="P3" s="99"/>
    </row>
    <row r="4" spans="1:16" ht="13.8" thickTop="1" x14ac:dyDescent="0.25">
      <c r="A4" s="187"/>
      <c r="B4" s="187"/>
      <c r="C4" s="187"/>
      <c r="D4" s="187"/>
      <c r="H4" t="s">
        <v>175</v>
      </c>
      <c r="I4" t="s">
        <v>183</v>
      </c>
      <c r="K4" t="s">
        <v>177</v>
      </c>
      <c r="L4" t="s">
        <v>179</v>
      </c>
      <c r="M4" t="s">
        <v>181</v>
      </c>
      <c r="N4" s="99"/>
      <c r="O4" s="99"/>
      <c r="P4" s="99"/>
    </row>
    <row r="5" spans="1:16" x14ac:dyDescent="0.25">
      <c r="A5" s="184"/>
      <c r="B5" s="184"/>
      <c r="C5" s="184"/>
      <c r="D5" s="184"/>
      <c r="E5" s="262"/>
      <c r="F5" t="s">
        <v>173</v>
      </c>
      <c r="G5">
        <v>-0.84</v>
      </c>
      <c r="H5" s="270" t="e">
        <f ca="1">G5+G$3</f>
        <v>#REF!</v>
      </c>
      <c r="I5">
        <f>((K5*(1-M5))+(L5*M5))</f>
        <v>2.266</v>
      </c>
      <c r="J5" s="270" t="e">
        <f ca="1">H5-I5</f>
        <v>#REF!</v>
      </c>
      <c r="K5">
        <v>2.27</v>
      </c>
      <c r="L5">
        <v>2.266</v>
      </c>
      <c r="M5">
        <v>1</v>
      </c>
      <c r="N5" s="99"/>
      <c r="O5" s="99"/>
      <c r="P5" s="99"/>
    </row>
    <row r="6" spans="1:16" x14ac:dyDescent="0.25">
      <c r="A6" s="184"/>
      <c r="B6" s="184"/>
      <c r="C6" s="184"/>
      <c r="D6" s="184"/>
      <c r="E6" s="262"/>
      <c r="F6" t="s">
        <v>174</v>
      </c>
      <c r="G6">
        <v>-0.65500000000000003</v>
      </c>
      <c r="H6" s="270" t="e">
        <f ca="1">G6+G$3</f>
        <v>#REF!</v>
      </c>
      <c r="I6">
        <f>((K6*(1-M6))+(L6*M6))</f>
        <v>2.419</v>
      </c>
      <c r="J6" s="270" t="e">
        <f ca="1">H6-I6</f>
        <v>#REF!</v>
      </c>
      <c r="K6">
        <v>2.5099999999999998</v>
      </c>
      <c r="L6">
        <v>2.419</v>
      </c>
      <c r="M6">
        <v>1</v>
      </c>
      <c r="N6" s="99"/>
      <c r="O6" s="99"/>
      <c r="P6" s="99"/>
    </row>
    <row r="7" spans="1:16" x14ac:dyDescent="0.25">
      <c r="A7" s="121"/>
      <c r="B7" s="121"/>
      <c r="C7" s="121"/>
      <c r="D7" s="121"/>
      <c r="E7" s="185"/>
      <c r="F7" t="s">
        <v>158</v>
      </c>
      <c r="G7">
        <v>0.55000000000000004</v>
      </c>
      <c r="H7" s="270" t="e">
        <f ca="1">G7+G$3</f>
        <v>#REF!</v>
      </c>
      <c r="I7">
        <f>((K7*(1-M7))+(L7*M7))</f>
        <v>3.7</v>
      </c>
      <c r="J7" s="270" t="e">
        <f ca="1">H7-I7</f>
        <v>#REF!</v>
      </c>
      <c r="K7">
        <v>3.73</v>
      </c>
      <c r="L7">
        <v>3.7</v>
      </c>
      <c r="M7">
        <v>1</v>
      </c>
      <c r="N7" s="99"/>
      <c r="O7" s="99"/>
      <c r="P7" s="99"/>
    </row>
    <row r="8" spans="1:16" x14ac:dyDescent="0.25">
      <c r="A8" s="121"/>
      <c r="B8" s="121"/>
      <c r="C8" s="121"/>
      <c r="D8" s="121"/>
      <c r="E8" s="263"/>
      <c r="F8" t="s">
        <v>184</v>
      </c>
      <c r="G8">
        <v>-0.03</v>
      </c>
      <c r="H8" s="270" t="e">
        <f ca="1">G8+G$3</f>
        <v>#REF!</v>
      </c>
      <c r="I8">
        <f>((K8*(1-M8))+(L8*M8))</f>
        <v>3.097</v>
      </c>
      <c r="J8" s="270" t="e">
        <f ca="1">H8-I8</f>
        <v>#REF!</v>
      </c>
      <c r="K8">
        <v>3.09</v>
      </c>
      <c r="L8">
        <v>3.097</v>
      </c>
      <c r="M8">
        <v>1</v>
      </c>
      <c r="N8" s="99"/>
      <c r="O8" s="99"/>
      <c r="P8" s="99"/>
    </row>
    <row r="9" spans="1:16" x14ac:dyDescent="0.25">
      <c r="A9" s="121"/>
      <c r="B9" s="121"/>
      <c r="C9" s="121"/>
      <c r="D9" s="121"/>
      <c r="E9" s="263"/>
      <c r="N9" s="99"/>
      <c r="O9" s="99"/>
      <c r="P9" s="99"/>
    </row>
    <row r="10" spans="1:16" x14ac:dyDescent="0.25">
      <c r="A10" s="55"/>
      <c r="B10" s="55"/>
      <c r="C10" s="55"/>
      <c r="D10" s="55"/>
      <c r="E10" s="263"/>
      <c r="N10" s="99"/>
      <c r="O10" s="99"/>
      <c r="P10" s="99"/>
    </row>
    <row r="11" spans="1:16" x14ac:dyDescent="0.25">
      <c r="A11" s="55"/>
      <c r="B11" s="55"/>
      <c r="C11" s="55"/>
      <c r="D11" s="55"/>
      <c r="E11" s="263"/>
      <c r="N11" s="99"/>
      <c r="O11" s="99"/>
      <c r="P11" s="99"/>
    </row>
    <row r="12" spans="1:16" ht="13.8" thickBot="1" x14ac:dyDescent="0.3">
      <c r="A12" s="55"/>
      <c r="B12" s="55"/>
      <c r="C12" s="55"/>
      <c r="D12" s="55"/>
      <c r="E12" s="263"/>
      <c r="N12" s="99"/>
      <c r="O12" s="99"/>
      <c r="P12" s="99"/>
    </row>
    <row r="13" spans="1:16" ht="13.8" thickTop="1" x14ac:dyDescent="0.25">
      <c r="A13" s="187"/>
      <c r="B13" s="196"/>
      <c r="C13" s="196"/>
      <c r="D13" s="200"/>
      <c r="E13" s="263"/>
      <c r="N13" s="99"/>
      <c r="O13" s="99"/>
      <c r="P13" s="99"/>
    </row>
    <row r="14" spans="1:16" x14ac:dyDescent="0.25">
      <c r="A14" s="185"/>
      <c r="B14" s="185"/>
      <c r="C14" s="185"/>
      <c r="D14" s="185"/>
      <c r="E14" s="263"/>
      <c r="N14" s="99"/>
      <c r="O14" s="99"/>
      <c r="P14" s="99"/>
    </row>
    <row r="15" spans="1:16" x14ac:dyDescent="0.25">
      <c r="A15" s="140"/>
      <c r="B15" s="140"/>
      <c r="C15" s="140"/>
      <c r="D15" s="140"/>
      <c r="E15" s="263"/>
    </row>
    <row r="16" spans="1:16" x14ac:dyDescent="0.25">
      <c r="A16" s="140"/>
      <c r="B16" s="140"/>
      <c r="C16" s="140"/>
      <c r="D16" s="140"/>
    </row>
    <row r="20" spans="8:8" x14ac:dyDescent="0.25">
      <c r="H20" s="261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A221"/>
  <sheetViews>
    <sheetView workbookViewId="0">
      <selection activeCell="E31" sqref="E31"/>
    </sheetView>
  </sheetViews>
  <sheetFormatPr defaultRowHeight="13.2" x14ac:dyDescent="0.25"/>
  <cols>
    <col min="1" max="1" width="12.6640625" style="75" customWidth="1"/>
    <col min="2" max="2" width="9.5546875" style="75" customWidth="1"/>
    <col min="3" max="4" width="9.109375" style="75" customWidth="1"/>
    <col min="5" max="5" width="10.109375" style="75" customWidth="1"/>
    <col min="6" max="9" width="9.109375" style="75" customWidth="1"/>
    <col min="10" max="10" width="10.44140625" style="75" customWidth="1"/>
    <col min="11" max="12" width="9.109375" style="75" customWidth="1"/>
    <col min="13" max="13" width="10.109375" style="75" customWidth="1"/>
    <col min="14" max="27" width="10" style="75" customWidth="1"/>
    <col min="28" max="37" width="9.109375" style="75" customWidth="1"/>
    <col min="38" max="38" width="9.109375" style="285" customWidth="1"/>
    <col min="39" max="46" width="9.109375" style="75" customWidth="1"/>
    <col min="48" max="48" width="9.109375" style="75" customWidth="1"/>
    <col min="49" max="49" width="9.109375" style="285" customWidth="1"/>
    <col min="50" max="57" width="9.109375" style="75" customWidth="1"/>
    <col min="59" max="59" width="9.109375" style="75" customWidth="1"/>
    <col min="60" max="60" width="9.109375" style="285" customWidth="1"/>
    <col min="61" max="68" width="9.109375" style="75" customWidth="1"/>
    <col min="70" max="70" width="9.109375" style="75" customWidth="1"/>
    <col min="71" max="71" width="9.109375" style="285" customWidth="1"/>
    <col min="72" max="79" width="9.109375" style="75" customWidth="1"/>
  </cols>
  <sheetData>
    <row r="1" spans="1:71" x14ac:dyDescent="0.25">
      <c r="A1" s="74"/>
      <c r="B1" s="142"/>
      <c r="C1" s="77"/>
      <c r="D1" s="55" t="s">
        <v>117</v>
      </c>
      <c r="E1" s="55" t="e">
        <f ca="1">summerstrip</f>
        <v>#REF!</v>
      </c>
      <c r="F1" s="55"/>
      <c r="G1" s="155" t="s">
        <v>33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71" x14ac:dyDescent="0.25">
      <c r="A2" s="74" t="s">
        <v>17</v>
      </c>
      <c r="B2" s="143">
        <f ca="1">TODAY()</f>
        <v>37263</v>
      </c>
      <c r="C2" s="77"/>
      <c r="D2" s="55" t="s">
        <v>118</v>
      </c>
      <c r="E2" s="55" t="e">
        <f ca="1">winterstrip</f>
        <v>#REF!</v>
      </c>
      <c r="F2" s="55"/>
      <c r="G2" s="55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H2" s="79"/>
      <c r="AI2" s="79"/>
      <c r="AJ2" s="80"/>
      <c r="AK2" s="79"/>
      <c r="AL2" s="286"/>
      <c r="AV2" s="79"/>
      <c r="AW2" s="286"/>
      <c r="BG2" s="79"/>
      <c r="BH2" s="286"/>
      <c r="BR2" s="79"/>
      <c r="BS2" s="286"/>
    </row>
    <row r="3" spans="1:71" x14ac:dyDescent="0.25">
      <c r="A3" s="74"/>
      <c r="B3" s="142"/>
      <c r="D3" s="55"/>
      <c r="E3" s="55"/>
      <c r="F3" s="144" t="s">
        <v>87</v>
      </c>
      <c r="G3" s="5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H3" s="79"/>
      <c r="AI3" s="79"/>
      <c r="AJ3" s="80"/>
      <c r="AK3" s="79"/>
      <c r="AL3" s="286"/>
      <c r="AV3" s="79"/>
      <c r="AW3" s="286"/>
      <c r="BG3" s="79"/>
      <c r="BH3" s="286"/>
      <c r="BR3" s="79"/>
      <c r="BS3" s="286"/>
    </row>
    <row r="4" spans="1:71" x14ac:dyDescent="0.25">
      <c r="A4" s="55" t="s">
        <v>106</v>
      </c>
      <c r="B4" s="144" t="str">
        <f ca="1">STRADDLES!$B5</f>
        <v>nymex</v>
      </c>
      <c r="C4" s="123"/>
      <c r="D4" s="144" t="str">
        <f ca="1">STRADDLES!$C5</f>
        <v>nymex</v>
      </c>
      <c r="E4" s="55"/>
      <c r="F4" s="144" t="str">
        <f ca="1">STRADDLES!$D5</f>
        <v>nymex</v>
      </c>
      <c r="G4" s="123"/>
      <c r="H4" s="144" t="str">
        <f ca="1">STRADDLES!$E5</f>
        <v>nymex</v>
      </c>
      <c r="I4" s="129"/>
      <c r="J4"/>
      <c r="K4"/>
      <c r="L4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29"/>
      <c r="AC4" s="129"/>
      <c r="AD4" s="129"/>
      <c r="AH4" s="79"/>
      <c r="AI4" s="79"/>
      <c r="AJ4" s="80"/>
      <c r="AK4" s="79"/>
      <c r="AL4" s="286"/>
      <c r="AV4" s="79"/>
      <c r="AW4" s="286"/>
      <c r="BG4" s="79"/>
      <c r="BH4" s="286"/>
      <c r="BR4" s="79"/>
      <c r="BS4" s="286"/>
    </row>
    <row r="5" spans="1:71" x14ac:dyDescent="0.25">
      <c r="A5" s="55"/>
      <c r="B5" s="55" t="s">
        <v>47</v>
      </c>
      <c r="D5" s="55" t="s">
        <v>48</v>
      </c>
      <c r="F5" s="55" t="s">
        <v>120</v>
      </c>
      <c r="H5" s="55" t="s">
        <v>119</v>
      </c>
      <c r="J5"/>
      <c r="K5"/>
      <c r="L5"/>
      <c r="AH5" s="79"/>
      <c r="AI5" s="79"/>
      <c r="AJ5" s="80"/>
      <c r="AK5" s="79"/>
      <c r="AL5" s="286"/>
      <c r="AV5" s="79"/>
      <c r="AW5" s="286"/>
      <c r="BG5" s="79"/>
      <c r="BH5" s="286"/>
      <c r="BR5" s="79"/>
      <c r="BS5" s="286"/>
    </row>
    <row r="6" spans="1:71" x14ac:dyDescent="0.25">
      <c r="A6" s="55" t="s">
        <v>34</v>
      </c>
      <c r="B6" s="181">
        <f ca="1">STRADDLES!$B6</f>
        <v>37347</v>
      </c>
      <c r="C6" s="182"/>
      <c r="D6" s="181">
        <f ca="1">STRADDLES!$C6</f>
        <v>37347</v>
      </c>
      <c r="E6" s="182"/>
      <c r="F6" s="181">
        <f ca="1">STRADDLES!$D6</f>
        <v>37347</v>
      </c>
      <c r="G6" s="182"/>
      <c r="H6" s="181">
        <f ca="1">STRADDLES!$E6</f>
        <v>37347</v>
      </c>
      <c r="J6"/>
      <c r="K6"/>
      <c r="L6"/>
      <c r="AH6" s="79"/>
      <c r="AI6" s="79"/>
      <c r="AJ6" s="80"/>
      <c r="AK6" s="79"/>
      <c r="AL6" s="286"/>
      <c r="AV6" s="79"/>
      <c r="AW6" s="286"/>
      <c r="BG6" s="79"/>
      <c r="BH6" s="286"/>
      <c r="BR6" s="79"/>
      <c r="BS6" s="286"/>
    </row>
    <row r="7" spans="1:71" x14ac:dyDescent="0.25">
      <c r="A7" s="74" t="s">
        <v>49</v>
      </c>
      <c r="B7" s="181">
        <f ca="1">STRADDLES!$B7</f>
        <v>37530</v>
      </c>
      <c r="C7" s="182"/>
      <c r="D7" s="181">
        <f ca="1">STRADDLES!$C7</f>
        <v>37530</v>
      </c>
      <c r="E7" s="182"/>
      <c r="F7" s="181">
        <f ca="1">STRADDLES!$D7</f>
        <v>37530</v>
      </c>
      <c r="G7" s="182"/>
      <c r="H7" s="181">
        <f ca="1">STRADDLES!$E7</f>
        <v>37530</v>
      </c>
      <c r="J7"/>
      <c r="K7"/>
      <c r="L7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C7" s="144" t="s">
        <v>87</v>
      </c>
      <c r="AD7" s="144"/>
      <c r="AH7" s="79"/>
      <c r="AI7" s="79"/>
      <c r="AJ7" s="80"/>
      <c r="AK7" s="79"/>
      <c r="AL7" s="286"/>
      <c r="AV7" s="79"/>
      <c r="AW7" s="286"/>
      <c r="BG7" s="79"/>
      <c r="BH7" s="286"/>
      <c r="BR7" s="79"/>
      <c r="BS7" s="286"/>
    </row>
    <row r="8" spans="1:71" x14ac:dyDescent="0.25">
      <c r="I8" s="163"/>
      <c r="J8"/>
      <c r="K8"/>
      <c r="L8"/>
      <c r="AC8" s="144"/>
      <c r="AD8" s="144"/>
      <c r="AH8" s="79"/>
      <c r="AI8" s="79"/>
      <c r="AJ8" s="80"/>
      <c r="AK8" s="79"/>
      <c r="AL8" s="286"/>
      <c r="AV8" s="79"/>
      <c r="AW8" s="286"/>
      <c r="BG8" s="79"/>
      <c r="BH8" s="286"/>
      <c r="BR8" s="79"/>
      <c r="BS8" s="286"/>
    </row>
    <row r="9" spans="1:71" x14ac:dyDescent="0.25">
      <c r="A9" s="73" t="s">
        <v>109</v>
      </c>
      <c r="B9" s="162">
        <f ca="1">AM24</f>
        <v>2.4855140186915885</v>
      </c>
      <c r="C9" s="163"/>
      <c r="D9" s="162">
        <f ca="1">AX24</f>
        <v>2.4855140186915885</v>
      </c>
      <c r="E9" s="163"/>
      <c r="F9" s="162">
        <f ca="1">BI24</f>
        <v>2.4855140186915885</v>
      </c>
      <c r="G9" s="163"/>
      <c r="H9" s="162">
        <f ca="1">BT24</f>
        <v>2.4855140186915885</v>
      </c>
      <c r="I9" s="163"/>
      <c r="J9"/>
      <c r="K9"/>
      <c r="L9"/>
      <c r="AC9" s="144" t="s">
        <v>70</v>
      </c>
      <c r="AD9" s="144"/>
      <c r="AH9" s="79"/>
      <c r="AI9" s="79"/>
      <c r="AJ9" s="80"/>
      <c r="AK9" s="79"/>
      <c r="AL9" s="286"/>
      <c r="AV9" s="79"/>
      <c r="AW9" s="286"/>
      <c r="BG9" s="79"/>
      <c r="BH9" s="286"/>
      <c r="BR9" s="79"/>
      <c r="BS9" s="286"/>
    </row>
    <row r="10" spans="1:71" x14ac:dyDescent="0.25">
      <c r="A10" s="73" t="s">
        <v>39</v>
      </c>
      <c r="B10" s="162">
        <f ca="1">AN24</f>
        <v>2.4855140186915885</v>
      </c>
      <c r="C10" s="163"/>
      <c r="D10" s="162">
        <f ca="1">AY24</f>
        <v>2.4855140186915885</v>
      </c>
      <c r="E10" s="163"/>
      <c r="F10" s="162">
        <f ca="1">BJ24</f>
        <v>2.4855140186915885</v>
      </c>
      <c r="G10" s="163"/>
      <c r="H10" s="162">
        <f ca="1">BU24</f>
        <v>2.4855140186915885</v>
      </c>
      <c r="I10" s="163"/>
      <c r="J10"/>
      <c r="K10"/>
      <c r="L10"/>
      <c r="M10" s="170"/>
      <c r="N10" s="144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D10" s="144"/>
      <c r="AH10" s="79"/>
      <c r="AI10" s="79"/>
      <c r="AJ10" s="80"/>
      <c r="AK10" s="79"/>
      <c r="AL10" s="286"/>
      <c r="AV10" s="79"/>
      <c r="AW10" s="286"/>
      <c r="BG10" s="79"/>
      <c r="BH10" s="286"/>
      <c r="BR10" s="79"/>
      <c r="BS10" s="286"/>
    </row>
    <row r="11" spans="1:71" x14ac:dyDescent="0.25">
      <c r="A11" s="73" t="s">
        <v>35</v>
      </c>
      <c r="B11" s="162">
        <f ca="1">B10-B9</f>
        <v>0</v>
      </c>
      <c r="C11" s="162"/>
      <c r="D11" s="162">
        <f ca="1">D10-D9</f>
        <v>0</v>
      </c>
      <c r="E11" s="162"/>
      <c r="F11" s="162">
        <f ca="1">F10-F9</f>
        <v>0</v>
      </c>
      <c r="G11" s="162"/>
      <c r="H11" s="162">
        <f ca="1">H10-H9</f>
        <v>0</v>
      </c>
      <c r="I11" s="163"/>
      <c r="J11"/>
      <c r="K11"/>
      <c r="L11"/>
      <c r="AC11" s="144"/>
      <c r="AD11" s="144"/>
      <c r="AH11" s="79"/>
      <c r="AI11" s="79"/>
      <c r="AJ11" s="80"/>
      <c r="AK11" s="79"/>
      <c r="AL11" s="286"/>
      <c r="AV11" s="79"/>
      <c r="AW11" s="286"/>
      <c r="BG11" s="79"/>
      <c r="BH11" s="286"/>
      <c r="BR11" s="79"/>
      <c r="BS11" s="286"/>
    </row>
    <row r="12" spans="1:71" x14ac:dyDescent="0.25">
      <c r="A12" s="73"/>
      <c r="B12" s="162"/>
      <c r="C12" s="163"/>
      <c r="D12" s="162"/>
      <c r="E12" s="163"/>
      <c r="F12" s="162"/>
      <c r="G12" s="163"/>
      <c r="H12" s="162"/>
      <c r="I12" s="163"/>
      <c r="J12"/>
      <c r="K12"/>
      <c r="L12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0"/>
      <c r="AA12" s="170"/>
      <c r="AC12" s="144"/>
      <c r="AD12" s="144"/>
      <c r="AH12" s="79"/>
      <c r="AI12" s="79"/>
      <c r="AJ12" s="80"/>
      <c r="AK12" s="79"/>
      <c r="AL12" s="286"/>
      <c r="AV12" s="79"/>
      <c r="AW12" s="286"/>
      <c r="BG12" s="79"/>
      <c r="BH12" s="286"/>
      <c r="BR12" s="79"/>
      <c r="BS12" s="286"/>
    </row>
    <row r="13" spans="1:71" x14ac:dyDescent="0.25">
      <c r="A13" s="73" t="s">
        <v>131</v>
      </c>
      <c r="B13" s="173">
        <f ca="1">STRADDLES!$B10</f>
        <v>0</v>
      </c>
      <c r="C13" s="174"/>
      <c r="D13" s="173">
        <f ca="1">STRADDLES!$C10</f>
        <v>0</v>
      </c>
      <c r="E13" s="174"/>
      <c r="F13" s="173">
        <f ca="1">STRADDLES!$D10</f>
        <v>0</v>
      </c>
      <c r="G13" s="174"/>
      <c r="H13" s="173">
        <f ca="1">STRADDLES!$E10</f>
        <v>0</v>
      </c>
      <c r="I13" s="163"/>
      <c r="J13"/>
      <c r="K13"/>
      <c r="L13"/>
      <c r="M13" s="170"/>
      <c r="N13" s="144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D13" s="144"/>
      <c r="AH13" s="79"/>
      <c r="AI13" s="79"/>
      <c r="AJ13" s="80"/>
      <c r="AK13" s="79"/>
      <c r="AL13" s="286"/>
      <c r="AV13" s="79"/>
      <c r="AW13" s="286"/>
      <c r="BG13" s="79"/>
      <c r="BH13" s="286"/>
      <c r="BR13" s="79"/>
      <c r="BS13" s="286"/>
    </row>
    <row r="14" spans="1:71" x14ac:dyDescent="0.25">
      <c r="A14" s="73" t="s">
        <v>108</v>
      </c>
      <c r="B14" s="173">
        <v>0</v>
      </c>
      <c r="C14" s="174"/>
      <c r="D14" s="173">
        <v>0</v>
      </c>
      <c r="E14" s="174"/>
      <c r="F14" s="173">
        <v>0</v>
      </c>
      <c r="G14" s="174"/>
      <c r="H14" s="173">
        <v>0</v>
      </c>
      <c r="I14" s="164"/>
      <c r="J14"/>
      <c r="K14"/>
      <c r="L14"/>
      <c r="M14" s="79"/>
      <c r="N14" s="144"/>
      <c r="AD14" s="144"/>
      <c r="AG14" s="129"/>
      <c r="AH14" s="79"/>
      <c r="AI14" s="79"/>
      <c r="AJ14" s="80"/>
      <c r="AK14" s="79"/>
      <c r="AL14" s="286"/>
      <c r="AV14" s="79"/>
      <c r="AW14" s="286"/>
      <c r="BG14" s="79"/>
      <c r="BH14" s="286"/>
      <c r="BR14" s="79"/>
      <c r="BS14" s="286"/>
    </row>
    <row r="15" spans="1:71" x14ac:dyDescent="0.25">
      <c r="A15" s="60" t="s">
        <v>52</v>
      </c>
      <c r="B15" s="175">
        <f ca="1">STRADDLES!$B11</f>
        <v>0</v>
      </c>
      <c r="C15" s="175"/>
      <c r="D15" s="175">
        <f ca="1">STRADDLES!$C11</f>
        <v>0</v>
      </c>
      <c r="E15" s="175"/>
      <c r="F15" s="175">
        <f ca="1">STRADDLES!$D11</f>
        <v>0</v>
      </c>
      <c r="G15" s="175"/>
      <c r="H15" s="175">
        <f ca="1">STRADDLES!$E11</f>
        <v>0</v>
      </c>
      <c r="I15" s="165"/>
      <c r="J15"/>
      <c r="K15"/>
      <c r="L15"/>
      <c r="M15" s="79"/>
      <c r="N15" s="144"/>
      <c r="AD15" s="144"/>
      <c r="AG15" s="129"/>
      <c r="AH15" s="79"/>
      <c r="AI15" s="79"/>
      <c r="AJ15" s="80"/>
      <c r="AK15" s="79"/>
      <c r="AL15" s="286"/>
      <c r="AV15" s="79"/>
      <c r="AW15" s="286"/>
      <c r="BG15" s="79"/>
      <c r="BH15" s="286"/>
      <c r="BR15" s="79"/>
      <c r="BS15" s="286"/>
    </row>
    <row r="16" spans="1:71" x14ac:dyDescent="0.25">
      <c r="A16" s="54" t="s">
        <v>122</v>
      </c>
      <c r="B16" s="176">
        <f ca="1">STRADDLES!$B12</f>
        <v>1</v>
      </c>
      <c r="C16" s="177"/>
      <c r="D16" s="176">
        <f ca="1">STRADDLES!$C12</f>
        <v>1</v>
      </c>
      <c r="E16" s="178"/>
      <c r="F16" s="176">
        <f ca="1">STRADDLES!$D12</f>
        <v>1</v>
      </c>
      <c r="G16" s="178"/>
      <c r="H16" s="176">
        <f ca="1">STRADDLES!$E12</f>
        <v>1</v>
      </c>
      <c r="I16" s="163"/>
      <c r="J16"/>
      <c r="K16"/>
      <c r="L16"/>
      <c r="AC16" s="144"/>
      <c r="AD16" s="144"/>
      <c r="AH16" s="79"/>
      <c r="AI16" s="79"/>
      <c r="AJ16" s="80"/>
      <c r="AK16" s="79"/>
      <c r="AL16" s="286"/>
      <c r="AV16" s="79"/>
      <c r="AW16" s="286"/>
      <c r="BG16" s="79"/>
      <c r="BH16" s="286"/>
      <c r="BR16" s="79"/>
      <c r="BS16" s="286"/>
    </row>
    <row r="17" spans="1:79" x14ac:dyDescent="0.25">
      <c r="A17" s="73"/>
      <c r="B17" s="173"/>
      <c r="C17" s="174"/>
      <c r="D17" s="173"/>
      <c r="E17" s="174"/>
      <c r="F17" s="173"/>
      <c r="G17" s="174"/>
      <c r="H17" s="173"/>
      <c r="I17" s="164"/>
      <c r="J17"/>
      <c r="K17"/>
      <c r="L17"/>
      <c r="M17" s="170"/>
      <c r="N17" s="144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D17" s="144"/>
      <c r="AH17" s="79"/>
      <c r="AI17" s="79"/>
      <c r="AJ17" s="80"/>
      <c r="AK17" s="79"/>
      <c r="AL17" s="286"/>
      <c r="AV17" s="79"/>
      <c r="AW17" s="286"/>
      <c r="BG17" s="79"/>
      <c r="BH17" s="286"/>
      <c r="BR17" s="79"/>
      <c r="BS17" s="286"/>
    </row>
    <row r="18" spans="1:79" x14ac:dyDescent="0.25">
      <c r="A18" s="60" t="s">
        <v>107</v>
      </c>
      <c r="B18" s="179">
        <f ca="1">STRADDLES!$B14</f>
        <v>2.44</v>
      </c>
      <c r="C18" s="178"/>
      <c r="D18" s="179">
        <f ca="1">STRADDLES!$C14</f>
        <v>2.44</v>
      </c>
      <c r="E18" s="178"/>
      <c r="F18" s="179">
        <f ca="1">STRADDLES!$D14</f>
        <v>2.44</v>
      </c>
      <c r="G18" s="178"/>
      <c r="H18" s="179">
        <f ca="1">STRADDLES!$E14</f>
        <v>2.44</v>
      </c>
      <c r="I18" s="164"/>
      <c r="J18"/>
      <c r="K18"/>
      <c r="L18"/>
      <c r="M18" s="79"/>
      <c r="N18" s="144"/>
      <c r="AD18" s="144"/>
      <c r="AH18" s="79"/>
      <c r="AI18" s="79"/>
      <c r="AJ18" s="80"/>
      <c r="AK18" s="79"/>
      <c r="AL18" s="286"/>
      <c r="AV18" s="79"/>
      <c r="AW18" s="286"/>
      <c r="BG18" s="79"/>
      <c r="BH18" s="286"/>
      <c r="BR18" s="79"/>
      <c r="BS18" s="286"/>
    </row>
    <row r="19" spans="1:79" x14ac:dyDescent="0.25">
      <c r="A19" s="60" t="s">
        <v>112</v>
      </c>
      <c r="B19" s="180">
        <f ca="1">STRADDLES!$B13</f>
        <v>3</v>
      </c>
      <c r="C19" s="178"/>
      <c r="D19" s="180">
        <f ca="1">STRADDLES!$C13</f>
        <v>3</v>
      </c>
      <c r="E19" s="178"/>
      <c r="F19" s="180">
        <f ca="1">STRADDLES!$D13</f>
        <v>3</v>
      </c>
      <c r="G19" s="178"/>
      <c r="H19" s="180">
        <f ca="1">STRADDLES!$E13</f>
        <v>3</v>
      </c>
      <c r="J19"/>
      <c r="K19"/>
      <c r="L19"/>
    </row>
    <row r="20" spans="1:79" x14ac:dyDescent="0.25">
      <c r="A20" s="123" t="s">
        <v>146</v>
      </c>
      <c r="J20"/>
      <c r="K20"/>
      <c r="L20"/>
      <c r="AC20"/>
      <c r="AD20"/>
      <c r="AE20"/>
      <c r="AF20"/>
    </row>
    <row r="21" spans="1:79" x14ac:dyDescent="0.25">
      <c r="A21" s="60" t="s">
        <v>37</v>
      </c>
      <c r="B21" s="161">
        <f ca="1">AR24</f>
        <v>0.60310320483814184</v>
      </c>
      <c r="C21" s="164"/>
      <c r="D21" s="161">
        <f ca="1">BC24</f>
        <v>0.60310320483814184</v>
      </c>
      <c r="E21" s="164"/>
      <c r="F21" s="161">
        <f ca="1">BN24</f>
        <v>0.60310320483814184</v>
      </c>
      <c r="G21" s="164"/>
      <c r="H21" s="161">
        <f ca="1">BY24</f>
        <v>0.60310320483814184</v>
      </c>
      <c r="J21"/>
      <c r="K21"/>
      <c r="L21"/>
      <c r="AC21"/>
      <c r="AD21"/>
      <c r="AE21"/>
      <c r="AF21"/>
    </row>
    <row r="22" spans="1:79" x14ac:dyDescent="0.25">
      <c r="A22" s="60" t="s">
        <v>28</v>
      </c>
      <c r="B22" s="161">
        <f ca="1">AS24</f>
        <v>0.14634671304834967</v>
      </c>
      <c r="C22" s="164"/>
      <c r="D22" s="161">
        <f ca="1">BD24</f>
        <v>0.14634671304834967</v>
      </c>
      <c r="E22" s="164"/>
      <c r="F22" s="161">
        <f ca="1">BO24</f>
        <v>0.14634671304834967</v>
      </c>
      <c r="G22" s="164"/>
      <c r="H22" s="161">
        <f ca="1">BZ24</f>
        <v>0.14634671304834967</v>
      </c>
      <c r="J22"/>
      <c r="K22"/>
      <c r="L22"/>
      <c r="AC22"/>
      <c r="AD22"/>
      <c r="AE22"/>
      <c r="AF22"/>
    </row>
    <row r="23" spans="1:79" x14ac:dyDescent="0.25">
      <c r="A23" s="60" t="str">
        <f>G1</f>
        <v>VEGA</v>
      </c>
      <c r="B23" s="161">
        <f ca="1">AT24</f>
        <v>1.2790792311681976E-2</v>
      </c>
      <c r="C23" s="164"/>
      <c r="D23" s="161">
        <f ca="1">BE24</f>
        <v>1.2790792311681976E-2</v>
      </c>
      <c r="E23" s="164"/>
      <c r="F23" s="161">
        <f ca="1">BP24</f>
        <v>1.2790792311681976E-2</v>
      </c>
      <c r="G23" s="164"/>
      <c r="H23" s="161">
        <f ca="1">CA24</f>
        <v>1.2790792311681976E-2</v>
      </c>
      <c r="J23"/>
      <c r="K23"/>
      <c r="L23"/>
      <c r="AC23"/>
      <c r="AD23"/>
      <c r="AE23"/>
      <c r="AF23"/>
    </row>
    <row r="24" spans="1:79" x14ac:dyDescent="0.25">
      <c r="A24" s="79"/>
      <c r="B24" s="166"/>
      <c r="C24" s="79"/>
      <c r="D24" s="166"/>
      <c r="E24" s="79"/>
      <c r="F24" s="166"/>
      <c r="G24" s="79"/>
      <c r="H24" s="79"/>
      <c r="I24" s="79"/>
      <c r="J24"/>
      <c r="K24"/>
      <c r="L24"/>
      <c r="M24" s="79"/>
      <c r="N24" s="144"/>
      <c r="AC24"/>
      <c r="AD24"/>
      <c r="AE24"/>
      <c r="AF24"/>
      <c r="AH24" s="79"/>
      <c r="AI24" s="79"/>
      <c r="AJ24" s="80"/>
      <c r="AK24" s="79"/>
      <c r="AM24" s="75">
        <f ca="1">AM26/AK28</f>
        <v>2.4855140186915885</v>
      </c>
      <c r="AN24" s="75">
        <f ca="1">AN26/AK28</f>
        <v>2.4855140186915885</v>
      </c>
      <c r="AR24" s="124">
        <f ca="1">AR26/AK28</f>
        <v>0.60310320483814184</v>
      </c>
      <c r="AS24" s="124">
        <f ca="1">AS26/AK28</f>
        <v>0.14634671304834967</v>
      </c>
      <c r="AT24" s="124">
        <f ca="1">AT26/AK28</f>
        <v>1.2790792311681976E-2</v>
      </c>
      <c r="AV24" s="79"/>
      <c r="AX24" s="75">
        <f ca="1">AX26/AV28</f>
        <v>2.4855140186915885</v>
      </c>
      <c r="AY24" s="75">
        <f ca="1">AY26/AV28</f>
        <v>2.4855140186915885</v>
      </c>
      <c r="BC24" s="124">
        <f ca="1">BC26/AV28</f>
        <v>0.60310320483814184</v>
      </c>
      <c r="BD24" s="124">
        <f ca="1">BD26/AV28</f>
        <v>0.14634671304834967</v>
      </c>
      <c r="BE24" s="124">
        <f ca="1">BE26/AV28</f>
        <v>1.2790792311681976E-2</v>
      </c>
      <c r="BG24" s="79"/>
      <c r="BI24" s="75">
        <f ca="1">BI26/BG28</f>
        <v>2.4855140186915885</v>
      </c>
      <c r="BJ24" s="75">
        <f ca="1">BJ26/BG28</f>
        <v>2.4855140186915885</v>
      </c>
      <c r="BN24" s="124">
        <f ca="1">BN26/BG28</f>
        <v>0.60310320483814184</v>
      </c>
      <c r="BO24" s="124">
        <f ca="1">BO26/BG28</f>
        <v>0.14634671304834967</v>
      </c>
      <c r="BP24" s="124">
        <f ca="1">BP26/BG28</f>
        <v>1.2790792311681976E-2</v>
      </c>
      <c r="BR24" s="79"/>
      <c r="BT24" s="75">
        <f ca="1">BT26/BR28</f>
        <v>2.4855140186915885</v>
      </c>
      <c r="BU24" s="75">
        <f ca="1">BU26/BR28</f>
        <v>2.4855140186915885</v>
      </c>
      <c r="BY24" s="124">
        <f ca="1">BY26/BR28</f>
        <v>0.60310320483814184</v>
      </c>
      <c r="BZ24" s="124">
        <f ca="1">BZ26/BR28</f>
        <v>0.14634671304834967</v>
      </c>
      <c r="CA24" s="124">
        <f ca="1">CA26/BR28</f>
        <v>1.2790792311681976E-2</v>
      </c>
    </row>
    <row r="25" spans="1:79" x14ac:dyDescent="0.25">
      <c r="A25" s="79"/>
      <c r="B25" s="166">
        <f ca="1">B21-D21</f>
        <v>0</v>
      </c>
      <c r="C25" s="79"/>
      <c r="D25" s="79"/>
      <c r="E25" s="79"/>
      <c r="F25" s="166">
        <f ca="1">F21-H21</f>
        <v>0</v>
      </c>
      <c r="G25" s="79"/>
      <c r="H25" s="79"/>
      <c r="I25" s="79"/>
      <c r="J25" s="144"/>
      <c r="K25" s="79"/>
      <c r="L25" s="79"/>
      <c r="M25" s="79"/>
      <c r="N25" s="144"/>
      <c r="AC25"/>
      <c r="AD25"/>
      <c r="AE25"/>
      <c r="AF25"/>
      <c r="AH25" s="79"/>
      <c r="AI25" s="79"/>
      <c r="AJ25" s="80"/>
      <c r="AK25" s="79"/>
      <c r="AL25" s="287">
        <f ca="1">B6</f>
        <v>37347</v>
      </c>
      <c r="AT25"/>
      <c r="AV25" s="79"/>
      <c r="AW25" s="287">
        <f ca="1">D6</f>
        <v>37347</v>
      </c>
      <c r="BE25"/>
      <c r="BG25" s="79"/>
      <c r="BH25" s="287">
        <f ca="1">F6</f>
        <v>37347</v>
      </c>
      <c r="BP25"/>
      <c r="BR25" s="79"/>
      <c r="BS25" s="287">
        <f ca="1">H6</f>
        <v>37347</v>
      </c>
      <c r="CA25"/>
    </row>
    <row r="26" spans="1:79" x14ac:dyDescent="0.25">
      <c r="A26" s="79"/>
      <c r="B26" s="171"/>
      <c r="C26" s="79"/>
      <c r="D26" s="171"/>
      <c r="E26" s="79"/>
      <c r="F26" s="79"/>
      <c r="G26" s="79"/>
      <c r="H26" s="79"/>
      <c r="I26" s="79"/>
      <c r="J26" s="125"/>
      <c r="K26" s="125"/>
      <c r="L26" s="125"/>
      <c r="M26" s="125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  <c r="AA26" s="153"/>
      <c r="AB26" s="81"/>
      <c r="AC26"/>
      <c r="AD26"/>
      <c r="AE26"/>
      <c r="AF26"/>
      <c r="AG26" s="84"/>
      <c r="AH26" s="79"/>
      <c r="AI26" s="79"/>
      <c r="AJ26" s="80"/>
      <c r="AK26" s="79" t="s">
        <v>121</v>
      </c>
      <c r="AL26" s="287">
        <f ca="1">B7</f>
        <v>37530</v>
      </c>
      <c r="AM26" s="100">
        <f ca="1">SUM(AM31:AM149)</f>
        <v>531.9</v>
      </c>
      <c r="AN26" s="100">
        <f ca="1">SUM(AN31:AN149)</f>
        <v>531.9</v>
      </c>
      <c r="AO26" s="100"/>
      <c r="AP26" s="100"/>
      <c r="AQ26" s="100"/>
      <c r="AR26" s="100">
        <f ca="1">SUM(AR31:AR149)</f>
        <v>129.06408583536236</v>
      </c>
      <c r="AS26" s="100">
        <f ca="1">SUM(AS31:AS149)</f>
        <v>31.31819659234683</v>
      </c>
      <c r="AT26" s="100">
        <f ca="1">SUM(AT31:AT149)</f>
        <v>2.737229554699943</v>
      </c>
      <c r="AV26" s="79" t="s">
        <v>133</v>
      </c>
      <c r="AW26" s="287">
        <f ca="1">D7</f>
        <v>37530</v>
      </c>
      <c r="AX26" s="100">
        <f ca="1">SUM(AX31:AX149)</f>
        <v>531.9</v>
      </c>
      <c r="AY26" s="100">
        <f ca="1">SUM(AY31:AY149)</f>
        <v>531.9</v>
      </c>
      <c r="AZ26" s="100"/>
      <c r="BA26" s="100"/>
      <c r="BB26" s="100"/>
      <c r="BC26" s="100">
        <f ca="1">SUM(BC31:BC149)</f>
        <v>129.06408583536236</v>
      </c>
      <c r="BD26" s="100">
        <f ca="1">SUM(BD31:BD149)</f>
        <v>31.31819659234683</v>
      </c>
      <c r="BE26" s="100">
        <f ca="1">SUM(BE31:BE149)</f>
        <v>2.737229554699943</v>
      </c>
      <c r="BG26" s="79" t="s">
        <v>134</v>
      </c>
      <c r="BH26" s="287">
        <f ca="1">F7</f>
        <v>37530</v>
      </c>
      <c r="BI26" s="100">
        <f ca="1">SUM(BI31:BI149)</f>
        <v>531.9</v>
      </c>
      <c r="BJ26" s="100">
        <f ca="1">SUM(BJ31:BJ149)</f>
        <v>531.9</v>
      </c>
      <c r="BK26" s="100"/>
      <c r="BL26" s="100"/>
      <c r="BM26" s="100"/>
      <c r="BN26" s="100">
        <f ca="1">SUM(BN31:BN149)</f>
        <v>129.06408583536236</v>
      </c>
      <c r="BO26" s="100">
        <f ca="1">SUM(BO31:BO149)</f>
        <v>31.31819659234683</v>
      </c>
      <c r="BP26" s="100">
        <f ca="1">SUM(BP31:BP149)</f>
        <v>2.737229554699943</v>
      </c>
      <c r="BR26" s="79" t="s">
        <v>135</v>
      </c>
      <c r="BS26" s="287">
        <f ca="1">H7</f>
        <v>37530</v>
      </c>
      <c r="BT26" s="100">
        <f ca="1">SUM(BT31:BT149)</f>
        <v>531.9</v>
      </c>
      <c r="BU26" s="100">
        <f ca="1">SUM(BU31:BU149)</f>
        <v>531.9</v>
      </c>
      <c r="BV26" s="100"/>
      <c r="BW26" s="100"/>
      <c r="BX26" s="100"/>
      <c r="BY26" s="100">
        <f ca="1">SUM(BY31:BY149)</f>
        <v>129.06408583536236</v>
      </c>
      <c r="BZ26" s="100">
        <f ca="1">SUM(BZ31:BZ149)</f>
        <v>31.31819659234683</v>
      </c>
      <c r="CA26" s="100">
        <f ca="1">SUM(CA31:CA149)</f>
        <v>2.737229554699943</v>
      </c>
    </row>
    <row r="27" spans="1:79" x14ac:dyDescent="0.25">
      <c r="A27" s="79"/>
      <c r="B27" s="170"/>
      <c r="C27" s="79"/>
      <c r="D27" s="55" t="s">
        <v>47</v>
      </c>
      <c r="E27" s="79"/>
      <c r="F27" s="170"/>
      <c r="G27" s="79"/>
      <c r="H27" s="170"/>
      <c r="I27" s="79"/>
      <c r="J27" s="55" t="s">
        <v>48</v>
      </c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C27"/>
      <c r="AD27"/>
      <c r="AE27"/>
      <c r="AF27"/>
      <c r="AH27" s="79"/>
      <c r="AI27" s="79"/>
      <c r="AJ27" s="80"/>
      <c r="AK27" s="79"/>
      <c r="AO27" s="75" t="s">
        <v>112</v>
      </c>
      <c r="AP27" s="75">
        <f ca="1">IF(B19=4,3,B19)</f>
        <v>3</v>
      </c>
      <c r="AT27"/>
      <c r="AV27" s="79"/>
      <c r="AZ27" s="75" t="s">
        <v>112</v>
      </c>
      <c r="BA27" s="75">
        <f ca="1">IF(D19=4,3,D19)</f>
        <v>3</v>
      </c>
      <c r="BE27"/>
      <c r="BG27" s="79"/>
      <c r="BK27" s="75" t="s">
        <v>112</v>
      </c>
      <c r="BL27" s="75">
        <f ca="1">IF(F19=4,3,F19)</f>
        <v>3</v>
      </c>
      <c r="BP27"/>
      <c r="BR27" s="79"/>
      <c r="BV27" s="75" t="s">
        <v>112</v>
      </c>
      <c r="BW27" s="75">
        <f ca="1">IF(H19=4,3,H19)</f>
        <v>3</v>
      </c>
      <c r="CA27"/>
    </row>
    <row r="28" spans="1:79" x14ac:dyDescent="0.25">
      <c r="A28" s="79"/>
      <c r="B28" s="131"/>
      <c r="C28" s="131"/>
      <c r="D28" s="144" t="str">
        <f ca="1">B4</f>
        <v>nymex</v>
      </c>
      <c r="E28" s="75" t="s">
        <v>53</v>
      </c>
      <c r="J28" s="144" t="str">
        <f ca="1">D4</f>
        <v>nymex</v>
      </c>
      <c r="P28" s="144" t="str">
        <f ca="1">F4</f>
        <v>nymex</v>
      </c>
      <c r="V28" s="144" t="str">
        <f ca="1">H4</f>
        <v>nymex</v>
      </c>
      <c r="AC28" s="276">
        <v>37173</v>
      </c>
      <c r="AD28" s="125"/>
      <c r="AE28"/>
      <c r="AJ28" s="80"/>
      <c r="AK28" s="128">
        <f ca="1">SUM(AK31:AK149)</f>
        <v>214</v>
      </c>
      <c r="AO28" s="75" t="s">
        <v>127</v>
      </c>
      <c r="AP28" s="75">
        <f>IF($G$1="GAMMA",3,IF($G$1="THETA",4,5))</f>
        <v>5</v>
      </c>
      <c r="AT28"/>
      <c r="AV28" s="128">
        <f ca="1">SUM(AV31:AV149)</f>
        <v>214</v>
      </c>
      <c r="AZ28" s="75" t="s">
        <v>127</v>
      </c>
      <c r="BA28" s="75">
        <f>IF($G$1="GAMMA",3,IF($G$1="THETA",4,5))</f>
        <v>5</v>
      </c>
      <c r="BE28"/>
      <c r="BG28" s="128">
        <f ca="1">SUM(BG31:BG149)</f>
        <v>214</v>
      </c>
      <c r="BK28" s="75" t="s">
        <v>127</v>
      </c>
      <c r="BL28" s="75">
        <f>IF($G$1="GAMMA",3,IF($G$1="THETA",4,5))</f>
        <v>5</v>
      </c>
      <c r="BP28"/>
      <c r="BR28" s="128">
        <f ca="1">SUM(BR31:BR149)</f>
        <v>214</v>
      </c>
      <c r="BV28" s="75" t="s">
        <v>127</v>
      </c>
      <c r="BW28" s="75">
        <f>IF($G$1="GAMMA",3,IF($G$1="THETA",4,5))</f>
        <v>5</v>
      </c>
      <c r="CA28"/>
    </row>
    <row r="29" spans="1:79" ht="13.8" thickBot="1" x14ac:dyDescent="0.3">
      <c r="B29" s="154"/>
      <c r="C29" s="154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81"/>
      <c r="AC29" s="75" t="s">
        <v>43</v>
      </c>
      <c r="AF29"/>
      <c r="AG29" s="79"/>
      <c r="AI29" s="79"/>
      <c r="AL29" s="285" t="s">
        <v>40</v>
      </c>
      <c r="AM29" s="89" t="s">
        <v>36</v>
      </c>
      <c r="AN29" s="89" t="s">
        <v>128</v>
      </c>
      <c r="AO29" s="89" t="s">
        <v>37</v>
      </c>
      <c r="AP29" s="89" t="s">
        <v>28</v>
      </c>
      <c r="AQ29" s="89" t="str">
        <f>$G1</f>
        <v>VEGA</v>
      </c>
      <c r="AR29" s="77" t="s">
        <v>37</v>
      </c>
      <c r="AS29" s="77" t="s">
        <v>28</v>
      </c>
      <c r="AT29" s="77" t="str">
        <f>AQ29</f>
        <v>VEGA</v>
      </c>
      <c r="AW29" s="285" t="s">
        <v>40</v>
      </c>
      <c r="AX29" s="89" t="s">
        <v>36</v>
      </c>
      <c r="AY29" s="89" t="s">
        <v>128</v>
      </c>
      <c r="AZ29" s="89" t="s">
        <v>37</v>
      </c>
      <c r="BA29" s="89" t="s">
        <v>28</v>
      </c>
      <c r="BB29" s="89" t="str">
        <f>$G1</f>
        <v>VEGA</v>
      </c>
      <c r="BC29" s="77" t="s">
        <v>37</v>
      </c>
      <c r="BD29" s="77" t="s">
        <v>28</v>
      </c>
      <c r="BE29" s="77" t="str">
        <f>BB29</f>
        <v>VEGA</v>
      </c>
      <c r="BH29" s="285" t="s">
        <v>40</v>
      </c>
      <c r="BI29" s="89" t="s">
        <v>36</v>
      </c>
      <c r="BJ29" s="89" t="s">
        <v>128</v>
      </c>
      <c r="BK29" s="89" t="s">
        <v>37</v>
      </c>
      <c r="BL29" s="89" t="s">
        <v>28</v>
      </c>
      <c r="BM29" s="89" t="str">
        <f>$G1</f>
        <v>VEGA</v>
      </c>
      <c r="BN29" s="77" t="s">
        <v>37</v>
      </c>
      <c r="BO29" s="77" t="s">
        <v>28</v>
      </c>
      <c r="BP29" s="77" t="str">
        <f>BM29</f>
        <v>VEGA</v>
      </c>
      <c r="BS29" s="285" t="s">
        <v>40</v>
      </c>
      <c r="BT29" s="89" t="s">
        <v>36</v>
      </c>
      <c r="BU29" s="89" t="s">
        <v>128</v>
      </c>
      <c r="BV29" s="89" t="s">
        <v>37</v>
      </c>
      <c r="BW29" s="89" t="s">
        <v>28</v>
      </c>
      <c r="BX29" s="89" t="str">
        <f>$G1</f>
        <v>VEGA</v>
      </c>
      <c r="BY29" s="77" t="s">
        <v>37</v>
      </c>
      <c r="BZ29" s="77" t="s">
        <v>28</v>
      </c>
      <c r="CA29" s="77" t="str">
        <f>BX29</f>
        <v>VEGA</v>
      </c>
    </row>
    <row r="30" spans="1:79" ht="14.4" thickTop="1" thickBot="1" x14ac:dyDescent="0.3">
      <c r="A30" s="93" t="s">
        <v>24</v>
      </c>
      <c r="B30" s="93" t="s">
        <v>53</v>
      </c>
      <c r="C30" s="93" t="s">
        <v>27</v>
      </c>
      <c r="D30" s="93" t="s">
        <v>35</v>
      </c>
      <c r="E30" s="93" t="s">
        <v>25</v>
      </c>
      <c r="F30" s="93" t="s">
        <v>50</v>
      </c>
      <c r="G30" s="93" t="s">
        <v>110</v>
      </c>
      <c r="H30" s="93" t="s">
        <v>45</v>
      </c>
      <c r="J30" s="93" t="s">
        <v>35</v>
      </c>
      <c r="K30" s="93" t="s">
        <v>25</v>
      </c>
      <c r="L30" s="93" t="s">
        <v>51</v>
      </c>
      <c r="M30" s="93" t="s">
        <v>111</v>
      </c>
      <c r="N30" s="93" t="s">
        <v>46</v>
      </c>
      <c r="P30" s="93" t="s">
        <v>35</v>
      </c>
      <c r="Q30" s="93" t="s">
        <v>25</v>
      </c>
      <c r="R30" s="93" t="s">
        <v>125</v>
      </c>
      <c r="S30" s="93" t="s">
        <v>129</v>
      </c>
      <c r="T30" s="93" t="s">
        <v>123</v>
      </c>
      <c r="V30" s="93" t="s">
        <v>35</v>
      </c>
      <c r="W30" s="93" t="s">
        <v>25</v>
      </c>
      <c r="X30" s="93" t="s">
        <v>126</v>
      </c>
      <c r="Y30" s="93" t="s">
        <v>130</v>
      </c>
      <c r="Z30" s="93" t="s">
        <v>124</v>
      </c>
      <c r="AC30" s="75" t="s">
        <v>143</v>
      </c>
      <c r="AD30" s="93" t="s">
        <v>144</v>
      </c>
      <c r="AE30" s="93" t="s">
        <v>26</v>
      </c>
      <c r="AF30" s="79"/>
      <c r="AI30" s="160"/>
      <c r="AK30" s="75" t="s">
        <v>44</v>
      </c>
      <c r="AN30" s="80"/>
      <c r="AO30" s="79"/>
      <c r="AP30" s="79"/>
      <c r="AQ30" s="79"/>
      <c r="AT30" t="s">
        <v>132</v>
      </c>
      <c r="AV30" s="75" t="s">
        <v>44</v>
      </c>
      <c r="AY30" s="80"/>
      <c r="AZ30" s="79"/>
      <c r="BA30" s="79"/>
      <c r="BB30" s="79"/>
      <c r="BE30" t="s">
        <v>132</v>
      </c>
      <c r="BG30" s="75" t="s">
        <v>44</v>
      </c>
      <c r="BJ30" s="80"/>
      <c r="BK30" s="79"/>
      <c r="BL30" s="79"/>
      <c r="BM30" s="79"/>
      <c r="BP30" t="s">
        <v>132</v>
      </c>
      <c r="BR30" s="75" t="s">
        <v>44</v>
      </c>
      <c r="BU30" s="80"/>
      <c r="BV30" s="79"/>
      <c r="BW30" s="79"/>
      <c r="BX30" s="79"/>
      <c r="CA30" t="s">
        <v>132</v>
      </c>
    </row>
    <row r="31" spans="1:79" ht="13.8" thickTop="1" x14ac:dyDescent="0.25">
      <c r="A31" s="94">
        <v>37288</v>
      </c>
      <c r="B31" s="95">
        <f ca="1">VLOOKUP(A31,STRADDLE,5,FALSE)</f>
        <v>2.31</v>
      </c>
      <c r="C31" s="77">
        <f ca="1">VLOOKUP(A31,STRADDLE,6,FALSE)</f>
        <v>0.63475375128385381</v>
      </c>
      <c r="D31" s="95">
        <f t="shared" ref="D31:D94" ca="1" si="0">IF(D$28="nymex",0,VLOOKUP($A31,curvesettle,HLOOKUP(D$28,curvesettle,2,FALSE)))</f>
        <v>0</v>
      </c>
      <c r="E31" s="97">
        <f t="shared" ref="E31:E62" ca="1" si="1">IF(D$28="NYMEX",$AD31,$AC31)</f>
        <v>21</v>
      </c>
      <c r="F31" s="77" t="e">
        <f t="shared" ref="F31:F62" ca="1" si="2">($C31+G31)+B$15</f>
        <v>#DIV/0!</v>
      </c>
      <c r="G31" s="77" t="e">
        <f ca="1">IF(B$16=1,_xll.xCalcSkew(A31,H31-AL31,b)/100,0)</f>
        <v>#DIV/0!</v>
      </c>
      <c r="H31" s="96">
        <f t="shared" ref="H31:H62" ca="1" si="3">IF($B$19=4,$AL31,$B$18)</f>
        <v>2.44</v>
      </c>
      <c r="J31" s="95">
        <f t="shared" ref="J31:J94" ca="1" si="4">IF(J$28="nymex",0,VLOOKUP($A31,curvesettle,HLOOKUP(J$28,curvesettle,2,FALSE)))</f>
        <v>0</v>
      </c>
      <c r="K31" s="97">
        <f t="shared" ref="K31:K62" ca="1" si="5">IF(J$28="NYMEX",$AD31,$AC31)</f>
        <v>21</v>
      </c>
      <c r="L31" s="172" t="e">
        <f t="shared" ref="L31:L62" ca="1" si="6">($C31+M31)+D$15</f>
        <v>#DIV/0!</v>
      </c>
      <c r="M31" s="77" t="e">
        <f ca="1">IF(D$16=1,_xll.xCalcSkew($A31,N31-AW31,b)/100,0)</f>
        <v>#DIV/0!</v>
      </c>
      <c r="N31" s="96">
        <f t="shared" ref="N31:N62" ca="1" si="7">IF($D$19=4,$AW31,$D$18)</f>
        <v>2.44</v>
      </c>
      <c r="P31" s="95">
        <f t="shared" ref="P31:P94" ca="1" si="8">IF(P$28="nymex",0,VLOOKUP($A31,curvesettle,HLOOKUP(P$28,curvesettle,2,FALSE)))</f>
        <v>0</v>
      </c>
      <c r="Q31" s="97">
        <f t="shared" ref="Q31:Q62" ca="1" si="9">IF(P$28="NYMEX",$AD31,$AC31)</f>
        <v>21</v>
      </c>
      <c r="R31" s="172" t="e">
        <f t="shared" ref="R31:R62" ca="1" si="10">($C31+S31)+F$15</f>
        <v>#DIV/0!</v>
      </c>
      <c r="S31" s="77" t="e">
        <f ca="1">IF(F$16=1,_xll.xCalcSkew($A31,T31-BH31,b)/100,0)</f>
        <v>#DIV/0!</v>
      </c>
      <c r="T31" s="96">
        <f t="shared" ref="T31:T62" ca="1" si="11">IF($F$19=4,$BH31,$F$18)</f>
        <v>2.44</v>
      </c>
      <c r="V31" s="95">
        <f t="shared" ref="V31:V94" ca="1" si="12">IF(V$28="nymex",0,VLOOKUP($A31,curvesettle,HLOOKUP(V$28,curvesettle,2,FALSE)))</f>
        <v>0</v>
      </c>
      <c r="W31" s="97">
        <f t="shared" ref="W31:W62" ca="1" si="13">IF(V$28="NYMEX",$AD31,$AC31)</f>
        <v>21</v>
      </c>
      <c r="X31" s="77" t="e">
        <f t="shared" ref="X31:X62" ca="1" si="14">($C31+Y31)+H$15</f>
        <v>#DIV/0!</v>
      </c>
      <c r="Y31" s="77" t="e">
        <f ca="1">IF(H$16=1,_xll.xCalcSkew($A31,Z31-BS31,b)/100,0)</f>
        <v>#DIV/0!</v>
      </c>
      <c r="Z31" s="96">
        <f t="shared" ref="Z31:Z62" ca="1" si="15">IF($H$19=4,$BS31,$H$18)</f>
        <v>2.44</v>
      </c>
      <c r="AC31" s="97">
        <f t="shared" ref="AC31:AC95" ca="1" si="16">VLOOKUP($A31,expiration,2,FALSE)-$B$2</f>
        <v>22</v>
      </c>
      <c r="AD31" s="97">
        <f t="shared" ref="AD31:AD95" ca="1" si="17">VLOOKUP($A31,expiration,3,FALSE)-$B$2</f>
        <v>21</v>
      </c>
      <c r="AE31" s="77">
        <f ca="1">VLOOKUP($A31,STRADDLE,15,FALSE)</f>
        <v>2.1780849295643299E-2</v>
      </c>
      <c r="AF31" s="152">
        <f t="shared" ref="AF31:AF62" si="18">A32-A31</f>
        <v>28</v>
      </c>
      <c r="AG31" s="99"/>
      <c r="AH31" s="99"/>
      <c r="AI31" s="99"/>
      <c r="AJ31" s="99"/>
      <c r="AK31" s="78">
        <f t="shared" ref="AK31:AK62" ca="1" si="19">IF($A31&gt;=AL$25,IF($A31&lt;=AL$26,$AF31,0),0)</f>
        <v>0</v>
      </c>
      <c r="AL31" s="288" t="e">
        <f ca="1">AN31/AK31</f>
        <v>#DIV/0!</v>
      </c>
      <c r="AM31" s="75">
        <f t="shared" ref="AM31:AM62" ca="1" si="20">AK31*($B31+B$13)</f>
        <v>0</v>
      </c>
      <c r="AN31" s="100">
        <f t="shared" ref="AN31:AN62" ca="1" si="21">IF(ISNUMBER(((AM31/AK31)+B$14+$D31)*AK31),((AM31/AK31)+B$14+$D31)*AK31,0)</f>
        <v>0</v>
      </c>
      <c r="AO31" s="99">
        <f t="shared" ref="AO31:AO62" ca="1" si="22">IF(AK31=0,0,bsd(1,AP$27,AL31,$H31,$E31,$F31,$AE31,0.1))</f>
        <v>0</v>
      </c>
      <c r="AP31" s="99">
        <f t="shared" ref="AP31:AP62" ca="1" si="23">IF(AK31=0,0,bsd(2,AP$27,AL31,$H31,$E31,$F31,$AE31,0.1))</f>
        <v>0</v>
      </c>
      <c r="AQ31" s="99">
        <f t="shared" ref="AQ31:AQ62" ca="1" si="24">IF(AK31=0,0,bsd(AP$28,AP$27,AL31,$H31,$E31,$F31,$AE31,0.1))</f>
        <v>0</v>
      </c>
      <c r="AR31" s="101">
        <f ca="1">AK31*AO31</f>
        <v>0</v>
      </c>
      <c r="AS31" s="101">
        <f ca="1">AK31*AP31</f>
        <v>0</v>
      </c>
      <c r="AT31" s="101">
        <f ca="1">AK31*AQ31</f>
        <v>0</v>
      </c>
      <c r="AV31" s="78">
        <f t="shared" ref="AV31:AV62" ca="1" si="25">IF($A31&gt;=AW$25,IF($A31&lt;=AW$26,$AF31,0),0)</f>
        <v>0</v>
      </c>
      <c r="AW31" s="288" t="e">
        <f ca="1">AY31/AV31</f>
        <v>#DIV/0!</v>
      </c>
      <c r="AX31" s="75">
        <f t="shared" ref="AX31:AX62" ca="1" si="26">AV31*($B31+D$13)</f>
        <v>0</v>
      </c>
      <c r="AY31" s="100">
        <f t="shared" ref="AY31:AY62" ca="1" si="27">IF(ISNUMBER(((AX31/AV31)+D$14+$J31)*AV31),((AX31/AV31)+D$14+$J31)*AV31,0)</f>
        <v>0</v>
      </c>
      <c r="AZ31" s="99">
        <f t="shared" ref="AZ31:AZ62" ca="1" si="28">IF(AV31=0,0,bsd(1,BA$27,AW31,$N31,$K31,$L31,$AE31,0.1))</f>
        <v>0</v>
      </c>
      <c r="BA31" s="99">
        <f t="shared" ref="BA31:BA62" ca="1" si="29">IF(AV31=0,0,bsd(2,BA$27,AW31,$N31,$K31,$L31,$AE31,0.1))</f>
        <v>0</v>
      </c>
      <c r="BB31" s="99">
        <f t="shared" ref="BB31:BB62" ca="1" si="30">IF(AV31=0,0,bsd(BA$28,BA$27,AW31,$N31,$K31,$L31,$AE31,0.1))</f>
        <v>0</v>
      </c>
      <c r="BC31" s="101">
        <f ca="1">AV31*AZ31</f>
        <v>0</v>
      </c>
      <c r="BD31" s="101">
        <f ca="1">AV31*BA31</f>
        <v>0</v>
      </c>
      <c r="BE31" s="101">
        <f ca="1">AV31*BB31</f>
        <v>0</v>
      </c>
      <c r="BG31" s="78">
        <f t="shared" ref="BG31:BG62" ca="1" si="31">IF($A31&gt;=BH$25,IF($A31&lt;=BH$26,$AF31,0),0)</f>
        <v>0</v>
      </c>
      <c r="BH31" s="288" t="e">
        <f ca="1">BJ31/BG31</f>
        <v>#DIV/0!</v>
      </c>
      <c r="BI31" s="75">
        <f t="shared" ref="BI31:BI62" ca="1" si="32">BG31*($B31+F$13)</f>
        <v>0</v>
      </c>
      <c r="BJ31" s="100">
        <f t="shared" ref="BJ31:BJ62" ca="1" si="33">IF(ISNUMBER(((BI31/BG31)+F$14+$P31)*BG31),((BI31/BG31)+F$14+$P31)*BG31,0)</f>
        <v>0</v>
      </c>
      <c r="BK31" s="99">
        <f t="shared" ref="BK31:BK62" ca="1" si="34">IF(BG31=0,0,bsd(1,BL$27,BH31,$T31,$Q31,$R31,$AE31,0.1))</f>
        <v>0</v>
      </c>
      <c r="BL31" s="99">
        <f t="shared" ref="BL31:BL62" ca="1" si="35">IF(BG31=0,0,bsd(2,BL$27,BH31,$T31,$Q31,$R31,$AE31,0.1))</f>
        <v>0</v>
      </c>
      <c r="BM31" s="99">
        <f t="shared" ref="BM31:BM62" ca="1" si="36">IF(BG31=0,0,bsd(BL$28,BL$27,BH31,$T31,$Q31,$R31,$AE31,0.1))</f>
        <v>0</v>
      </c>
      <c r="BN31" s="101">
        <f ca="1">BG31*BK31</f>
        <v>0</v>
      </c>
      <c r="BO31" s="101">
        <f ca="1">BG31*BL31</f>
        <v>0</v>
      </c>
      <c r="BP31" s="101">
        <f ca="1">BG31*BM31</f>
        <v>0</v>
      </c>
      <c r="BR31" s="78">
        <f t="shared" ref="BR31:BR62" ca="1" si="37">IF($A31&gt;=BS$25,IF($A31&lt;=BS$26,$AF31,0),0)</f>
        <v>0</v>
      </c>
      <c r="BS31" s="288" t="e">
        <f ca="1">BU31/BR31</f>
        <v>#DIV/0!</v>
      </c>
      <c r="BT31" s="75">
        <f t="shared" ref="BT31:BT62" ca="1" si="38">BR31*($B31+H$13)</f>
        <v>0</v>
      </c>
      <c r="BU31" s="100">
        <f t="shared" ref="BU31:BU62" ca="1" si="39">IF(ISNUMBER(((BT31/BR31)+H$14+$V31)*BR31),((BT31/BR31)+H$14+$V31)*BR31,0)</f>
        <v>0</v>
      </c>
      <c r="BV31" s="99">
        <f t="shared" ref="BV31:BV62" ca="1" si="40">IF(BR31=0,0,bsd(1,BW$27,BS31,$Z31,$W31,$X31,$AE31,0.1))</f>
        <v>0</v>
      </c>
      <c r="BW31" s="99">
        <f t="shared" ref="BW31:BW62" ca="1" si="41">IF(BR31=0,0,bsd(2,BW$27,BS31,$Z31,$W31,$X31,$AE31,0.1))</f>
        <v>0</v>
      </c>
      <c r="BX31" s="99">
        <f t="shared" ref="BX31:BX62" ca="1" si="42">IF(BR31=0,0,bsd(BW$28,BW$27,BS31,$Z31,$W31,$X31,$AE31,0.1))</f>
        <v>0</v>
      </c>
      <c r="BY31" s="101">
        <f ca="1">BR31*BV31</f>
        <v>0</v>
      </c>
      <c r="BZ31" s="101">
        <f ca="1">BR31*BW31</f>
        <v>0</v>
      </c>
      <c r="CA31" s="101">
        <f ca="1">BR31*BX31</f>
        <v>0</v>
      </c>
    </row>
    <row r="32" spans="1:79" x14ac:dyDescent="0.25">
      <c r="A32" s="94">
        <f t="shared" ref="A32:A95" si="43">DATE(YEAR(A31),MONTH(A31)+1,1)</f>
        <v>37316</v>
      </c>
      <c r="B32" s="95">
        <f t="shared" ref="B32:B95" ca="1" si="44">VLOOKUP(A32,STRADDLE,5,FALSE)</f>
        <v>2.2999999999999998</v>
      </c>
      <c r="C32" s="77">
        <f t="shared" ref="C32:C95" ca="1" si="45">VLOOKUP(A32,STRADDLE,6,FALSE)</f>
        <v>0.59777808534138632</v>
      </c>
      <c r="D32" s="95">
        <f t="shared" ca="1" si="0"/>
        <v>0</v>
      </c>
      <c r="E32" s="97">
        <f t="shared" ca="1" si="1"/>
        <v>49</v>
      </c>
      <c r="F32" s="77" t="e">
        <f t="shared" ca="1" si="2"/>
        <v>#DIV/0!</v>
      </c>
      <c r="G32" s="77" t="e">
        <f ca="1">IF(B$16=1,_xll.xCalcSkew(A32,H32-AL32,b)/100,0)</f>
        <v>#DIV/0!</v>
      </c>
      <c r="H32" s="96">
        <f t="shared" ca="1" si="3"/>
        <v>2.44</v>
      </c>
      <c r="J32" s="95">
        <f t="shared" ca="1" si="4"/>
        <v>0</v>
      </c>
      <c r="K32" s="97">
        <f t="shared" ca="1" si="5"/>
        <v>49</v>
      </c>
      <c r="L32" s="172" t="e">
        <f t="shared" ca="1" si="6"/>
        <v>#DIV/0!</v>
      </c>
      <c r="M32" s="77" t="e">
        <f ca="1">IF(D$16=1,_xll.xCalcSkew($A32,N32-AW32,b)/100,0)</f>
        <v>#DIV/0!</v>
      </c>
      <c r="N32" s="96">
        <f t="shared" ca="1" si="7"/>
        <v>2.44</v>
      </c>
      <c r="P32" s="95">
        <f t="shared" ca="1" si="8"/>
        <v>0</v>
      </c>
      <c r="Q32" s="97">
        <f t="shared" ca="1" si="9"/>
        <v>49</v>
      </c>
      <c r="R32" s="172" t="e">
        <f t="shared" ca="1" si="10"/>
        <v>#DIV/0!</v>
      </c>
      <c r="S32" s="77" t="e">
        <f ca="1">IF(F$16=1,_xll.xCalcSkew($A32,T32-BH32,b)/100,0)</f>
        <v>#DIV/0!</v>
      </c>
      <c r="T32" s="96">
        <f t="shared" ca="1" si="11"/>
        <v>2.44</v>
      </c>
      <c r="V32" s="95">
        <f t="shared" ca="1" si="12"/>
        <v>0</v>
      </c>
      <c r="W32" s="97">
        <f t="shared" ca="1" si="13"/>
        <v>49</v>
      </c>
      <c r="X32" s="77" t="e">
        <f t="shared" ca="1" si="14"/>
        <v>#DIV/0!</v>
      </c>
      <c r="Y32" s="77" t="e">
        <f ca="1">IF(H$16=1,_xll.xCalcSkew($A32,Z32-BS32,b)/100,0)</f>
        <v>#DIV/0!</v>
      </c>
      <c r="Z32" s="96">
        <f t="shared" ca="1" si="15"/>
        <v>2.44</v>
      </c>
      <c r="AC32" s="97">
        <f t="shared" ca="1" si="16"/>
        <v>50</v>
      </c>
      <c r="AD32" s="97">
        <f t="shared" ca="1" si="17"/>
        <v>49</v>
      </c>
      <c r="AE32" s="77">
        <f t="shared" ref="AE32:AE95" ca="1" si="46">VLOOKUP($A32,STRADDLE,15,FALSE)</f>
        <v>2.1145658071011701E-2</v>
      </c>
      <c r="AF32" s="152">
        <f t="shared" si="18"/>
        <v>31</v>
      </c>
      <c r="AG32" s="99"/>
      <c r="AH32" s="99"/>
      <c r="AI32" s="99"/>
      <c r="AJ32" s="99"/>
      <c r="AK32" s="78">
        <f t="shared" ca="1" si="19"/>
        <v>0</v>
      </c>
      <c r="AL32" s="288" t="e">
        <f t="shared" ref="AL32:AL95" ca="1" si="47">AN32/AK32</f>
        <v>#DIV/0!</v>
      </c>
      <c r="AM32" s="75">
        <f t="shared" ca="1" si="20"/>
        <v>0</v>
      </c>
      <c r="AN32" s="100">
        <f t="shared" ca="1" si="21"/>
        <v>0</v>
      </c>
      <c r="AO32" s="99">
        <f t="shared" ca="1" si="22"/>
        <v>0</v>
      </c>
      <c r="AP32" s="99">
        <f t="shared" ca="1" si="23"/>
        <v>0</v>
      </c>
      <c r="AQ32" s="99">
        <f t="shared" ca="1" si="24"/>
        <v>0</v>
      </c>
      <c r="AR32" s="101">
        <f t="shared" ref="AR32:AR95" ca="1" si="48">AK32*AO32</f>
        <v>0</v>
      </c>
      <c r="AS32" s="101">
        <f t="shared" ref="AS32:AS95" ca="1" si="49">AK32*AP32</f>
        <v>0</v>
      </c>
      <c r="AT32" s="101">
        <f t="shared" ref="AT32:AT95" ca="1" si="50">AK32*AQ32</f>
        <v>0</v>
      </c>
      <c r="AV32" s="78">
        <f t="shared" ca="1" si="25"/>
        <v>0</v>
      </c>
      <c r="AW32" s="288" t="e">
        <f t="shared" ref="AW32:AW95" ca="1" si="51">AY32/AV32</f>
        <v>#DIV/0!</v>
      </c>
      <c r="AX32" s="75">
        <f t="shared" ca="1" si="26"/>
        <v>0</v>
      </c>
      <c r="AY32" s="100">
        <f t="shared" ca="1" si="27"/>
        <v>0</v>
      </c>
      <c r="AZ32" s="99">
        <f t="shared" ca="1" si="28"/>
        <v>0</v>
      </c>
      <c r="BA32" s="99">
        <f t="shared" ca="1" si="29"/>
        <v>0</v>
      </c>
      <c r="BB32" s="99">
        <f t="shared" ca="1" si="30"/>
        <v>0</v>
      </c>
      <c r="BC32" s="101">
        <f t="shared" ref="BC32:BC95" ca="1" si="52">AV32*AZ32</f>
        <v>0</v>
      </c>
      <c r="BD32" s="101">
        <f t="shared" ref="BD32:BD95" ca="1" si="53">AV32*BA32</f>
        <v>0</v>
      </c>
      <c r="BE32" s="101">
        <f t="shared" ref="BE32:BE95" ca="1" si="54">AV32*BB32</f>
        <v>0</v>
      </c>
      <c r="BG32" s="78">
        <f t="shared" ca="1" si="31"/>
        <v>0</v>
      </c>
      <c r="BH32" s="288" t="e">
        <f t="shared" ref="BH32:BH95" ca="1" si="55">BJ32/BG32</f>
        <v>#DIV/0!</v>
      </c>
      <c r="BI32" s="75">
        <f t="shared" ca="1" si="32"/>
        <v>0</v>
      </c>
      <c r="BJ32" s="100">
        <f t="shared" ca="1" si="33"/>
        <v>0</v>
      </c>
      <c r="BK32" s="99">
        <f t="shared" ca="1" si="34"/>
        <v>0</v>
      </c>
      <c r="BL32" s="99">
        <f t="shared" ca="1" si="35"/>
        <v>0</v>
      </c>
      <c r="BM32" s="99">
        <f t="shared" ca="1" si="36"/>
        <v>0</v>
      </c>
      <c r="BN32" s="101">
        <f t="shared" ref="BN32:BN95" ca="1" si="56">BG32*BK32</f>
        <v>0</v>
      </c>
      <c r="BO32" s="101">
        <f t="shared" ref="BO32:BO95" ca="1" si="57">BG32*BL32</f>
        <v>0</v>
      </c>
      <c r="BP32" s="101">
        <f t="shared" ref="BP32:BP95" ca="1" si="58">BG32*BM32</f>
        <v>0</v>
      </c>
      <c r="BR32" s="78">
        <f t="shared" ca="1" si="37"/>
        <v>0</v>
      </c>
      <c r="BS32" s="288" t="e">
        <f t="shared" ref="BS32:BS95" ca="1" si="59">BU32/BR32</f>
        <v>#DIV/0!</v>
      </c>
      <c r="BT32" s="75">
        <f t="shared" ca="1" si="38"/>
        <v>0</v>
      </c>
      <c r="BU32" s="100">
        <f t="shared" ca="1" si="39"/>
        <v>0</v>
      </c>
      <c r="BV32" s="99">
        <f t="shared" ca="1" si="40"/>
        <v>0</v>
      </c>
      <c r="BW32" s="99">
        <f t="shared" ca="1" si="41"/>
        <v>0</v>
      </c>
      <c r="BX32" s="99">
        <f t="shared" ca="1" si="42"/>
        <v>0</v>
      </c>
      <c r="BY32" s="101">
        <f t="shared" ref="BY32:BY95" ca="1" si="60">BR32*BV32</f>
        <v>0</v>
      </c>
      <c r="BZ32" s="101">
        <f t="shared" ref="BZ32:BZ95" ca="1" si="61">BR32*BW32</f>
        <v>0</v>
      </c>
      <c r="CA32" s="101">
        <f t="shared" ref="CA32:CA95" ca="1" si="62">BR32*BX32</f>
        <v>0</v>
      </c>
    </row>
    <row r="33" spans="1:79" x14ac:dyDescent="0.25">
      <c r="A33" s="94">
        <f t="shared" si="43"/>
        <v>37347</v>
      </c>
      <c r="B33" s="95">
        <f t="shared" ca="1" si="44"/>
        <v>2.3199999999999998</v>
      </c>
      <c r="C33" s="77">
        <f t="shared" ca="1" si="45"/>
        <v>0.49724218829597672</v>
      </c>
      <c r="D33" s="95">
        <f t="shared" ca="1" si="0"/>
        <v>0</v>
      </c>
      <c r="E33" s="97">
        <f t="shared" ca="1" si="1"/>
        <v>77</v>
      </c>
      <c r="F33" s="77">
        <f t="shared" ca="1" si="2"/>
        <v>0.50204218829597669</v>
      </c>
      <c r="G33" s="77">
        <f ca="1">IF(B$16=1,_xll.xCalcSkew(A33,H33-AL33,b)/100,0)</f>
        <v>4.8000000000000039E-3</v>
      </c>
      <c r="H33" s="96">
        <f t="shared" ca="1" si="3"/>
        <v>2.44</v>
      </c>
      <c r="J33" s="95">
        <f t="shared" ca="1" si="4"/>
        <v>0</v>
      </c>
      <c r="K33" s="97">
        <f t="shared" ca="1" si="5"/>
        <v>77</v>
      </c>
      <c r="L33" s="172">
        <f t="shared" ca="1" si="6"/>
        <v>0.50204218829597669</v>
      </c>
      <c r="M33" s="77">
        <f ca="1">IF(D$16=1,_xll.xCalcSkew($A33,N33-AW33,b)/100,0)</f>
        <v>4.8000000000000039E-3</v>
      </c>
      <c r="N33" s="96">
        <f t="shared" ca="1" si="7"/>
        <v>2.44</v>
      </c>
      <c r="P33" s="95">
        <f t="shared" ca="1" si="8"/>
        <v>0</v>
      </c>
      <c r="Q33" s="97">
        <f t="shared" ca="1" si="9"/>
        <v>77</v>
      </c>
      <c r="R33" s="172">
        <f t="shared" ca="1" si="10"/>
        <v>0.50204218829597669</v>
      </c>
      <c r="S33" s="77">
        <f ca="1">IF(F$16=1,_xll.xCalcSkew($A33,T33-BH33,b)/100,0)</f>
        <v>4.8000000000000039E-3</v>
      </c>
      <c r="T33" s="96">
        <f t="shared" ca="1" si="11"/>
        <v>2.44</v>
      </c>
      <c r="V33" s="95">
        <f t="shared" ca="1" si="12"/>
        <v>0</v>
      </c>
      <c r="W33" s="97">
        <f t="shared" ca="1" si="13"/>
        <v>77</v>
      </c>
      <c r="X33" s="77">
        <f t="shared" ca="1" si="14"/>
        <v>0.50204218829597669</v>
      </c>
      <c r="Y33" s="77">
        <f ca="1">IF(H$16=1,_xll.xCalcSkew($A33,Z33-BS33,b)/100,0)</f>
        <v>4.8000000000000039E-3</v>
      </c>
      <c r="Z33" s="96">
        <f t="shared" ca="1" si="15"/>
        <v>2.44</v>
      </c>
      <c r="AC33" s="97">
        <f t="shared" ca="1" si="16"/>
        <v>78</v>
      </c>
      <c r="AD33" s="97">
        <f t="shared" ca="1" si="17"/>
        <v>77</v>
      </c>
      <c r="AE33" s="77">
        <f t="shared" ca="1" si="46"/>
        <v>2.07759939054513E-2</v>
      </c>
      <c r="AF33" s="152">
        <f t="shared" si="18"/>
        <v>30</v>
      </c>
      <c r="AG33" s="99"/>
      <c r="AH33" s="99"/>
      <c r="AI33" s="99"/>
      <c r="AJ33" s="99"/>
      <c r="AK33" s="78">
        <f t="shared" ca="1" si="19"/>
        <v>30</v>
      </c>
      <c r="AL33" s="288">
        <f t="shared" ca="1" si="47"/>
        <v>2.3199999999999998</v>
      </c>
      <c r="AM33" s="75">
        <f t="shared" ca="1" si="20"/>
        <v>69.599999999999994</v>
      </c>
      <c r="AN33" s="100">
        <f t="shared" ca="1" si="21"/>
        <v>69.599999999999994</v>
      </c>
      <c r="AO33" s="99">
        <f t="shared" ca="1" si="22"/>
        <v>0.44531534066369372</v>
      </c>
      <c r="AP33" s="99">
        <f t="shared" ca="1" si="23"/>
        <v>-8.2002044861759327E-2</v>
      </c>
      <c r="AQ33" s="99">
        <f t="shared" ca="1" si="24"/>
        <v>8.4225890300198003E-3</v>
      </c>
      <c r="AR33" s="101">
        <f t="shared" ca="1" si="48"/>
        <v>13.359460219910812</v>
      </c>
      <c r="AS33" s="101">
        <f t="shared" ca="1" si="49"/>
        <v>-2.4600613458527798</v>
      </c>
      <c r="AT33" s="101">
        <f t="shared" ca="1" si="50"/>
        <v>0.25267767090059401</v>
      </c>
      <c r="AV33" s="78">
        <f t="shared" ca="1" si="25"/>
        <v>30</v>
      </c>
      <c r="AW33" s="288">
        <f t="shared" ca="1" si="51"/>
        <v>2.3199999999999998</v>
      </c>
      <c r="AX33" s="75">
        <f t="shared" ca="1" si="26"/>
        <v>69.599999999999994</v>
      </c>
      <c r="AY33" s="100">
        <f t="shared" ca="1" si="27"/>
        <v>69.599999999999994</v>
      </c>
      <c r="AZ33" s="99">
        <f t="shared" ca="1" si="28"/>
        <v>0.44531534066369372</v>
      </c>
      <c r="BA33" s="99">
        <f t="shared" ca="1" si="29"/>
        <v>-8.2002044861759327E-2</v>
      </c>
      <c r="BB33" s="99">
        <f t="shared" ca="1" si="30"/>
        <v>8.4225890300198003E-3</v>
      </c>
      <c r="BC33" s="101">
        <f t="shared" ca="1" si="52"/>
        <v>13.359460219910812</v>
      </c>
      <c r="BD33" s="101">
        <f t="shared" ca="1" si="53"/>
        <v>-2.4600613458527798</v>
      </c>
      <c r="BE33" s="101">
        <f t="shared" ca="1" si="54"/>
        <v>0.25267767090059401</v>
      </c>
      <c r="BG33" s="78">
        <f t="shared" ca="1" si="31"/>
        <v>30</v>
      </c>
      <c r="BH33" s="288">
        <f t="shared" ca="1" si="55"/>
        <v>2.3199999999999998</v>
      </c>
      <c r="BI33" s="75">
        <f t="shared" ca="1" si="32"/>
        <v>69.599999999999994</v>
      </c>
      <c r="BJ33" s="100">
        <f t="shared" ca="1" si="33"/>
        <v>69.599999999999994</v>
      </c>
      <c r="BK33" s="99">
        <f t="shared" ca="1" si="34"/>
        <v>0.44531534066369372</v>
      </c>
      <c r="BL33" s="99">
        <f t="shared" ca="1" si="35"/>
        <v>-8.2002044861759327E-2</v>
      </c>
      <c r="BM33" s="99">
        <f t="shared" ca="1" si="36"/>
        <v>8.4225890300198003E-3</v>
      </c>
      <c r="BN33" s="101">
        <f t="shared" ca="1" si="56"/>
        <v>13.359460219910812</v>
      </c>
      <c r="BO33" s="101">
        <f t="shared" ca="1" si="57"/>
        <v>-2.4600613458527798</v>
      </c>
      <c r="BP33" s="101">
        <f t="shared" ca="1" si="58"/>
        <v>0.25267767090059401</v>
      </c>
      <c r="BR33" s="78">
        <f t="shared" ca="1" si="37"/>
        <v>30</v>
      </c>
      <c r="BS33" s="288">
        <f t="shared" ca="1" si="59"/>
        <v>2.3199999999999998</v>
      </c>
      <c r="BT33" s="75">
        <f t="shared" ca="1" si="38"/>
        <v>69.599999999999994</v>
      </c>
      <c r="BU33" s="100">
        <f t="shared" ca="1" si="39"/>
        <v>69.599999999999994</v>
      </c>
      <c r="BV33" s="99">
        <f t="shared" ca="1" si="40"/>
        <v>0.44531534066369372</v>
      </c>
      <c r="BW33" s="99">
        <f t="shared" ca="1" si="41"/>
        <v>-8.2002044861759327E-2</v>
      </c>
      <c r="BX33" s="99">
        <f t="shared" ca="1" si="42"/>
        <v>8.4225890300198003E-3</v>
      </c>
      <c r="BY33" s="101">
        <f t="shared" ca="1" si="60"/>
        <v>13.359460219910812</v>
      </c>
      <c r="BZ33" s="101">
        <f t="shared" ca="1" si="61"/>
        <v>-2.4600613458527798</v>
      </c>
      <c r="CA33" s="101">
        <f t="shared" ca="1" si="62"/>
        <v>0.25267767090059401</v>
      </c>
    </row>
    <row r="34" spans="1:79" x14ac:dyDescent="0.25">
      <c r="A34" s="94">
        <f t="shared" si="43"/>
        <v>37377</v>
      </c>
      <c r="B34" s="95">
        <f t="shared" ca="1" si="44"/>
        <v>2.38</v>
      </c>
      <c r="C34" s="77">
        <f t="shared" ca="1" si="45"/>
        <v>0.45889725065837711</v>
      </c>
      <c r="D34" s="95">
        <f t="shared" ca="1" si="0"/>
        <v>0</v>
      </c>
      <c r="E34" s="97">
        <f t="shared" ca="1" si="1"/>
        <v>108</v>
      </c>
      <c r="F34" s="77">
        <f t="shared" ca="1" si="2"/>
        <v>0.4609972506583771</v>
      </c>
      <c r="G34" s="77">
        <f ca="1">IF(B$16=1,_xll.xCalcSkew(A34,H34-AL34,b)/100,0)</f>
        <v>2.100000000000002E-3</v>
      </c>
      <c r="H34" s="96">
        <f t="shared" ca="1" si="3"/>
        <v>2.44</v>
      </c>
      <c r="J34" s="95">
        <f t="shared" ca="1" si="4"/>
        <v>0</v>
      </c>
      <c r="K34" s="97">
        <f t="shared" ca="1" si="5"/>
        <v>108</v>
      </c>
      <c r="L34" s="172">
        <f t="shared" ca="1" si="6"/>
        <v>0.4609972506583771</v>
      </c>
      <c r="M34" s="77">
        <f ca="1">IF(D$16=1,_xll.xCalcSkew($A34,N34-AW34,b)/100,0)</f>
        <v>2.100000000000002E-3</v>
      </c>
      <c r="N34" s="96">
        <f t="shared" ca="1" si="7"/>
        <v>2.44</v>
      </c>
      <c r="P34" s="95">
        <f t="shared" ca="1" si="8"/>
        <v>0</v>
      </c>
      <c r="Q34" s="97">
        <f t="shared" ca="1" si="9"/>
        <v>108</v>
      </c>
      <c r="R34" s="172">
        <f t="shared" ca="1" si="10"/>
        <v>0.4609972506583771</v>
      </c>
      <c r="S34" s="77">
        <f ca="1">IF(F$16=1,_xll.xCalcSkew($A34,T34-BH34,b)/100,0)</f>
        <v>2.100000000000002E-3</v>
      </c>
      <c r="T34" s="96">
        <f t="shared" ca="1" si="11"/>
        <v>2.44</v>
      </c>
      <c r="V34" s="95">
        <f t="shared" ca="1" si="12"/>
        <v>0</v>
      </c>
      <c r="W34" s="97">
        <f t="shared" ca="1" si="13"/>
        <v>108</v>
      </c>
      <c r="X34" s="77">
        <f t="shared" ca="1" si="14"/>
        <v>0.4609972506583771</v>
      </c>
      <c r="Y34" s="77">
        <f ca="1">IF(H$16=1,_xll.xCalcSkew($A34,Z34-BS34,b)/100,0)</f>
        <v>2.100000000000002E-3</v>
      </c>
      <c r="Z34" s="96">
        <f t="shared" ca="1" si="15"/>
        <v>2.44</v>
      </c>
      <c r="AC34" s="97">
        <f t="shared" ca="1" si="16"/>
        <v>109</v>
      </c>
      <c r="AD34" s="97">
        <f t="shared" ca="1" si="17"/>
        <v>108</v>
      </c>
      <c r="AE34" s="77">
        <f t="shared" ca="1" si="46"/>
        <v>2.0033459902157401E-2</v>
      </c>
      <c r="AF34" s="152">
        <f t="shared" si="18"/>
        <v>31</v>
      </c>
      <c r="AG34" s="99"/>
      <c r="AH34" s="99"/>
      <c r="AI34" s="99"/>
      <c r="AJ34" s="99"/>
      <c r="AK34" s="78">
        <f t="shared" ca="1" si="19"/>
        <v>31</v>
      </c>
      <c r="AL34" s="288">
        <f t="shared" ca="1" si="47"/>
        <v>2.38</v>
      </c>
      <c r="AM34" s="75">
        <f t="shared" ca="1" si="20"/>
        <v>73.78</v>
      </c>
      <c r="AN34" s="100">
        <f t="shared" ca="1" si="21"/>
        <v>73.78</v>
      </c>
      <c r="AO34" s="99">
        <f t="shared" ca="1" si="22"/>
        <v>0.48043259911465308</v>
      </c>
      <c r="AP34" s="99">
        <f t="shared" ca="1" si="23"/>
        <v>2.0695095628320836E-2</v>
      </c>
      <c r="AQ34" s="99">
        <f t="shared" ca="1" si="24"/>
        <v>1.0264372319857662E-2</v>
      </c>
      <c r="AR34" s="101">
        <f t="shared" ca="1" si="48"/>
        <v>14.893410572554245</v>
      </c>
      <c r="AS34" s="101">
        <f t="shared" ca="1" si="49"/>
        <v>0.64154796447794593</v>
      </c>
      <c r="AT34" s="101">
        <f t="shared" ca="1" si="50"/>
        <v>0.31819554191558752</v>
      </c>
      <c r="AV34" s="78">
        <f t="shared" ca="1" si="25"/>
        <v>31</v>
      </c>
      <c r="AW34" s="288">
        <f t="shared" ca="1" si="51"/>
        <v>2.38</v>
      </c>
      <c r="AX34" s="75">
        <f t="shared" ca="1" si="26"/>
        <v>73.78</v>
      </c>
      <c r="AY34" s="100">
        <f t="shared" ca="1" si="27"/>
        <v>73.78</v>
      </c>
      <c r="AZ34" s="99">
        <f t="shared" ca="1" si="28"/>
        <v>0.48043259911465308</v>
      </c>
      <c r="BA34" s="99">
        <f t="shared" ca="1" si="29"/>
        <v>2.0695095628320836E-2</v>
      </c>
      <c r="BB34" s="99">
        <f t="shared" ca="1" si="30"/>
        <v>1.0264372319857662E-2</v>
      </c>
      <c r="BC34" s="101">
        <f t="shared" ca="1" si="52"/>
        <v>14.893410572554245</v>
      </c>
      <c r="BD34" s="101">
        <f t="shared" ca="1" si="53"/>
        <v>0.64154796447794593</v>
      </c>
      <c r="BE34" s="101">
        <f t="shared" ca="1" si="54"/>
        <v>0.31819554191558752</v>
      </c>
      <c r="BG34" s="78">
        <f t="shared" ca="1" si="31"/>
        <v>31</v>
      </c>
      <c r="BH34" s="288">
        <f t="shared" ca="1" si="55"/>
        <v>2.38</v>
      </c>
      <c r="BI34" s="75">
        <f t="shared" ca="1" si="32"/>
        <v>73.78</v>
      </c>
      <c r="BJ34" s="100">
        <f t="shared" ca="1" si="33"/>
        <v>73.78</v>
      </c>
      <c r="BK34" s="99">
        <f t="shared" ca="1" si="34"/>
        <v>0.48043259911465308</v>
      </c>
      <c r="BL34" s="99">
        <f t="shared" ca="1" si="35"/>
        <v>2.0695095628320836E-2</v>
      </c>
      <c r="BM34" s="99">
        <f t="shared" ca="1" si="36"/>
        <v>1.0264372319857662E-2</v>
      </c>
      <c r="BN34" s="101">
        <f t="shared" ca="1" si="56"/>
        <v>14.893410572554245</v>
      </c>
      <c r="BO34" s="101">
        <f t="shared" ca="1" si="57"/>
        <v>0.64154796447794593</v>
      </c>
      <c r="BP34" s="101">
        <f t="shared" ca="1" si="58"/>
        <v>0.31819554191558752</v>
      </c>
      <c r="BR34" s="78">
        <f t="shared" ca="1" si="37"/>
        <v>31</v>
      </c>
      <c r="BS34" s="288">
        <f t="shared" ca="1" si="59"/>
        <v>2.38</v>
      </c>
      <c r="BT34" s="75">
        <f t="shared" ca="1" si="38"/>
        <v>73.78</v>
      </c>
      <c r="BU34" s="100">
        <f t="shared" ca="1" si="39"/>
        <v>73.78</v>
      </c>
      <c r="BV34" s="99">
        <f t="shared" ca="1" si="40"/>
        <v>0.48043259911465308</v>
      </c>
      <c r="BW34" s="99">
        <f t="shared" ca="1" si="41"/>
        <v>2.0695095628320836E-2</v>
      </c>
      <c r="BX34" s="99">
        <f t="shared" ca="1" si="42"/>
        <v>1.0264372319857662E-2</v>
      </c>
      <c r="BY34" s="101">
        <f t="shared" ca="1" si="60"/>
        <v>14.893410572554245</v>
      </c>
      <c r="BZ34" s="101">
        <f t="shared" ca="1" si="61"/>
        <v>0.64154796447794593</v>
      </c>
      <c r="CA34" s="101">
        <f t="shared" ca="1" si="62"/>
        <v>0.31819554191558752</v>
      </c>
    </row>
    <row r="35" spans="1:79" x14ac:dyDescent="0.25">
      <c r="A35" s="94">
        <f t="shared" si="43"/>
        <v>37408</v>
      </c>
      <c r="B35" s="95">
        <f t="shared" ca="1" si="44"/>
        <v>2.4500000000000002</v>
      </c>
      <c r="C35" s="77">
        <f t="shared" ca="1" si="45"/>
        <v>0.436820667080277</v>
      </c>
      <c r="D35" s="95">
        <f t="shared" ca="1" si="0"/>
        <v>0</v>
      </c>
      <c r="E35" s="97">
        <f t="shared" ca="1" si="1"/>
        <v>141</v>
      </c>
      <c r="F35" s="77">
        <f t="shared" ca="1" si="2"/>
        <v>0.43668066708027697</v>
      </c>
      <c r="G35" s="77">
        <f ca="1">IF(B$16=1,_xll.xCalcSkew(A35,H35-AL35,b)/100,0)</f>
        <v>-1.4000000000000324E-4</v>
      </c>
      <c r="H35" s="96">
        <f t="shared" ca="1" si="3"/>
        <v>2.44</v>
      </c>
      <c r="J35" s="95">
        <f t="shared" ca="1" si="4"/>
        <v>0</v>
      </c>
      <c r="K35" s="97">
        <f t="shared" ca="1" si="5"/>
        <v>141</v>
      </c>
      <c r="L35" s="172">
        <f t="shared" ca="1" si="6"/>
        <v>0.43668066708027697</v>
      </c>
      <c r="M35" s="77">
        <f ca="1">IF(D$16=1,_xll.xCalcSkew($A35,N35-AW35,b)/100,0)</f>
        <v>-1.4000000000000324E-4</v>
      </c>
      <c r="N35" s="96">
        <f t="shared" ca="1" si="7"/>
        <v>2.44</v>
      </c>
      <c r="P35" s="95">
        <f t="shared" ca="1" si="8"/>
        <v>0</v>
      </c>
      <c r="Q35" s="97">
        <f t="shared" ca="1" si="9"/>
        <v>141</v>
      </c>
      <c r="R35" s="172">
        <f t="shared" ca="1" si="10"/>
        <v>0.43668066708027697</v>
      </c>
      <c r="S35" s="77">
        <f ca="1">IF(F$16=1,_xll.xCalcSkew($A35,T35-BH35,b)/100,0)</f>
        <v>-1.4000000000000324E-4</v>
      </c>
      <c r="T35" s="96">
        <f t="shared" ca="1" si="11"/>
        <v>2.44</v>
      </c>
      <c r="V35" s="95">
        <f t="shared" ca="1" si="12"/>
        <v>0</v>
      </c>
      <c r="W35" s="97">
        <f t="shared" ca="1" si="13"/>
        <v>141</v>
      </c>
      <c r="X35" s="77">
        <f t="shared" ca="1" si="14"/>
        <v>0.43668066708027697</v>
      </c>
      <c r="Y35" s="77">
        <f ca="1">IF(H$16=1,_xll.xCalcSkew($A35,Z35-BS35,b)/100,0)</f>
        <v>-1.4000000000000324E-4</v>
      </c>
      <c r="Z35" s="96">
        <f t="shared" ca="1" si="15"/>
        <v>2.44</v>
      </c>
      <c r="AC35" s="97">
        <f t="shared" ca="1" si="16"/>
        <v>142</v>
      </c>
      <c r="AD35" s="97">
        <f t="shared" ca="1" si="17"/>
        <v>141</v>
      </c>
      <c r="AE35" s="77">
        <f t="shared" ca="1" si="46"/>
        <v>2.0156242730434901E-2</v>
      </c>
      <c r="AF35" s="152">
        <f t="shared" si="18"/>
        <v>30</v>
      </c>
      <c r="AG35" s="99"/>
      <c r="AH35" s="99"/>
      <c r="AI35" s="99"/>
      <c r="AJ35" s="99"/>
      <c r="AK35" s="78">
        <f t="shared" ca="1" si="19"/>
        <v>30</v>
      </c>
      <c r="AL35" s="288">
        <f t="shared" ca="1" si="47"/>
        <v>2.4500000000000002</v>
      </c>
      <c r="AM35" s="75">
        <f t="shared" ca="1" si="20"/>
        <v>73.5</v>
      </c>
      <c r="AN35" s="100">
        <f t="shared" ca="1" si="21"/>
        <v>73.5</v>
      </c>
      <c r="AO35" s="99">
        <f t="shared" ca="1" si="22"/>
        <v>0.52382072940720859</v>
      </c>
      <c r="AP35" s="99">
        <f t="shared" ca="1" si="23"/>
        <v>0.1189171743021703</v>
      </c>
      <c r="AQ35" s="99">
        <f t="shared" ca="1" si="24"/>
        <v>1.1916797142255131E-2</v>
      </c>
      <c r="AR35" s="101">
        <f t="shared" ca="1" si="48"/>
        <v>15.714621882216257</v>
      </c>
      <c r="AS35" s="101">
        <f t="shared" ca="1" si="49"/>
        <v>3.5675152290651093</v>
      </c>
      <c r="AT35" s="101">
        <f t="shared" ca="1" si="50"/>
        <v>0.35750391426765393</v>
      </c>
      <c r="AV35" s="78">
        <f t="shared" ca="1" si="25"/>
        <v>30</v>
      </c>
      <c r="AW35" s="288">
        <f t="shared" ca="1" si="51"/>
        <v>2.4500000000000002</v>
      </c>
      <c r="AX35" s="75">
        <f t="shared" ca="1" si="26"/>
        <v>73.5</v>
      </c>
      <c r="AY35" s="100">
        <f t="shared" ca="1" si="27"/>
        <v>73.5</v>
      </c>
      <c r="AZ35" s="99">
        <f t="shared" ca="1" si="28"/>
        <v>0.52382072940720859</v>
      </c>
      <c r="BA35" s="99">
        <f t="shared" ca="1" si="29"/>
        <v>0.1189171743021703</v>
      </c>
      <c r="BB35" s="99">
        <f t="shared" ca="1" si="30"/>
        <v>1.1916797142255131E-2</v>
      </c>
      <c r="BC35" s="101">
        <f t="shared" ca="1" si="52"/>
        <v>15.714621882216257</v>
      </c>
      <c r="BD35" s="101">
        <f t="shared" ca="1" si="53"/>
        <v>3.5675152290651093</v>
      </c>
      <c r="BE35" s="101">
        <f t="shared" ca="1" si="54"/>
        <v>0.35750391426765393</v>
      </c>
      <c r="BG35" s="78">
        <f t="shared" ca="1" si="31"/>
        <v>30</v>
      </c>
      <c r="BH35" s="288">
        <f t="shared" ca="1" si="55"/>
        <v>2.4500000000000002</v>
      </c>
      <c r="BI35" s="75">
        <f t="shared" ca="1" si="32"/>
        <v>73.5</v>
      </c>
      <c r="BJ35" s="100">
        <f t="shared" ca="1" si="33"/>
        <v>73.5</v>
      </c>
      <c r="BK35" s="99">
        <f t="shared" ca="1" si="34"/>
        <v>0.52382072940720859</v>
      </c>
      <c r="BL35" s="99">
        <f t="shared" ca="1" si="35"/>
        <v>0.1189171743021703</v>
      </c>
      <c r="BM35" s="99">
        <f t="shared" ca="1" si="36"/>
        <v>1.1916797142255131E-2</v>
      </c>
      <c r="BN35" s="101">
        <f t="shared" ca="1" si="56"/>
        <v>15.714621882216257</v>
      </c>
      <c r="BO35" s="101">
        <f t="shared" ca="1" si="57"/>
        <v>3.5675152290651093</v>
      </c>
      <c r="BP35" s="101">
        <f t="shared" ca="1" si="58"/>
        <v>0.35750391426765393</v>
      </c>
      <c r="BR35" s="78">
        <f t="shared" ca="1" si="37"/>
        <v>30</v>
      </c>
      <c r="BS35" s="288">
        <f t="shared" ca="1" si="59"/>
        <v>2.4500000000000002</v>
      </c>
      <c r="BT35" s="75">
        <f t="shared" ca="1" si="38"/>
        <v>73.5</v>
      </c>
      <c r="BU35" s="100">
        <f t="shared" ca="1" si="39"/>
        <v>73.5</v>
      </c>
      <c r="BV35" s="99">
        <f t="shared" ca="1" si="40"/>
        <v>0.52382072940720859</v>
      </c>
      <c r="BW35" s="99">
        <f t="shared" ca="1" si="41"/>
        <v>0.1189171743021703</v>
      </c>
      <c r="BX35" s="99">
        <f t="shared" ca="1" si="42"/>
        <v>1.1916797142255131E-2</v>
      </c>
      <c r="BY35" s="101">
        <f t="shared" ca="1" si="60"/>
        <v>15.714621882216257</v>
      </c>
      <c r="BZ35" s="101">
        <f t="shared" ca="1" si="61"/>
        <v>3.5675152290651093</v>
      </c>
      <c r="CA35" s="101">
        <f t="shared" ca="1" si="62"/>
        <v>0.35750391426765393</v>
      </c>
    </row>
    <row r="36" spans="1:79" x14ac:dyDescent="0.25">
      <c r="A36" s="94">
        <f t="shared" si="43"/>
        <v>37438</v>
      </c>
      <c r="B36" s="95">
        <f t="shared" ca="1" si="44"/>
        <v>2.5099999999999998</v>
      </c>
      <c r="C36" s="77">
        <f t="shared" ca="1" si="45"/>
        <v>0.44615296764897799</v>
      </c>
      <c r="D36" s="95">
        <f t="shared" ca="1" si="0"/>
        <v>0</v>
      </c>
      <c r="E36" s="97">
        <f t="shared" ca="1" si="1"/>
        <v>169</v>
      </c>
      <c r="F36" s="77">
        <f t="shared" ca="1" si="2"/>
        <v>0.44517296764897801</v>
      </c>
      <c r="G36" s="77">
        <f ca="1">IF(B$16=1,_xll.xCalcSkew(A36,H36-AL36,b)/100,0)</f>
        <v>-9.7999999999999758E-4</v>
      </c>
      <c r="H36" s="96">
        <f t="shared" ca="1" si="3"/>
        <v>2.44</v>
      </c>
      <c r="J36" s="95">
        <f t="shared" ca="1" si="4"/>
        <v>0</v>
      </c>
      <c r="K36" s="97">
        <f t="shared" ca="1" si="5"/>
        <v>169</v>
      </c>
      <c r="L36" s="172">
        <f t="shared" ca="1" si="6"/>
        <v>0.44517296764897801</v>
      </c>
      <c r="M36" s="77">
        <f ca="1">IF(D$16=1,_xll.xCalcSkew($A36,N36-AW36,b)/100,0)</f>
        <v>-9.7999999999999758E-4</v>
      </c>
      <c r="N36" s="96">
        <f t="shared" ca="1" si="7"/>
        <v>2.44</v>
      </c>
      <c r="P36" s="95">
        <f t="shared" ca="1" si="8"/>
        <v>0</v>
      </c>
      <c r="Q36" s="97">
        <f t="shared" ca="1" si="9"/>
        <v>169</v>
      </c>
      <c r="R36" s="172">
        <f t="shared" ca="1" si="10"/>
        <v>0.44517296764897801</v>
      </c>
      <c r="S36" s="77">
        <f ca="1">IF(F$16=1,_xll.xCalcSkew($A36,T36-BH36,b)/100,0)</f>
        <v>-9.7999999999999758E-4</v>
      </c>
      <c r="T36" s="96">
        <f t="shared" ca="1" si="11"/>
        <v>2.44</v>
      </c>
      <c r="V36" s="95">
        <f t="shared" ca="1" si="12"/>
        <v>0</v>
      </c>
      <c r="W36" s="97">
        <f t="shared" ca="1" si="13"/>
        <v>169</v>
      </c>
      <c r="X36" s="77">
        <f t="shared" ca="1" si="14"/>
        <v>0.44517296764897801</v>
      </c>
      <c r="Y36" s="77">
        <f ca="1">IF(H$16=1,_xll.xCalcSkew($A36,Z36-BS36,b)/100,0)</f>
        <v>-9.7999999999999758E-4</v>
      </c>
      <c r="Z36" s="96">
        <f t="shared" ca="1" si="15"/>
        <v>2.44</v>
      </c>
      <c r="AC36" s="97">
        <f t="shared" ca="1" si="16"/>
        <v>170</v>
      </c>
      <c r="AD36" s="97">
        <f t="shared" ca="1" si="17"/>
        <v>169</v>
      </c>
      <c r="AE36" s="77">
        <f t="shared" ca="1" si="46"/>
        <v>2.0283118325021401E-2</v>
      </c>
      <c r="AF36" s="152">
        <f t="shared" si="18"/>
        <v>31</v>
      </c>
      <c r="AG36" s="99"/>
      <c r="AH36" s="99"/>
      <c r="AI36" s="99"/>
      <c r="AJ36" s="99"/>
      <c r="AK36" s="78">
        <f t="shared" ca="1" si="19"/>
        <v>31</v>
      </c>
      <c r="AL36" s="288">
        <f t="shared" ca="1" si="47"/>
        <v>2.5099999999999998</v>
      </c>
      <c r="AM36" s="75">
        <f t="shared" ca="1" si="20"/>
        <v>77.809999999999988</v>
      </c>
      <c r="AN36" s="100">
        <f t="shared" ca="1" si="21"/>
        <v>77.809999999999988</v>
      </c>
      <c r="AO36" s="99">
        <f t="shared" ca="1" si="22"/>
        <v>0.59289553450163801</v>
      </c>
      <c r="AP36" s="99">
        <f t="shared" ca="1" si="23"/>
        <v>0.19160661355759889</v>
      </c>
      <c r="AQ36" s="99">
        <f t="shared" ca="1" si="24"/>
        <v>1.3099201506920455E-2</v>
      </c>
      <c r="AR36" s="101">
        <f t="shared" ca="1" si="48"/>
        <v>18.37976156955078</v>
      </c>
      <c r="AS36" s="101">
        <f t="shared" ca="1" si="49"/>
        <v>5.9398050202855659</v>
      </c>
      <c r="AT36" s="101">
        <f t="shared" ca="1" si="50"/>
        <v>0.4060752467145341</v>
      </c>
      <c r="AV36" s="78">
        <f t="shared" ca="1" si="25"/>
        <v>31</v>
      </c>
      <c r="AW36" s="288">
        <f t="shared" ca="1" si="51"/>
        <v>2.5099999999999998</v>
      </c>
      <c r="AX36" s="75">
        <f t="shared" ca="1" si="26"/>
        <v>77.809999999999988</v>
      </c>
      <c r="AY36" s="100">
        <f t="shared" ca="1" si="27"/>
        <v>77.809999999999988</v>
      </c>
      <c r="AZ36" s="99">
        <f t="shared" ca="1" si="28"/>
        <v>0.59289553450163801</v>
      </c>
      <c r="BA36" s="99">
        <f t="shared" ca="1" si="29"/>
        <v>0.19160661355759889</v>
      </c>
      <c r="BB36" s="99">
        <f t="shared" ca="1" si="30"/>
        <v>1.3099201506920455E-2</v>
      </c>
      <c r="BC36" s="101">
        <f t="shared" ca="1" si="52"/>
        <v>18.37976156955078</v>
      </c>
      <c r="BD36" s="101">
        <f t="shared" ca="1" si="53"/>
        <v>5.9398050202855659</v>
      </c>
      <c r="BE36" s="101">
        <f t="shared" ca="1" si="54"/>
        <v>0.4060752467145341</v>
      </c>
      <c r="BG36" s="78">
        <f t="shared" ca="1" si="31"/>
        <v>31</v>
      </c>
      <c r="BH36" s="288">
        <f t="shared" ca="1" si="55"/>
        <v>2.5099999999999998</v>
      </c>
      <c r="BI36" s="75">
        <f t="shared" ca="1" si="32"/>
        <v>77.809999999999988</v>
      </c>
      <c r="BJ36" s="100">
        <f t="shared" ca="1" si="33"/>
        <v>77.809999999999988</v>
      </c>
      <c r="BK36" s="99">
        <f t="shared" ca="1" si="34"/>
        <v>0.59289553450163801</v>
      </c>
      <c r="BL36" s="99">
        <f t="shared" ca="1" si="35"/>
        <v>0.19160661355759889</v>
      </c>
      <c r="BM36" s="99">
        <f t="shared" ca="1" si="36"/>
        <v>1.3099201506920455E-2</v>
      </c>
      <c r="BN36" s="101">
        <f t="shared" ca="1" si="56"/>
        <v>18.37976156955078</v>
      </c>
      <c r="BO36" s="101">
        <f t="shared" ca="1" si="57"/>
        <v>5.9398050202855659</v>
      </c>
      <c r="BP36" s="101">
        <f t="shared" ca="1" si="58"/>
        <v>0.4060752467145341</v>
      </c>
      <c r="BR36" s="78">
        <f t="shared" ca="1" si="37"/>
        <v>31</v>
      </c>
      <c r="BS36" s="288">
        <f t="shared" ca="1" si="59"/>
        <v>2.5099999999999998</v>
      </c>
      <c r="BT36" s="75">
        <f t="shared" ca="1" si="38"/>
        <v>77.809999999999988</v>
      </c>
      <c r="BU36" s="100">
        <f t="shared" ca="1" si="39"/>
        <v>77.809999999999988</v>
      </c>
      <c r="BV36" s="99">
        <f t="shared" ca="1" si="40"/>
        <v>0.59289553450163801</v>
      </c>
      <c r="BW36" s="99">
        <f t="shared" ca="1" si="41"/>
        <v>0.19160661355759889</v>
      </c>
      <c r="BX36" s="99">
        <f t="shared" ca="1" si="42"/>
        <v>1.3099201506920455E-2</v>
      </c>
      <c r="BY36" s="101">
        <f t="shared" ca="1" si="60"/>
        <v>18.37976156955078</v>
      </c>
      <c r="BZ36" s="101">
        <f t="shared" ca="1" si="61"/>
        <v>5.9398050202855659</v>
      </c>
      <c r="CA36" s="101">
        <f t="shared" ca="1" si="62"/>
        <v>0.4060752467145341</v>
      </c>
    </row>
    <row r="37" spans="1:79" x14ac:dyDescent="0.25">
      <c r="A37" s="94">
        <f t="shared" si="43"/>
        <v>37469</v>
      </c>
      <c r="B37" s="95">
        <f t="shared" ca="1" si="44"/>
        <v>2.5499999999999998</v>
      </c>
      <c r="C37" s="77">
        <f t="shared" ca="1" si="45"/>
        <v>0.45881277191675413</v>
      </c>
      <c r="D37" s="95">
        <f t="shared" ca="1" si="0"/>
        <v>0</v>
      </c>
      <c r="E37" s="97">
        <f t="shared" ca="1" si="1"/>
        <v>200</v>
      </c>
      <c r="F37" s="77">
        <f t="shared" ca="1" si="2"/>
        <v>0.45727277191675414</v>
      </c>
      <c r="G37" s="77">
        <f ca="1">IF(B$16=1,_xll.xCalcSkew(A37,H37-AL37,b)/100,0)</f>
        <v>-1.539999999999998E-3</v>
      </c>
      <c r="H37" s="96">
        <f t="shared" ca="1" si="3"/>
        <v>2.44</v>
      </c>
      <c r="J37" s="95">
        <f t="shared" ca="1" si="4"/>
        <v>0</v>
      </c>
      <c r="K37" s="97">
        <f t="shared" ca="1" si="5"/>
        <v>200</v>
      </c>
      <c r="L37" s="172">
        <f t="shared" ca="1" si="6"/>
        <v>0.45727277191675414</v>
      </c>
      <c r="M37" s="77">
        <f ca="1">IF(D$16=1,_xll.xCalcSkew($A37,N37-AW37,b)/100,0)</f>
        <v>-1.539999999999998E-3</v>
      </c>
      <c r="N37" s="96">
        <f t="shared" ca="1" si="7"/>
        <v>2.44</v>
      </c>
      <c r="P37" s="95">
        <f t="shared" ca="1" si="8"/>
        <v>0</v>
      </c>
      <c r="Q37" s="97">
        <f t="shared" ca="1" si="9"/>
        <v>200</v>
      </c>
      <c r="R37" s="172">
        <f t="shared" ca="1" si="10"/>
        <v>0.45727277191675414</v>
      </c>
      <c r="S37" s="77">
        <f ca="1">IF(F$16=1,_xll.xCalcSkew($A37,T37-BH37,b)/100,0)</f>
        <v>-1.539999999999998E-3</v>
      </c>
      <c r="T37" s="96">
        <f t="shared" ca="1" si="11"/>
        <v>2.44</v>
      </c>
      <c r="V37" s="95">
        <f t="shared" ca="1" si="12"/>
        <v>0</v>
      </c>
      <c r="W37" s="97">
        <f t="shared" ca="1" si="13"/>
        <v>200</v>
      </c>
      <c r="X37" s="77">
        <f t="shared" ca="1" si="14"/>
        <v>0.45727277191675414</v>
      </c>
      <c r="Y37" s="77">
        <f ca="1">IF(H$16=1,_xll.xCalcSkew($A37,Z37-BS37,b)/100,0)</f>
        <v>-1.539999999999998E-3</v>
      </c>
      <c r="Z37" s="96">
        <f t="shared" ca="1" si="15"/>
        <v>2.44</v>
      </c>
      <c r="AC37" s="97">
        <f t="shared" ca="1" si="16"/>
        <v>203</v>
      </c>
      <c r="AD37" s="97">
        <f t="shared" ca="1" si="17"/>
        <v>200</v>
      </c>
      <c r="AE37" s="77">
        <f t="shared" ca="1" si="46"/>
        <v>2.0560063885965998E-2</v>
      </c>
      <c r="AF37" s="152">
        <f t="shared" si="18"/>
        <v>31</v>
      </c>
      <c r="AG37" s="99"/>
      <c r="AH37" s="99"/>
      <c r="AI37" s="99"/>
      <c r="AJ37" s="99"/>
      <c r="AK37" s="78">
        <f t="shared" ca="1" si="19"/>
        <v>31</v>
      </c>
      <c r="AL37" s="288">
        <f t="shared" ca="1" si="47"/>
        <v>2.5499999999999998</v>
      </c>
      <c r="AM37" s="75">
        <f t="shared" ca="1" si="20"/>
        <v>79.05</v>
      </c>
      <c r="AN37" s="100">
        <f t="shared" ca="1" si="21"/>
        <v>79.05</v>
      </c>
      <c r="AO37" s="99">
        <f t="shared" ca="1" si="22"/>
        <v>0.66868560052788395</v>
      </c>
      <c r="AP37" s="99">
        <f t="shared" ca="1" si="23"/>
        <v>0.23281571491534447</v>
      </c>
      <c r="AQ37" s="99">
        <f t="shared" ca="1" si="24"/>
        <v>1.4237014137451265E-2</v>
      </c>
      <c r="AR37" s="101">
        <f t="shared" ca="1" si="48"/>
        <v>20.729253616364403</v>
      </c>
      <c r="AS37" s="101">
        <f t="shared" ca="1" si="49"/>
        <v>7.2172871623756789</v>
      </c>
      <c r="AT37" s="101">
        <f t="shared" ca="1" si="50"/>
        <v>0.44134743826098921</v>
      </c>
      <c r="AV37" s="78">
        <f t="shared" ca="1" si="25"/>
        <v>31</v>
      </c>
      <c r="AW37" s="288">
        <f t="shared" ca="1" si="51"/>
        <v>2.5499999999999998</v>
      </c>
      <c r="AX37" s="75">
        <f t="shared" ca="1" si="26"/>
        <v>79.05</v>
      </c>
      <c r="AY37" s="100">
        <f t="shared" ca="1" si="27"/>
        <v>79.05</v>
      </c>
      <c r="AZ37" s="99">
        <f t="shared" ca="1" si="28"/>
        <v>0.66868560052788395</v>
      </c>
      <c r="BA37" s="99">
        <f t="shared" ca="1" si="29"/>
        <v>0.23281571491534447</v>
      </c>
      <c r="BB37" s="99">
        <f t="shared" ca="1" si="30"/>
        <v>1.4237014137451265E-2</v>
      </c>
      <c r="BC37" s="101">
        <f t="shared" ca="1" si="52"/>
        <v>20.729253616364403</v>
      </c>
      <c r="BD37" s="101">
        <f t="shared" ca="1" si="53"/>
        <v>7.2172871623756789</v>
      </c>
      <c r="BE37" s="101">
        <f t="shared" ca="1" si="54"/>
        <v>0.44134743826098921</v>
      </c>
      <c r="BG37" s="78">
        <f t="shared" ca="1" si="31"/>
        <v>31</v>
      </c>
      <c r="BH37" s="288">
        <f t="shared" ca="1" si="55"/>
        <v>2.5499999999999998</v>
      </c>
      <c r="BI37" s="75">
        <f t="shared" ca="1" si="32"/>
        <v>79.05</v>
      </c>
      <c r="BJ37" s="100">
        <f t="shared" ca="1" si="33"/>
        <v>79.05</v>
      </c>
      <c r="BK37" s="99">
        <f t="shared" ca="1" si="34"/>
        <v>0.66868560052788395</v>
      </c>
      <c r="BL37" s="99">
        <f t="shared" ca="1" si="35"/>
        <v>0.23281571491534447</v>
      </c>
      <c r="BM37" s="99">
        <f t="shared" ca="1" si="36"/>
        <v>1.4237014137451265E-2</v>
      </c>
      <c r="BN37" s="101">
        <f t="shared" ca="1" si="56"/>
        <v>20.729253616364403</v>
      </c>
      <c r="BO37" s="101">
        <f t="shared" ca="1" si="57"/>
        <v>7.2172871623756789</v>
      </c>
      <c r="BP37" s="101">
        <f t="shared" ca="1" si="58"/>
        <v>0.44134743826098921</v>
      </c>
      <c r="BR37" s="78">
        <f t="shared" ca="1" si="37"/>
        <v>31</v>
      </c>
      <c r="BS37" s="288">
        <f t="shared" ca="1" si="59"/>
        <v>2.5499999999999998</v>
      </c>
      <c r="BT37" s="75">
        <f t="shared" ca="1" si="38"/>
        <v>79.05</v>
      </c>
      <c r="BU37" s="100">
        <f t="shared" ca="1" si="39"/>
        <v>79.05</v>
      </c>
      <c r="BV37" s="99">
        <f t="shared" ca="1" si="40"/>
        <v>0.66868560052788395</v>
      </c>
      <c r="BW37" s="99">
        <f t="shared" ca="1" si="41"/>
        <v>0.23281571491534447</v>
      </c>
      <c r="BX37" s="99">
        <f t="shared" ca="1" si="42"/>
        <v>1.4237014137451265E-2</v>
      </c>
      <c r="BY37" s="101">
        <f t="shared" ca="1" si="60"/>
        <v>20.729253616364403</v>
      </c>
      <c r="BZ37" s="101">
        <f t="shared" ca="1" si="61"/>
        <v>7.2172871623756789</v>
      </c>
      <c r="CA37" s="101">
        <f t="shared" ca="1" si="62"/>
        <v>0.44134743826098921</v>
      </c>
    </row>
    <row r="38" spans="1:79" x14ac:dyDescent="0.25">
      <c r="A38" s="94">
        <f t="shared" si="43"/>
        <v>37500</v>
      </c>
      <c r="B38" s="95">
        <f t="shared" ca="1" si="44"/>
        <v>2.5750000000000002</v>
      </c>
      <c r="C38" s="77">
        <f t="shared" ca="1" si="45"/>
        <v>0.454148079110402</v>
      </c>
      <c r="D38" s="95">
        <f t="shared" ca="1" si="0"/>
        <v>0</v>
      </c>
      <c r="E38" s="97">
        <f t="shared" ca="1" si="1"/>
        <v>232</v>
      </c>
      <c r="F38" s="77">
        <f t="shared" ca="1" si="2"/>
        <v>0.452258079110402</v>
      </c>
      <c r="G38" s="77">
        <f ca="1">IF(B$16=1,_xll.xCalcSkew(A38,H38-AL38,b)/100,0)</f>
        <v>-1.890000000000003E-3</v>
      </c>
      <c r="H38" s="96">
        <f t="shared" ca="1" si="3"/>
        <v>2.44</v>
      </c>
      <c r="J38" s="95">
        <f t="shared" ca="1" si="4"/>
        <v>0</v>
      </c>
      <c r="K38" s="97">
        <f t="shared" ca="1" si="5"/>
        <v>232</v>
      </c>
      <c r="L38" s="172">
        <f t="shared" ca="1" si="6"/>
        <v>0.452258079110402</v>
      </c>
      <c r="M38" s="77">
        <f ca="1">IF(D$16=1,_xll.xCalcSkew($A38,N38-AW38,b)/100,0)</f>
        <v>-1.890000000000003E-3</v>
      </c>
      <c r="N38" s="96">
        <f t="shared" ca="1" si="7"/>
        <v>2.44</v>
      </c>
      <c r="P38" s="95">
        <f t="shared" ca="1" si="8"/>
        <v>0</v>
      </c>
      <c r="Q38" s="97">
        <f t="shared" ca="1" si="9"/>
        <v>232</v>
      </c>
      <c r="R38" s="172">
        <f t="shared" ca="1" si="10"/>
        <v>0.452258079110402</v>
      </c>
      <c r="S38" s="77">
        <f ca="1">IF(F$16=1,_xll.xCalcSkew($A38,T38-BH38,b)/100,0)</f>
        <v>-1.890000000000003E-3</v>
      </c>
      <c r="T38" s="96">
        <f t="shared" ca="1" si="11"/>
        <v>2.44</v>
      </c>
      <c r="V38" s="95">
        <f t="shared" ca="1" si="12"/>
        <v>0</v>
      </c>
      <c r="W38" s="97">
        <f t="shared" ca="1" si="13"/>
        <v>232</v>
      </c>
      <c r="X38" s="77">
        <f t="shared" ca="1" si="14"/>
        <v>0.452258079110402</v>
      </c>
      <c r="Y38" s="77">
        <f ca="1">IF(H$16=1,_xll.xCalcSkew($A38,Z38-BS38,b)/100,0)</f>
        <v>-1.890000000000003E-3</v>
      </c>
      <c r="Z38" s="96">
        <f t="shared" ca="1" si="15"/>
        <v>2.44</v>
      </c>
      <c r="AC38" s="97">
        <f t="shared" ca="1" si="16"/>
        <v>233</v>
      </c>
      <c r="AD38" s="97">
        <f t="shared" ca="1" si="17"/>
        <v>232</v>
      </c>
      <c r="AE38" s="77">
        <f t="shared" ca="1" si="46"/>
        <v>2.1094384134566099E-2</v>
      </c>
      <c r="AF38" s="152">
        <f t="shared" si="18"/>
        <v>30</v>
      </c>
      <c r="AG38" s="99"/>
      <c r="AH38" s="99"/>
      <c r="AI38" s="99"/>
      <c r="AJ38" s="99"/>
      <c r="AK38" s="78">
        <f t="shared" ca="1" si="19"/>
        <v>30</v>
      </c>
      <c r="AL38" s="288">
        <f t="shared" ca="1" si="47"/>
        <v>2.5750000000000002</v>
      </c>
      <c r="AM38" s="75">
        <f t="shared" ca="1" si="20"/>
        <v>77.25</v>
      </c>
      <c r="AN38" s="100">
        <f t="shared" ca="1" si="21"/>
        <v>77.25</v>
      </c>
      <c r="AO38" s="99">
        <f t="shared" ca="1" si="22"/>
        <v>0.71573135763000029</v>
      </c>
      <c r="AP38" s="99">
        <f t="shared" ca="1" si="23"/>
        <v>0.25488442827900831</v>
      </c>
      <c r="AQ38" s="99">
        <f t="shared" ca="1" si="24"/>
        <v>1.5305439892861372E-2</v>
      </c>
      <c r="AR38" s="101">
        <f t="shared" ca="1" si="48"/>
        <v>21.471940728900009</v>
      </c>
      <c r="AS38" s="101">
        <f t="shared" ca="1" si="49"/>
        <v>7.6465328483702493</v>
      </c>
      <c r="AT38" s="101">
        <f t="shared" ca="1" si="50"/>
        <v>0.45916319678584117</v>
      </c>
      <c r="AV38" s="78">
        <f t="shared" ca="1" si="25"/>
        <v>30</v>
      </c>
      <c r="AW38" s="288">
        <f t="shared" ca="1" si="51"/>
        <v>2.5750000000000002</v>
      </c>
      <c r="AX38" s="75">
        <f t="shared" ca="1" si="26"/>
        <v>77.25</v>
      </c>
      <c r="AY38" s="100">
        <f t="shared" ca="1" si="27"/>
        <v>77.25</v>
      </c>
      <c r="AZ38" s="99">
        <f t="shared" ca="1" si="28"/>
        <v>0.71573135763000029</v>
      </c>
      <c r="BA38" s="99">
        <f t="shared" ca="1" si="29"/>
        <v>0.25488442827900831</v>
      </c>
      <c r="BB38" s="99">
        <f t="shared" ca="1" si="30"/>
        <v>1.5305439892861372E-2</v>
      </c>
      <c r="BC38" s="101">
        <f t="shared" ca="1" si="52"/>
        <v>21.471940728900009</v>
      </c>
      <c r="BD38" s="101">
        <f t="shared" ca="1" si="53"/>
        <v>7.6465328483702493</v>
      </c>
      <c r="BE38" s="101">
        <f t="shared" ca="1" si="54"/>
        <v>0.45916319678584117</v>
      </c>
      <c r="BG38" s="78">
        <f t="shared" ca="1" si="31"/>
        <v>30</v>
      </c>
      <c r="BH38" s="288">
        <f t="shared" ca="1" si="55"/>
        <v>2.5750000000000002</v>
      </c>
      <c r="BI38" s="75">
        <f t="shared" ca="1" si="32"/>
        <v>77.25</v>
      </c>
      <c r="BJ38" s="100">
        <f t="shared" ca="1" si="33"/>
        <v>77.25</v>
      </c>
      <c r="BK38" s="99">
        <f t="shared" ca="1" si="34"/>
        <v>0.71573135763000029</v>
      </c>
      <c r="BL38" s="99">
        <f t="shared" ca="1" si="35"/>
        <v>0.25488442827900831</v>
      </c>
      <c r="BM38" s="99">
        <f t="shared" ca="1" si="36"/>
        <v>1.5305439892861372E-2</v>
      </c>
      <c r="BN38" s="101">
        <f t="shared" ca="1" si="56"/>
        <v>21.471940728900009</v>
      </c>
      <c r="BO38" s="101">
        <f t="shared" ca="1" si="57"/>
        <v>7.6465328483702493</v>
      </c>
      <c r="BP38" s="101">
        <f t="shared" ca="1" si="58"/>
        <v>0.45916319678584117</v>
      </c>
      <c r="BR38" s="78">
        <f t="shared" ca="1" si="37"/>
        <v>30</v>
      </c>
      <c r="BS38" s="288">
        <f t="shared" ca="1" si="59"/>
        <v>2.5750000000000002</v>
      </c>
      <c r="BT38" s="75">
        <f t="shared" ca="1" si="38"/>
        <v>77.25</v>
      </c>
      <c r="BU38" s="100">
        <f t="shared" ca="1" si="39"/>
        <v>77.25</v>
      </c>
      <c r="BV38" s="99">
        <f t="shared" ca="1" si="40"/>
        <v>0.71573135763000029</v>
      </c>
      <c r="BW38" s="99">
        <f t="shared" ca="1" si="41"/>
        <v>0.25488442827900831</v>
      </c>
      <c r="BX38" s="99">
        <f t="shared" ca="1" si="42"/>
        <v>1.5305439892861372E-2</v>
      </c>
      <c r="BY38" s="101">
        <f t="shared" ca="1" si="60"/>
        <v>21.471940728900009</v>
      </c>
      <c r="BZ38" s="101">
        <f t="shared" ca="1" si="61"/>
        <v>7.6465328483702493</v>
      </c>
      <c r="CA38" s="101">
        <f t="shared" ca="1" si="62"/>
        <v>0.45916319678584117</v>
      </c>
    </row>
    <row r="39" spans="1:79" x14ac:dyDescent="0.25">
      <c r="A39" s="94">
        <f t="shared" si="43"/>
        <v>37530</v>
      </c>
      <c r="B39" s="95">
        <f t="shared" ca="1" si="44"/>
        <v>2.61</v>
      </c>
      <c r="C39" s="77">
        <f t="shared" ca="1" si="45"/>
        <v>0.47021915179215995</v>
      </c>
      <c r="D39" s="95">
        <f t="shared" ca="1" si="0"/>
        <v>0</v>
      </c>
      <c r="E39" s="97">
        <f t="shared" ca="1" si="1"/>
        <v>261</v>
      </c>
      <c r="F39" s="77">
        <f t="shared" ca="1" si="2"/>
        <v>0.46783915179215996</v>
      </c>
      <c r="G39" s="77">
        <f ca="1">IF(B$16=1,_xll.xCalcSkew(A39,H39-AL39,b)/100,0)</f>
        <v>-2.3799999999999989E-3</v>
      </c>
      <c r="H39" s="96">
        <f t="shared" ca="1" si="3"/>
        <v>2.44</v>
      </c>
      <c r="J39" s="95">
        <f t="shared" ca="1" si="4"/>
        <v>0</v>
      </c>
      <c r="K39" s="97">
        <f t="shared" ca="1" si="5"/>
        <v>261</v>
      </c>
      <c r="L39" s="172">
        <f t="shared" ca="1" si="6"/>
        <v>0.46783915179215996</v>
      </c>
      <c r="M39" s="77">
        <f ca="1">IF(D$16=1,_xll.xCalcSkew($A39,N39-AW39,b)/100,0)</f>
        <v>-2.3799999999999989E-3</v>
      </c>
      <c r="N39" s="96">
        <f t="shared" ca="1" si="7"/>
        <v>2.44</v>
      </c>
      <c r="P39" s="95">
        <f t="shared" ca="1" si="8"/>
        <v>0</v>
      </c>
      <c r="Q39" s="97">
        <f t="shared" ca="1" si="9"/>
        <v>261</v>
      </c>
      <c r="R39" s="172">
        <f t="shared" ca="1" si="10"/>
        <v>0.46783915179215996</v>
      </c>
      <c r="S39" s="77">
        <f ca="1">IF(F$16=1,_xll.xCalcSkew($A39,T39-BH39,b)/100,0)</f>
        <v>-2.3799999999999989E-3</v>
      </c>
      <c r="T39" s="96">
        <f t="shared" ca="1" si="11"/>
        <v>2.44</v>
      </c>
      <c r="V39" s="95">
        <f t="shared" ca="1" si="12"/>
        <v>0</v>
      </c>
      <c r="W39" s="97">
        <f t="shared" ca="1" si="13"/>
        <v>261</v>
      </c>
      <c r="X39" s="77">
        <f t="shared" ca="1" si="14"/>
        <v>0.46783915179215996</v>
      </c>
      <c r="Y39" s="77">
        <f ca="1">IF(H$16=1,_xll.xCalcSkew($A39,Z39-BS39,b)/100,0)</f>
        <v>-2.3799999999999989E-3</v>
      </c>
      <c r="Z39" s="96">
        <f t="shared" ca="1" si="15"/>
        <v>2.44</v>
      </c>
      <c r="AC39" s="97">
        <f t="shared" ca="1" si="16"/>
        <v>262</v>
      </c>
      <c r="AD39" s="97">
        <f t="shared" ca="1" si="17"/>
        <v>261</v>
      </c>
      <c r="AE39" s="77">
        <f t="shared" ca="1" si="46"/>
        <v>2.1628704479852899E-2</v>
      </c>
      <c r="AF39" s="152">
        <f t="shared" si="18"/>
        <v>31</v>
      </c>
      <c r="AG39" s="99"/>
      <c r="AH39" s="99"/>
      <c r="AI39" s="99"/>
      <c r="AJ39" s="99"/>
      <c r="AK39" s="78">
        <f t="shared" ca="1" si="19"/>
        <v>31</v>
      </c>
      <c r="AL39" s="288">
        <f t="shared" ca="1" si="47"/>
        <v>2.61</v>
      </c>
      <c r="AM39" s="75">
        <f t="shared" ca="1" si="20"/>
        <v>80.91</v>
      </c>
      <c r="AN39" s="100">
        <f t="shared" ca="1" si="21"/>
        <v>80.91</v>
      </c>
      <c r="AO39" s="99">
        <f t="shared" ca="1" si="22"/>
        <v>0.79082700793115668</v>
      </c>
      <c r="AP39" s="99">
        <f t="shared" ca="1" si="23"/>
        <v>0.28276031334274387</v>
      </c>
      <c r="AQ39" s="99">
        <f t="shared" ca="1" si="24"/>
        <v>1.620214664047559E-2</v>
      </c>
      <c r="AR39" s="101">
        <f t="shared" ca="1" si="48"/>
        <v>24.515637245865857</v>
      </c>
      <c r="AS39" s="101">
        <f t="shared" ca="1" si="49"/>
        <v>8.7655697136250605</v>
      </c>
      <c r="AT39" s="101">
        <f t="shared" ca="1" si="50"/>
        <v>0.50226654585474328</v>
      </c>
      <c r="AV39" s="78">
        <f t="shared" ca="1" si="25"/>
        <v>31</v>
      </c>
      <c r="AW39" s="288">
        <f t="shared" ca="1" si="51"/>
        <v>2.61</v>
      </c>
      <c r="AX39" s="75">
        <f t="shared" ca="1" si="26"/>
        <v>80.91</v>
      </c>
      <c r="AY39" s="100">
        <f t="shared" ca="1" si="27"/>
        <v>80.91</v>
      </c>
      <c r="AZ39" s="99">
        <f t="shared" ca="1" si="28"/>
        <v>0.79082700793115668</v>
      </c>
      <c r="BA39" s="99">
        <f t="shared" ca="1" si="29"/>
        <v>0.28276031334274387</v>
      </c>
      <c r="BB39" s="99">
        <f t="shared" ca="1" si="30"/>
        <v>1.620214664047559E-2</v>
      </c>
      <c r="BC39" s="101">
        <f t="shared" ca="1" si="52"/>
        <v>24.515637245865857</v>
      </c>
      <c r="BD39" s="101">
        <f t="shared" ca="1" si="53"/>
        <v>8.7655697136250605</v>
      </c>
      <c r="BE39" s="101">
        <f t="shared" ca="1" si="54"/>
        <v>0.50226654585474328</v>
      </c>
      <c r="BG39" s="78">
        <f t="shared" ca="1" si="31"/>
        <v>31</v>
      </c>
      <c r="BH39" s="288">
        <f t="shared" ca="1" si="55"/>
        <v>2.61</v>
      </c>
      <c r="BI39" s="75">
        <f t="shared" ca="1" si="32"/>
        <v>80.91</v>
      </c>
      <c r="BJ39" s="100">
        <f t="shared" ca="1" si="33"/>
        <v>80.91</v>
      </c>
      <c r="BK39" s="99">
        <f t="shared" ca="1" si="34"/>
        <v>0.79082700793115668</v>
      </c>
      <c r="BL39" s="99">
        <f t="shared" ca="1" si="35"/>
        <v>0.28276031334274387</v>
      </c>
      <c r="BM39" s="99">
        <f t="shared" ca="1" si="36"/>
        <v>1.620214664047559E-2</v>
      </c>
      <c r="BN39" s="101">
        <f t="shared" ca="1" si="56"/>
        <v>24.515637245865857</v>
      </c>
      <c r="BO39" s="101">
        <f t="shared" ca="1" si="57"/>
        <v>8.7655697136250605</v>
      </c>
      <c r="BP39" s="101">
        <f t="shared" ca="1" si="58"/>
        <v>0.50226654585474328</v>
      </c>
      <c r="BR39" s="78">
        <f t="shared" ca="1" si="37"/>
        <v>31</v>
      </c>
      <c r="BS39" s="288">
        <f t="shared" ca="1" si="59"/>
        <v>2.61</v>
      </c>
      <c r="BT39" s="75">
        <f t="shared" ca="1" si="38"/>
        <v>80.91</v>
      </c>
      <c r="BU39" s="100">
        <f t="shared" ca="1" si="39"/>
        <v>80.91</v>
      </c>
      <c r="BV39" s="99">
        <f t="shared" ca="1" si="40"/>
        <v>0.79082700793115668</v>
      </c>
      <c r="BW39" s="99">
        <f t="shared" ca="1" si="41"/>
        <v>0.28276031334274387</v>
      </c>
      <c r="BX39" s="99">
        <f t="shared" ca="1" si="42"/>
        <v>1.620214664047559E-2</v>
      </c>
      <c r="BY39" s="101">
        <f t="shared" ca="1" si="60"/>
        <v>24.515637245865857</v>
      </c>
      <c r="BZ39" s="101">
        <f t="shared" ca="1" si="61"/>
        <v>8.7655697136250605</v>
      </c>
      <c r="CA39" s="101">
        <f t="shared" ca="1" si="62"/>
        <v>0.50226654585474328</v>
      </c>
    </row>
    <row r="40" spans="1:79" x14ac:dyDescent="0.25">
      <c r="A40" s="94">
        <f t="shared" si="43"/>
        <v>37561</v>
      </c>
      <c r="B40" s="95">
        <f t="shared" ca="1" si="44"/>
        <v>2.835</v>
      </c>
      <c r="C40" s="77">
        <f t="shared" ca="1" si="45"/>
        <v>0.47496461078618135</v>
      </c>
      <c r="D40" s="95">
        <f t="shared" ca="1" si="0"/>
        <v>0</v>
      </c>
      <c r="E40" s="97">
        <f t="shared" ca="1" si="1"/>
        <v>294</v>
      </c>
      <c r="F40" s="77" t="e">
        <f t="shared" ca="1" si="2"/>
        <v>#DIV/0!</v>
      </c>
      <c r="G40" s="77" t="e">
        <f ca="1">IF(B$16=1,_xll.xCalcSkew(A40,H40-AL40,b)/100,0)</f>
        <v>#DIV/0!</v>
      </c>
      <c r="H40" s="96">
        <f t="shared" ca="1" si="3"/>
        <v>2.44</v>
      </c>
      <c r="J40" s="95">
        <f t="shared" ca="1" si="4"/>
        <v>0</v>
      </c>
      <c r="K40" s="97">
        <f t="shared" ca="1" si="5"/>
        <v>294</v>
      </c>
      <c r="L40" s="172" t="e">
        <f t="shared" ca="1" si="6"/>
        <v>#DIV/0!</v>
      </c>
      <c r="M40" s="77" t="e">
        <f ca="1">IF(D$16=1,_xll.xCalcSkew($A40,N40-AW40,b)/100,0)</f>
        <v>#DIV/0!</v>
      </c>
      <c r="N40" s="96">
        <f t="shared" ca="1" si="7"/>
        <v>2.44</v>
      </c>
      <c r="P40" s="95">
        <f t="shared" ca="1" si="8"/>
        <v>0</v>
      </c>
      <c r="Q40" s="97">
        <f t="shared" ca="1" si="9"/>
        <v>294</v>
      </c>
      <c r="R40" s="172" t="e">
        <f t="shared" ca="1" si="10"/>
        <v>#DIV/0!</v>
      </c>
      <c r="S40" s="77" t="e">
        <f ca="1">IF(F$16=1,_xll.xCalcSkew($A40,T40-BH40,b)/100,0)</f>
        <v>#DIV/0!</v>
      </c>
      <c r="T40" s="96">
        <f t="shared" ca="1" si="11"/>
        <v>2.44</v>
      </c>
      <c r="V40" s="95">
        <f t="shared" ca="1" si="12"/>
        <v>0</v>
      </c>
      <c r="W40" s="97">
        <f t="shared" ca="1" si="13"/>
        <v>294</v>
      </c>
      <c r="X40" s="77" t="e">
        <f t="shared" ca="1" si="14"/>
        <v>#DIV/0!</v>
      </c>
      <c r="Y40" s="77" t="e">
        <f ca="1">IF(H$16=1,_xll.xCalcSkew($A40,Z40-BS40,b)/100,0)</f>
        <v>#DIV/0!</v>
      </c>
      <c r="Z40" s="96">
        <f t="shared" ca="1" si="15"/>
        <v>2.44</v>
      </c>
      <c r="AC40" s="97">
        <f t="shared" ca="1" si="16"/>
        <v>295</v>
      </c>
      <c r="AD40" s="97">
        <f t="shared" ca="1" si="17"/>
        <v>294</v>
      </c>
      <c r="AE40" s="77">
        <f t="shared" ca="1" si="46"/>
        <v>2.2229563577716799E-2</v>
      </c>
      <c r="AF40" s="152">
        <f t="shared" si="18"/>
        <v>30</v>
      </c>
      <c r="AG40" s="99"/>
      <c r="AH40" s="99"/>
      <c r="AI40" s="99"/>
      <c r="AJ40" s="99"/>
      <c r="AK40" s="78">
        <f t="shared" ca="1" si="19"/>
        <v>0</v>
      </c>
      <c r="AL40" s="288" t="e">
        <f t="shared" ca="1" si="47"/>
        <v>#DIV/0!</v>
      </c>
      <c r="AM40" s="75">
        <f t="shared" ca="1" si="20"/>
        <v>0</v>
      </c>
      <c r="AN40" s="100">
        <f t="shared" ca="1" si="21"/>
        <v>0</v>
      </c>
      <c r="AO40" s="99">
        <f t="shared" ca="1" si="22"/>
        <v>0</v>
      </c>
      <c r="AP40" s="99">
        <f t="shared" ca="1" si="23"/>
        <v>0</v>
      </c>
      <c r="AQ40" s="99">
        <f t="shared" ca="1" si="24"/>
        <v>0</v>
      </c>
      <c r="AR40" s="101">
        <f t="shared" ca="1" si="48"/>
        <v>0</v>
      </c>
      <c r="AS40" s="101">
        <f t="shared" ca="1" si="49"/>
        <v>0</v>
      </c>
      <c r="AT40" s="101">
        <f t="shared" ca="1" si="50"/>
        <v>0</v>
      </c>
      <c r="AV40" s="78">
        <f t="shared" ca="1" si="25"/>
        <v>0</v>
      </c>
      <c r="AW40" s="288" t="e">
        <f t="shared" ca="1" si="51"/>
        <v>#DIV/0!</v>
      </c>
      <c r="AX40" s="75">
        <f t="shared" ca="1" si="26"/>
        <v>0</v>
      </c>
      <c r="AY40" s="100">
        <f t="shared" ca="1" si="27"/>
        <v>0</v>
      </c>
      <c r="AZ40" s="99">
        <f t="shared" ca="1" si="28"/>
        <v>0</v>
      </c>
      <c r="BA40" s="99">
        <f t="shared" ca="1" si="29"/>
        <v>0</v>
      </c>
      <c r="BB40" s="99">
        <f t="shared" ca="1" si="30"/>
        <v>0</v>
      </c>
      <c r="BC40" s="101">
        <f t="shared" ca="1" si="52"/>
        <v>0</v>
      </c>
      <c r="BD40" s="101">
        <f t="shared" ca="1" si="53"/>
        <v>0</v>
      </c>
      <c r="BE40" s="101">
        <f t="shared" ca="1" si="54"/>
        <v>0</v>
      </c>
      <c r="BG40" s="78">
        <f t="shared" ca="1" si="31"/>
        <v>0</v>
      </c>
      <c r="BH40" s="288" t="e">
        <f t="shared" ca="1" si="55"/>
        <v>#DIV/0!</v>
      </c>
      <c r="BI40" s="75">
        <f t="shared" ca="1" si="32"/>
        <v>0</v>
      </c>
      <c r="BJ40" s="100">
        <f t="shared" ca="1" si="33"/>
        <v>0</v>
      </c>
      <c r="BK40" s="99">
        <f t="shared" ca="1" si="34"/>
        <v>0</v>
      </c>
      <c r="BL40" s="99">
        <f t="shared" ca="1" si="35"/>
        <v>0</v>
      </c>
      <c r="BM40" s="99">
        <f t="shared" ca="1" si="36"/>
        <v>0</v>
      </c>
      <c r="BN40" s="101">
        <f t="shared" ca="1" si="56"/>
        <v>0</v>
      </c>
      <c r="BO40" s="101">
        <f t="shared" ca="1" si="57"/>
        <v>0</v>
      </c>
      <c r="BP40" s="101">
        <f t="shared" ca="1" si="58"/>
        <v>0</v>
      </c>
      <c r="BR40" s="78">
        <f t="shared" ca="1" si="37"/>
        <v>0</v>
      </c>
      <c r="BS40" s="288" t="e">
        <f t="shared" ca="1" si="59"/>
        <v>#DIV/0!</v>
      </c>
      <c r="BT40" s="75">
        <f t="shared" ca="1" si="38"/>
        <v>0</v>
      </c>
      <c r="BU40" s="100">
        <f t="shared" ca="1" si="39"/>
        <v>0</v>
      </c>
      <c r="BV40" s="99">
        <f t="shared" ca="1" si="40"/>
        <v>0</v>
      </c>
      <c r="BW40" s="99">
        <f t="shared" ca="1" si="41"/>
        <v>0</v>
      </c>
      <c r="BX40" s="99">
        <f t="shared" ca="1" si="42"/>
        <v>0</v>
      </c>
      <c r="BY40" s="101">
        <f t="shared" ca="1" si="60"/>
        <v>0</v>
      </c>
      <c r="BZ40" s="101">
        <f t="shared" ca="1" si="61"/>
        <v>0</v>
      </c>
      <c r="CA40" s="101">
        <f t="shared" ca="1" si="62"/>
        <v>0</v>
      </c>
    </row>
    <row r="41" spans="1:79" x14ac:dyDescent="0.25">
      <c r="A41" s="94">
        <f t="shared" si="43"/>
        <v>37591</v>
      </c>
      <c r="B41" s="95">
        <f t="shared" ca="1" si="44"/>
        <v>3.06</v>
      </c>
      <c r="C41" s="77">
        <f t="shared" ca="1" si="45"/>
        <v>0.47562160119712515</v>
      </c>
      <c r="D41" s="95">
        <f t="shared" ca="1" si="0"/>
        <v>0</v>
      </c>
      <c r="E41" s="97">
        <f t="shared" ca="1" si="1"/>
        <v>322</v>
      </c>
      <c r="F41" s="77" t="e">
        <f t="shared" ca="1" si="2"/>
        <v>#DIV/0!</v>
      </c>
      <c r="G41" s="77" t="e">
        <f ca="1">IF(B$16=1,_xll.xCalcSkew(A41,H41-AL41,b)/100,0)</f>
        <v>#DIV/0!</v>
      </c>
      <c r="H41" s="96">
        <f t="shared" ca="1" si="3"/>
        <v>2.44</v>
      </c>
      <c r="J41" s="95">
        <f t="shared" ca="1" si="4"/>
        <v>0</v>
      </c>
      <c r="K41" s="97">
        <f t="shared" ca="1" si="5"/>
        <v>322</v>
      </c>
      <c r="L41" s="172" t="e">
        <f t="shared" ca="1" si="6"/>
        <v>#DIV/0!</v>
      </c>
      <c r="M41" s="77" t="e">
        <f ca="1">IF(D$16=1,_xll.xCalcSkew($A41,N41-AW41,b)/100,0)</f>
        <v>#DIV/0!</v>
      </c>
      <c r="N41" s="96">
        <f t="shared" ca="1" si="7"/>
        <v>2.44</v>
      </c>
      <c r="P41" s="95">
        <f t="shared" ca="1" si="8"/>
        <v>0</v>
      </c>
      <c r="Q41" s="97">
        <f t="shared" ca="1" si="9"/>
        <v>322</v>
      </c>
      <c r="R41" s="172" t="e">
        <f t="shared" ca="1" si="10"/>
        <v>#DIV/0!</v>
      </c>
      <c r="S41" s="77" t="e">
        <f ca="1">IF(F$16=1,_xll.xCalcSkew($A41,T41-BH41,b)/100,0)</f>
        <v>#DIV/0!</v>
      </c>
      <c r="T41" s="96">
        <f t="shared" ca="1" si="11"/>
        <v>2.44</v>
      </c>
      <c r="V41" s="95">
        <f t="shared" ca="1" si="12"/>
        <v>0</v>
      </c>
      <c r="W41" s="97">
        <f t="shared" ca="1" si="13"/>
        <v>322</v>
      </c>
      <c r="X41" s="77" t="e">
        <f t="shared" ca="1" si="14"/>
        <v>#DIV/0!</v>
      </c>
      <c r="Y41" s="77" t="e">
        <f ca="1">IF(H$16=1,_xll.xCalcSkew($A41,Z41-BS41,b)/100,0)</f>
        <v>#DIV/0!</v>
      </c>
      <c r="Z41" s="96">
        <f t="shared" ca="1" si="15"/>
        <v>2.44</v>
      </c>
      <c r="AC41" s="97">
        <f t="shared" ca="1" si="16"/>
        <v>323</v>
      </c>
      <c r="AD41" s="97">
        <f t="shared" ca="1" si="17"/>
        <v>322</v>
      </c>
      <c r="AE41" s="77">
        <f t="shared" ca="1" si="46"/>
        <v>2.2969120664737601E-2</v>
      </c>
      <c r="AF41" s="152">
        <f t="shared" si="18"/>
        <v>31</v>
      </c>
      <c r="AG41" s="99"/>
      <c r="AH41" s="99"/>
      <c r="AI41" s="99"/>
      <c r="AJ41" s="99"/>
      <c r="AK41" s="78">
        <f t="shared" ca="1" si="19"/>
        <v>0</v>
      </c>
      <c r="AL41" s="288" t="e">
        <f t="shared" ca="1" si="47"/>
        <v>#DIV/0!</v>
      </c>
      <c r="AM41" s="75">
        <f t="shared" ca="1" si="20"/>
        <v>0</v>
      </c>
      <c r="AN41" s="100">
        <f t="shared" ca="1" si="21"/>
        <v>0</v>
      </c>
      <c r="AO41" s="99">
        <f t="shared" ca="1" si="22"/>
        <v>0</v>
      </c>
      <c r="AP41" s="99">
        <f t="shared" ca="1" si="23"/>
        <v>0</v>
      </c>
      <c r="AQ41" s="99">
        <f t="shared" ca="1" si="24"/>
        <v>0</v>
      </c>
      <c r="AR41" s="101">
        <f t="shared" ca="1" si="48"/>
        <v>0</v>
      </c>
      <c r="AS41" s="101">
        <f t="shared" ca="1" si="49"/>
        <v>0</v>
      </c>
      <c r="AT41" s="101">
        <f t="shared" ca="1" si="50"/>
        <v>0</v>
      </c>
      <c r="AV41" s="78">
        <f t="shared" ca="1" si="25"/>
        <v>0</v>
      </c>
      <c r="AW41" s="288" t="e">
        <f t="shared" ca="1" si="51"/>
        <v>#DIV/0!</v>
      </c>
      <c r="AX41" s="75">
        <f t="shared" ca="1" si="26"/>
        <v>0</v>
      </c>
      <c r="AY41" s="100">
        <f t="shared" ca="1" si="27"/>
        <v>0</v>
      </c>
      <c r="AZ41" s="99">
        <f t="shared" ca="1" si="28"/>
        <v>0</v>
      </c>
      <c r="BA41" s="99">
        <f t="shared" ca="1" si="29"/>
        <v>0</v>
      </c>
      <c r="BB41" s="99">
        <f t="shared" ca="1" si="30"/>
        <v>0</v>
      </c>
      <c r="BC41" s="101">
        <f t="shared" ca="1" si="52"/>
        <v>0</v>
      </c>
      <c r="BD41" s="101">
        <f t="shared" ca="1" si="53"/>
        <v>0</v>
      </c>
      <c r="BE41" s="101">
        <f t="shared" ca="1" si="54"/>
        <v>0</v>
      </c>
      <c r="BG41" s="78">
        <f t="shared" ca="1" si="31"/>
        <v>0</v>
      </c>
      <c r="BH41" s="288" t="e">
        <f t="shared" ca="1" si="55"/>
        <v>#DIV/0!</v>
      </c>
      <c r="BI41" s="75">
        <f t="shared" ca="1" si="32"/>
        <v>0</v>
      </c>
      <c r="BJ41" s="100">
        <f t="shared" ca="1" si="33"/>
        <v>0</v>
      </c>
      <c r="BK41" s="99">
        <f t="shared" ca="1" si="34"/>
        <v>0</v>
      </c>
      <c r="BL41" s="99">
        <f t="shared" ca="1" si="35"/>
        <v>0</v>
      </c>
      <c r="BM41" s="99">
        <f t="shared" ca="1" si="36"/>
        <v>0</v>
      </c>
      <c r="BN41" s="101">
        <f t="shared" ca="1" si="56"/>
        <v>0</v>
      </c>
      <c r="BO41" s="101">
        <f t="shared" ca="1" si="57"/>
        <v>0</v>
      </c>
      <c r="BP41" s="101">
        <f t="shared" ca="1" si="58"/>
        <v>0</v>
      </c>
      <c r="BR41" s="78">
        <f t="shared" ca="1" si="37"/>
        <v>0</v>
      </c>
      <c r="BS41" s="288" t="e">
        <f t="shared" ca="1" si="59"/>
        <v>#DIV/0!</v>
      </c>
      <c r="BT41" s="75">
        <f t="shared" ca="1" si="38"/>
        <v>0</v>
      </c>
      <c r="BU41" s="100">
        <f t="shared" ca="1" si="39"/>
        <v>0</v>
      </c>
      <c r="BV41" s="99">
        <f t="shared" ca="1" si="40"/>
        <v>0</v>
      </c>
      <c r="BW41" s="99">
        <f t="shared" ca="1" si="41"/>
        <v>0</v>
      </c>
      <c r="BX41" s="99">
        <f t="shared" ca="1" si="42"/>
        <v>0</v>
      </c>
      <c r="BY41" s="101">
        <f t="shared" ca="1" si="60"/>
        <v>0</v>
      </c>
      <c r="BZ41" s="101">
        <f t="shared" ca="1" si="61"/>
        <v>0</v>
      </c>
      <c r="CA41" s="101">
        <f t="shared" ca="1" si="62"/>
        <v>0</v>
      </c>
    </row>
    <row r="42" spans="1:79" x14ac:dyDescent="0.25">
      <c r="A42" s="94">
        <f t="shared" si="43"/>
        <v>37622</v>
      </c>
      <c r="B42" s="95">
        <f t="shared" ca="1" si="44"/>
        <v>3.17</v>
      </c>
      <c r="C42" s="77">
        <f t="shared" ca="1" si="45"/>
        <v>0.48162527569454416</v>
      </c>
      <c r="D42" s="95">
        <f t="shared" ca="1" si="0"/>
        <v>0</v>
      </c>
      <c r="E42" s="97">
        <f t="shared" ca="1" si="1"/>
        <v>353</v>
      </c>
      <c r="F42" s="77" t="e">
        <f t="shared" ca="1" si="2"/>
        <v>#DIV/0!</v>
      </c>
      <c r="G42" s="77" t="e">
        <f ca="1">IF(B$16=1,_xll.xCalcSkew(A42,H42-AL42,b)/100,0)</f>
        <v>#DIV/0!</v>
      </c>
      <c r="H42" s="96">
        <f t="shared" ca="1" si="3"/>
        <v>2.44</v>
      </c>
      <c r="J42" s="95">
        <f t="shared" ca="1" si="4"/>
        <v>0</v>
      </c>
      <c r="K42" s="97">
        <f t="shared" ca="1" si="5"/>
        <v>353</v>
      </c>
      <c r="L42" s="172" t="e">
        <f t="shared" ca="1" si="6"/>
        <v>#DIV/0!</v>
      </c>
      <c r="M42" s="77" t="e">
        <f ca="1">IF(D$16=1,_xll.xCalcSkew($A42,N42-AW42,b)/100,0)</f>
        <v>#DIV/0!</v>
      </c>
      <c r="N42" s="96">
        <f t="shared" ca="1" si="7"/>
        <v>2.44</v>
      </c>
      <c r="P42" s="95">
        <f t="shared" ca="1" si="8"/>
        <v>0</v>
      </c>
      <c r="Q42" s="97">
        <f t="shared" ca="1" si="9"/>
        <v>353</v>
      </c>
      <c r="R42" s="172" t="e">
        <f t="shared" ca="1" si="10"/>
        <v>#DIV/0!</v>
      </c>
      <c r="S42" s="77" t="e">
        <f ca="1">IF(F$16=1,_xll.xCalcSkew($A42,T42-BH42,b)/100,0)</f>
        <v>#DIV/0!</v>
      </c>
      <c r="T42" s="96">
        <f t="shared" ca="1" si="11"/>
        <v>2.44</v>
      </c>
      <c r="V42" s="95">
        <f t="shared" ca="1" si="12"/>
        <v>0</v>
      </c>
      <c r="W42" s="97">
        <f t="shared" ca="1" si="13"/>
        <v>353</v>
      </c>
      <c r="X42" s="77" t="e">
        <f t="shared" ca="1" si="14"/>
        <v>#DIV/0!</v>
      </c>
      <c r="Y42" s="77" t="e">
        <f ca="1">IF(H$16=1,_xll.xCalcSkew($A42,Z42-BS42,b)/100,0)</f>
        <v>#DIV/0!</v>
      </c>
      <c r="Z42" s="96">
        <f t="shared" ca="1" si="15"/>
        <v>2.44</v>
      </c>
      <c r="AC42" s="97">
        <f t="shared" ca="1" si="16"/>
        <v>354</v>
      </c>
      <c r="AD42" s="97">
        <f t="shared" ca="1" si="17"/>
        <v>353</v>
      </c>
      <c r="AE42" s="77">
        <f t="shared" ca="1" si="46"/>
        <v>2.3684821247730501E-2</v>
      </c>
      <c r="AF42" s="152">
        <f t="shared" si="18"/>
        <v>31</v>
      </c>
      <c r="AG42" s="99"/>
      <c r="AH42" s="99"/>
      <c r="AI42" s="99"/>
      <c r="AJ42" s="99"/>
      <c r="AK42" s="78">
        <f t="shared" ca="1" si="19"/>
        <v>0</v>
      </c>
      <c r="AL42" s="288" t="e">
        <f t="shared" ca="1" si="47"/>
        <v>#DIV/0!</v>
      </c>
      <c r="AM42" s="75">
        <f t="shared" ca="1" si="20"/>
        <v>0</v>
      </c>
      <c r="AN42" s="100">
        <f t="shared" ca="1" si="21"/>
        <v>0</v>
      </c>
      <c r="AO42" s="99">
        <f t="shared" ca="1" si="22"/>
        <v>0</v>
      </c>
      <c r="AP42" s="99">
        <f t="shared" ca="1" si="23"/>
        <v>0</v>
      </c>
      <c r="AQ42" s="99">
        <f t="shared" ca="1" si="24"/>
        <v>0</v>
      </c>
      <c r="AR42" s="101">
        <f t="shared" ca="1" si="48"/>
        <v>0</v>
      </c>
      <c r="AS42" s="101">
        <f t="shared" ca="1" si="49"/>
        <v>0</v>
      </c>
      <c r="AT42" s="101">
        <f t="shared" ca="1" si="50"/>
        <v>0</v>
      </c>
      <c r="AV42" s="78">
        <f t="shared" ca="1" si="25"/>
        <v>0</v>
      </c>
      <c r="AW42" s="288" t="e">
        <f t="shared" ca="1" si="51"/>
        <v>#DIV/0!</v>
      </c>
      <c r="AX42" s="75">
        <f t="shared" ca="1" si="26"/>
        <v>0</v>
      </c>
      <c r="AY42" s="100">
        <f t="shared" ca="1" si="27"/>
        <v>0</v>
      </c>
      <c r="AZ42" s="99">
        <f t="shared" ca="1" si="28"/>
        <v>0</v>
      </c>
      <c r="BA42" s="99">
        <f t="shared" ca="1" si="29"/>
        <v>0</v>
      </c>
      <c r="BB42" s="99">
        <f t="shared" ca="1" si="30"/>
        <v>0</v>
      </c>
      <c r="BC42" s="101">
        <f t="shared" ca="1" si="52"/>
        <v>0</v>
      </c>
      <c r="BD42" s="101">
        <f t="shared" ca="1" si="53"/>
        <v>0</v>
      </c>
      <c r="BE42" s="101">
        <f t="shared" ca="1" si="54"/>
        <v>0</v>
      </c>
      <c r="BG42" s="78">
        <f t="shared" ca="1" si="31"/>
        <v>0</v>
      </c>
      <c r="BH42" s="288" t="e">
        <f t="shared" ca="1" si="55"/>
        <v>#DIV/0!</v>
      </c>
      <c r="BI42" s="75">
        <f t="shared" ca="1" si="32"/>
        <v>0</v>
      </c>
      <c r="BJ42" s="100">
        <f t="shared" ca="1" si="33"/>
        <v>0</v>
      </c>
      <c r="BK42" s="99">
        <f t="shared" ca="1" si="34"/>
        <v>0</v>
      </c>
      <c r="BL42" s="99">
        <f t="shared" ca="1" si="35"/>
        <v>0</v>
      </c>
      <c r="BM42" s="99">
        <f t="shared" ca="1" si="36"/>
        <v>0</v>
      </c>
      <c r="BN42" s="101">
        <f t="shared" ca="1" si="56"/>
        <v>0</v>
      </c>
      <c r="BO42" s="101">
        <f t="shared" ca="1" si="57"/>
        <v>0</v>
      </c>
      <c r="BP42" s="101">
        <f t="shared" ca="1" si="58"/>
        <v>0</v>
      </c>
      <c r="BR42" s="78">
        <f t="shared" ca="1" si="37"/>
        <v>0</v>
      </c>
      <c r="BS42" s="288" t="e">
        <f t="shared" ca="1" si="59"/>
        <v>#DIV/0!</v>
      </c>
      <c r="BT42" s="75">
        <f t="shared" ca="1" si="38"/>
        <v>0</v>
      </c>
      <c r="BU42" s="100">
        <f t="shared" ca="1" si="39"/>
        <v>0</v>
      </c>
      <c r="BV42" s="99">
        <f t="shared" ca="1" si="40"/>
        <v>0</v>
      </c>
      <c r="BW42" s="99">
        <f t="shared" ca="1" si="41"/>
        <v>0</v>
      </c>
      <c r="BX42" s="99">
        <f t="shared" ca="1" si="42"/>
        <v>0</v>
      </c>
      <c r="BY42" s="101">
        <f t="shared" ca="1" si="60"/>
        <v>0</v>
      </c>
      <c r="BZ42" s="101">
        <f t="shared" ca="1" si="61"/>
        <v>0</v>
      </c>
      <c r="CA42" s="101">
        <f t="shared" ca="1" si="62"/>
        <v>0</v>
      </c>
    </row>
    <row r="43" spans="1:79" x14ac:dyDescent="0.25">
      <c r="A43" s="94">
        <f t="shared" si="43"/>
        <v>37653</v>
      </c>
      <c r="B43" s="95">
        <f t="shared" ca="1" si="44"/>
        <v>3.15</v>
      </c>
      <c r="C43" s="77">
        <f t="shared" ca="1" si="45"/>
        <v>0.11121914325094971</v>
      </c>
      <c r="D43" s="95">
        <f t="shared" ca="1" si="0"/>
        <v>0</v>
      </c>
      <c r="E43" s="97">
        <f t="shared" ca="1" si="1"/>
        <v>386</v>
      </c>
      <c r="F43" s="77" t="e">
        <f t="shared" ca="1" si="2"/>
        <v>#DIV/0!</v>
      </c>
      <c r="G43" s="77" t="e">
        <f ca="1">IF(B$16=1,_xll.xCalcSkew(A43,H43-AL43,b)/100,0)</f>
        <v>#DIV/0!</v>
      </c>
      <c r="H43" s="96">
        <f t="shared" ca="1" si="3"/>
        <v>2.44</v>
      </c>
      <c r="J43" s="95">
        <f t="shared" ca="1" si="4"/>
        <v>0</v>
      </c>
      <c r="K43" s="97">
        <f t="shared" ca="1" si="5"/>
        <v>386</v>
      </c>
      <c r="L43" s="172" t="e">
        <f t="shared" ca="1" si="6"/>
        <v>#DIV/0!</v>
      </c>
      <c r="M43" s="77" t="e">
        <f ca="1">IF(D$16=1,_xll.xCalcSkew($A43,N43-AW43,b)/100,0)</f>
        <v>#DIV/0!</v>
      </c>
      <c r="N43" s="96">
        <f t="shared" ca="1" si="7"/>
        <v>2.44</v>
      </c>
      <c r="P43" s="95">
        <f t="shared" ca="1" si="8"/>
        <v>0</v>
      </c>
      <c r="Q43" s="97">
        <f t="shared" ca="1" si="9"/>
        <v>386</v>
      </c>
      <c r="R43" s="172" t="e">
        <f t="shared" ca="1" si="10"/>
        <v>#DIV/0!</v>
      </c>
      <c r="S43" s="77" t="e">
        <f ca="1">IF(F$16=1,_xll.xCalcSkew($A43,T43-BH43,b)/100,0)</f>
        <v>#DIV/0!</v>
      </c>
      <c r="T43" s="96">
        <f t="shared" ca="1" si="11"/>
        <v>2.44</v>
      </c>
      <c r="V43" s="95">
        <f t="shared" ca="1" si="12"/>
        <v>0</v>
      </c>
      <c r="W43" s="97">
        <f t="shared" ca="1" si="13"/>
        <v>386</v>
      </c>
      <c r="X43" s="77" t="e">
        <f t="shared" ca="1" si="14"/>
        <v>#DIV/0!</v>
      </c>
      <c r="Y43" s="77" t="e">
        <f ca="1">IF(H$16=1,_xll.xCalcSkew($A43,Z43-BS43,b)/100,0)</f>
        <v>#DIV/0!</v>
      </c>
      <c r="Z43" s="96">
        <f t="shared" ca="1" si="15"/>
        <v>2.44</v>
      </c>
      <c r="AC43" s="97">
        <f t="shared" ca="1" si="16"/>
        <v>387</v>
      </c>
      <c r="AD43" s="97">
        <f t="shared" ca="1" si="17"/>
        <v>386</v>
      </c>
      <c r="AE43" s="77">
        <f t="shared" ca="1" si="46"/>
        <v>2.4485717541272E-2</v>
      </c>
      <c r="AF43" s="152">
        <f t="shared" si="18"/>
        <v>28</v>
      </c>
      <c r="AG43" s="99"/>
      <c r="AH43" s="99"/>
      <c r="AI43" s="99"/>
      <c r="AJ43" s="99"/>
      <c r="AK43" s="78">
        <f t="shared" ca="1" si="19"/>
        <v>0</v>
      </c>
      <c r="AL43" s="288" t="e">
        <f t="shared" ca="1" si="47"/>
        <v>#DIV/0!</v>
      </c>
      <c r="AM43" s="75">
        <f t="shared" ca="1" si="20"/>
        <v>0</v>
      </c>
      <c r="AN43" s="100">
        <f t="shared" ca="1" si="21"/>
        <v>0</v>
      </c>
      <c r="AO43" s="99">
        <f t="shared" ca="1" si="22"/>
        <v>0</v>
      </c>
      <c r="AP43" s="99">
        <f t="shared" ca="1" si="23"/>
        <v>0</v>
      </c>
      <c r="AQ43" s="99">
        <f t="shared" ca="1" si="24"/>
        <v>0</v>
      </c>
      <c r="AR43" s="101">
        <f t="shared" ca="1" si="48"/>
        <v>0</v>
      </c>
      <c r="AS43" s="101">
        <f t="shared" ca="1" si="49"/>
        <v>0</v>
      </c>
      <c r="AT43" s="101">
        <f t="shared" ca="1" si="50"/>
        <v>0</v>
      </c>
      <c r="AV43" s="78">
        <f t="shared" ca="1" si="25"/>
        <v>0</v>
      </c>
      <c r="AW43" s="288" t="e">
        <f t="shared" ca="1" si="51"/>
        <v>#DIV/0!</v>
      </c>
      <c r="AX43" s="75">
        <f t="shared" ca="1" si="26"/>
        <v>0</v>
      </c>
      <c r="AY43" s="100">
        <f t="shared" ca="1" si="27"/>
        <v>0</v>
      </c>
      <c r="AZ43" s="99">
        <f t="shared" ca="1" si="28"/>
        <v>0</v>
      </c>
      <c r="BA43" s="99">
        <f t="shared" ca="1" si="29"/>
        <v>0</v>
      </c>
      <c r="BB43" s="99">
        <f t="shared" ca="1" si="30"/>
        <v>0</v>
      </c>
      <c r="BC43" s="101">
        <f t="shared" ca="1" si="52"/>
        <v>0</v>
      </c>
      <c r="BD43" s="101">
        <f t="shared" ca="1" si="53"/>
        <v>0</v>
      </c>
      <c r="BE43" s="101">
        <f t="shared" ca="1" si="54"/>
        <v>0</v>
      </c>
      <c r="BG43" s="78">
        <f t="shared" ca="1" si="31"/>
        <v>0</v>
      </c>
      <c r="BH43" s="288" t="e">
        <f t="shared" ca="1" si="55"/>
        <v>#DIV/0!</v>
      </c>
      <c r="BI43" s="75">
        <f t="shared" ca="1" si="32"/>
        <v>0</v>
      </c>
      <c r="BJ43" s="100">
        <f t="shared" ca="1" si="33"/>
        <v>0</v>
      </c>
      <c r="BK43" s="99">
        <f t="shared" ca="1" si="34"/>
        <v>0</v>
      </c>
      <c r="BL43" s="99">
        <f t="shared" ca="1" si="35"/>
        <v>0</v>
      </c>
      <c r="BM43" s="99">
        <f t="shared" ca="1" si="36"/>
        <v>0</v>
      </c>
      <c r="BN43" s="101">
        <f t="shared" ca="1" si="56"/>
        <v>0</v>
      </c>
      <c r="BO43" s="101">
        <f t="shared" ca="1" si="57"/>
        <v>0</v>
      </c>
      <c r="BP43" s="101">
        <f t="shared" ca="1" si="58"/>
        <v>0</v>
      </c>
      <c r="BR43" s="78">
        <f t="shared" ca="1" si="37"/>
        <v>0</v>
      </c>
      <c r="BS43" s="288" t="e">
        <f t="shared" ca="1" si="59"/>
        <v>#DIV/0!</v>
      </c>
      <c r="BT43" s="75">
        <f t="shared" ca="1" si="38"/>
        <v>0</v>
      </c>
      <c r="BU43" s="100">
        <f t="shared" ca="1" si="39"/>
        <v>0</v>
      </c>
      <c r="BV43" s="99">
        <f t="shared" ca="1" si="40"/>
        <v>0</v>
      </c>
      <c r="BW43" s="99">
        <f t="shared" ca="1" si="41"/>
        <v>0</v>
      </c>
      <c r="BX43" s="99">
        <f t="shared" ca="1" si="42"/>
        <v>0</v>
      </c>
      <c r="BY43" s="101">
        <f t="shared" ca="1" si="60"/>
        <v>0</v>
      </c>
      <c r="BZ43" s="101">
        <f t="shared" ca="1" si="61"/>
        <v>0</v>
      </c>
      <c r="CA43" s="101">
        <f t="shared" ca="1" si="62"/>
        <v>0</v>
      </c>
    </row>
    <row r="44" spans="1:79" x14ac:dyDescent="0.25">
      <c r="A44" s="94">
        <f t="shared" si="43"/>
        <v>37681</v>
      </c>
      <c r="B44" s="95">
        <f t="shared" ca="1" si="44"/>
        <v>3.0950000000000002</v>
      </c>
      <c r="C44" s="77">
        <f t="shared" ca="1" si="45"/>
        <v>0.10961591972285328</v>
      </c>
      <c r="D44" s="95">
        <f t="shared" ca="1" si="0"/>
        <v>0</v>
      </c>
      <c r="E44" s="97">
        <f t="shared" ca="1" si="1"/>
        <v>414</v>
      </c>
      <c r="F44" s="77" t="e">
        <f t="shared" ca="1" si="2"/>
        <v>#DIV/0!</v>
      </c>
      <c r="G44" s="77" t="e">
        <f ca="1">IF(B$16=1,_xll.xCalcSkew(A44,H44-AL44,b)/100,0)</f>
        <v>#DIV/0!</v>
      </c>
      <c r="H44" s="96">
        <f t="shared" ca="1" si="3"/>
        <v>2.44</v>
      </c>
      <c r="J44" s="95">
        <f t="shared" ca="1" si="4"/>
        <v>0</v>
      </c>
      <c r="K44" s="97">
        <f t="shared" ca="1" si="5"/>
        <v>414</v>
      </c>
      <c r="L44" s="172" t="e">
        <f t="shared" ca="1" si="6"/>
        <v>#DIV/0!</v>
      </c>
      <c r="M44" s="77" t="e">
        <f ca="1">IF(D$16=1,_xll.xCalcSkew($A44,N44-AW44,b)/100,0)</f>
        <v>#DIV/0!</v>
      </c>
      <c r="N44" s="96">
        <f t="shared" ca="1" si="7"/>
        <v>2.44</v>
      </c>
      <c r="P44" s="95">
        <f t="shared" ca="1" si="8"/>
        <v>0</v>
      </c>
      <c r="Q44" s="97">
        <f t="shared" ca="1" si="9"/>
        <v>414</v>
      </c>
      <c r="R44" s="172" t="e">
        <f t="shared" ca="1" si="10"/>
        <v>#DIV/0!</v>
      </c>
      <c r="S44" s="77" t="e">
        <f ca="1">IF(F$16=1,_xll.xCalcSkew($A44,T44-BH44,b)/100,0)</f>
        <v>#DIV/0!</v>
      </c>
      <c r="T44" s="96">
        <f t="shared" ca="1" si="11"/>
        <v>2.44</v>
      </c>
      <c r="V44" s="95">
        <f t="shared" ca="1" si="12"/>
        <v>0</v>
      </c>
      <c r="W44" s="97">
        <f t="shared" ca="1" si="13"/>
        <v>414</v>
      </c>
      <c r="X44" s="77" t="e">
        <f t="shared" ca="1" si="14"/>
        <v>#DIV/0!</v>
      </c>
      <c r="Y44" s="77" t="e">
        <f ca="1">IF(H$16=1,_xll.xCalcSkew($A44,Z44-BS44,b)/100,0)</f>
        <v>#DIV/0!</v>
      </c>
      <c r="Z44" s="96">
        <f t="shared" ca="1" si="15"/>
        <v>2.44</v>
      </c>
      <c r="AC44" s="97">
        <f t="shared" ca="1" si="16"/>
        <v>415</v>
      </c>
      <c r="AD44" s="97">
        <f t="shared" ca="1" si="17"/>
        <v>414</v>
      </c>
      <c r="AE44" s="77">
        <f t="shared" ca="1" si="46"/>
        <v>2.53610969536586E-2</v>
      </c>
      <c r="AF44" s="152">
        <f t="shared" si="18"/>
        <v>31</v>
      </c>
      <c r="AG44" s="99"/>
      <c r="AH44" s="99"/>
      <c r="AI44" s="99"/>
      <c r="AJ44" s="99"/>
      <c r="AK44" s="78">
        <f t="shared" ca="1" si="19"/>
        <v>0</v>
      </c>
      <c r="AL44" s="288" t="e">
        <f t="shared" ca="1" si="47"/>
        <v>#DIV/0!</v>
      </c>
      <c r="AM44" s="75">
        <f t="shared" ca="1" si="20"/>
        <v>0</v>
      </c>
      <c r="AN44" s="100">
        <f t="shared" ca="1" si="21"/>
        <v>0</v>
      </c>
      <c r="AO44" s="99">
        <f t="shared" ca="1" si="22"/>
        <v>0</v>
      </c>
      <c r="AP44" s="99">
        <f t="shared" ca="1" si="23"/>
        <v>0</v>
      </c>
      <c r="AQ44" s="99">
        <f t="shared" ca="1" si="24"/>
        <v>0</v>
      </c>
      <c r="AR44" s="101">
        <f t="shared" ca="1" si="48"/>
        <v>0</v>
      </c>
      <c r="AS44" s="101">
        <f t="shared" ca="1" si="49"/>
        <v>0</v>
      </c>
      <c r="AT44" s="101">
        <f t="shared" ca="1" si="50"/>
        <v>0</v>
      </c>
      <c r="AV44" s="78">
        <f t="shared" ca="1" si="25"/>
        <v>0</v>
      </c>
      <c r="AW44" s="288" t="e">
        <f t="shared" ca="1" si="51"/>
        <v>#DIV/0!</v>
      </c>
      <c r="AX44" s="75">
        <f t="shared" ca="1" si="26"/>
        <v>0</v>
      </c>
      <c r="AY44" s="100">
        <f t="shared" ca="1" si="27"/>
        <v>0</v>
      </c>
      <c r="AZ44" s="99">
        <f t="shared" ca="1" si="28"/>
        <v>0</v>
      </c>
      <c r="BA44" s="99">
        <f t="shared" ca="1" si="29"/>
        <v>0</v>
      </c>
      <c r="BB44" s="99">
        <f t="shared" ca="1" si="30"/>
        <v>0</v>
      </c>
      <c r="BC44" s="101">
        <f t="shared" ca="1" si="52"/>
        <v>0</v>
      </c>
      <c r="BD44" s="101">
        <f t="shared" ca="1" si="53"/>
        <v>0</v>
      </c>
      <c r="BE44" s="101">
        <f t="shared" ca="1" si="54"/>
        <v>0</v>
      </c>
      <c r="BG44" s="78">
        <f t="shared" ca="1" si="31"/>
        <v>0</v>
      </c>
      <c r="BH44" s="288" t="e">
        <f t="shared" ca="1" si="55"/>
        <v>#DIV/0!</v>
      </c>
      <c r="BI44" s="75">
        <f t="shared" ca="1" si="32"/>
        <v>0</v>
      </c>
      <c r="BJ44" s="100">
        <f t="shared" ca="1" si="33"/>
        <v>0</v>
      </c>
      <c r="BK44" s="99">
        <f t="shared" ca="1" si="34"/>
        <v>0</v>
      </c>
      <c r="BL44" s="99">
        <f t="shared" ca="1" si="35"/>
        <v>0</v>
      </c>
      <c r="BM44" s="99">
        <f t="shared" ca="1" si="36"/>
        <v>0</v>
      </c>
      <c r="BN44" s="101">
        <f t="shared" ca="1" si="56"/>
        <v>0</v>
      </c>
      <c r="BO44" s="101">
        <f t="shared" ca="1" si="57"/>
        <v>0</v>
      </c>
      <c r="BP44" s="101">
        <f t="shared" ca="1" si="58"/>
        <v>0</v>
      </c>
      <c r="BR44" s="78">
        <f t="shared" ca="1" si="37"/>
        <v>0</v>
      </c>
      <c r="BS44" s="288" t="e">
        <f t="shared" ca="1" si="59"/>
        <v>#DIV/0!</v>
      </c>
      <c r="BT44" s="75">
        <f t="shared" ca="1" si="38"/>
        <v>0</v>
      </c>
      <c r="BU44" s="100">
        <f t="shared" ca="1" si="39"/>
        <v>0</v>
      </c>
      <c r="BV44" s="99">
        <f t="shared" ca="1" si="40"/>
        <v>0</v>
      </c>
      <c r="BW44" s="99">
        <f t="shared" ca="1" si="41"/>
        <v>0</v>
      </c>
      <c r="BX44" s="99">
        <f t="shared" ca="1" si="42"/>
        <v>0</v>
      </c>
      <c r="BY44" s="101">
        <f t="shared" ca="1" si="60"/>
        <v>0</v>
      </c>
      <c r="BZ44" s="101">
        <f t="shared" ca="1" si="61"/>
        <v>0</v>
      </c>
      <c r="CA44" s="101">
        <f t="shared" ca="1" si="62"/>
        <v>0</v>
      </c>
    </row>
    <row r="45" spans="1:79" x14ac:dyDescent="0.25">
      <c r="A45" s="94">
        <f t="shared" si="43"/>
        <v>37712</v>
      </c>
      <c r="B45" s="95">
        <f t="shared" ca="1" si="44"/>
        <v>2.93</v>
      </c>
      <c r="C45" s="77">
        <f t="shared" ca="1" si="45"/>
        <v>0.11228019380736319</v>
      </c>
      <c r="D45" s="95">
        <f t="shared" ca="1" si="0"/>
        <v>0</v>
      </c>
      <c r="E45" s="97">
        <f t="shared" ca="1" si="1"/>
        <v>443</v>
      </c>
      <c r="F45" s="77" t="e">
        <f t="shared" ca="1" si="2"/>
        <v>#DIV/0!</v>
      </c>
      <c r="G45" s="77" t="e">
        <f ca="1">IF(B$16=1,_xll.xCalcSkew(A45,H45-AL45,b)/100,0)</f>
        <v>#DIV/0!</v>
      </c>
      <c r="H45" s="96">
        <f t="shared" ca="1" si="3"/>
        <v>2.44</v>
      </c>
      <c r="J45" s="95">
        <f t="shared" ca="1" si="4"/>
        <v>0</v>
      </c>
      <c r="K45" s="97">
        <f t="shared" ca="1" si="5"/>
        <v>443</v>
      </c>
      <c r="L45" s="172" t="e">
        <f t="shared" ca="1" si="6"/>
        <v>#DIV/0!</v>
      </c>
      <c r="M45" s="77" t="e">
        <f ca="1">IF(D$16=1,_xll.xCalcSkew($A45,N45-AW45,b)/100,0)</f>
        <v>#DIV/0!</v>
      </c>
      <c r="N45" s="96">
        <f t="shared" ca="1" si="7"/>
        <v>2.44</v>
      </c>
      <c r="P45" s="95">
        <f t="shared" ca="1" si="8"/>
        <v>0</v>
      </c>
      <c r="Q45" s="97">
        <f t="shared" ca="1" si="9"/>
        <v>443</v>
      </c>
      <c r="R45" s="172" t="e">
        <f t="shared" ca="1" si="10"/>
        <v>#DIV/0!</v>
      </c>
      <c r="S45" s="77" t="e">
        <f ca="1">IF(F$16=1,_xll.xCalcSkew($A45,T45-BH45,b)/100,0)</f>
        <v>#DIV/0!</v>
      </c>
      <c r="T45" s="96">
        <f t="shared" ca="1" si="11"/>
        <v>2.44</v>
      </c>
      <c r="V45" s="95">
        <f t="shared" ca="1" si="12"/>
        <v>0</v>
      </c>
      <c r="W45" s="97">
        <f t="shared" ca="1" si="13"/>
        <v>443</v>
      </c>
      <c r="X45" s="77" t="e">
        <f t="shared" ca="1" si="14"/>
        <v>#DIV/0!</v>
      </c>
      <c r="Y45" s="77" t="e">
        <f ca="1">IF(H$16=1,_xll.xCalcSkew($A45,Z45-BS45,b)/100,0)</f>
        <v>#DIV/0!</v>
      </c>
      <c r="Z45" s="96">
        <f t="shared" ca="1" si="15"/>
        <v>2.44</v>
      </c>
      <c r="AC45" s="97">
        <f t="shared" ca="1" si="16"/>
        <v>444</v>
      </c>
      <c r="AD45" s="97">
        <f t="shared" ca="1" si="17"/>
        <v>443</v>
      </c>
      <c r="AE45" s="77">
        <f t="shared" ca="1" si="46"/>
        <v>2.6151762451951801E-2</v>
      </c>
      <c r="AF45" s="152">
        <f t="shared" si="18"/>
        <v>30</v>
      </c>
      <c r="AG45" s="99"/>
      <c r="AH45" s="99"/>
      <c r="AI45" s="99"/>
      <c r="AJ45" s="99"/>
      <c r="AK45" s="78">
        <f t="shared" ca="1" si="19"/>
        <v>0</v>
      </c>
      <c r="AL45" s="288" t="e">
        <f t="shared" ca="1" si="47"/>
        <v>#DIV/0!</v>
      </c>
      <c r="AM45" s="75">
        <f t="shared" ca="1" si="20"/>
        <v>0</v>
      </c>
      <c r="AN45" s="100">
        <f t="shared" ca="1" si="21"/>
        <v>0</v>
      </c>
      <c r="AO45" s="99">
        <f t="shared" ca="1" si="22"/>
        <v>0</v>
      </c>
      <c r="AP45" s="99">
        <f t="shared" ca="1" si="23"/>
        <v>0</v>
      </c>
      <c r="AQ45" s="99">
        <f t="shared" ca="1" si="24"/>
        <v>0</v>
      </c>
      <c r="AR45" s="101">
        <f t="shared" ca="1" si="48"/>
        <v>0</v>
      </c>
      <c r="AS45" s="101">
        <f t="shared" ca="1" si="49"/>
        <v>0</v>
      </c>
      <c r="AT45" s="101">
        <f t="shared" ca="1" si="50"/>
        <v>0</v>
      </c>
      <c r="AV45" s="78">
        <f t="shared" ca="1" si="25"/>
        <v>0</v>
      </c>
      <c r="AW45" s="288" t="e">
        <f t="shared" ca="1" si="51"/>
        <v>#DIV/0!</v>
      </c>
      <c r="AX45" s="75">
        <f t="shared" ca="1" si="26"/>
        <v>0</v>
      </c>
      <c r="AY45" s="100">
        <f t="shared" ca="1" si="27"/>
        <v>0</v>
      </c>
      <c r="AZ45" s="99">
        <f t="shared" ca="1" si="28"/>
        <v>0</v>
      </c>
      <c r="BA45" s="99">
        <f t="shared" ca="1" si="29"/>
        <v>0</v>
      </c>
      <c r="BB45" s="99">
        <f t="shared" ca="1" si="30"/>
        <v>0</v>
      </c>
      <c r="BC45" s="101">
        <f t="shared" ca="1" si="52"/>
        <v>0</v>
      </c>
      <c r="BD45" s="101">
        <f t="shared" ca="1" si="53"/>
        <v>0</v>
      </c>
      <c r="BE45" s="101">
        <f t="shared" ca="1" si="54"/>
        <v>0</v>
      </c>
      <c r="BG45" s="78">
        <f t="shared" ca="1" si="31"/>
        <v>0</v>
      </c>
      <c r="BH45" s="288" t="e">
        <f t="shared" ca="1" si="55"/>
        <v>#DIV/0!</v>
      </c>
      <c r="BI45" s="75">
        <f t="shared" ca="1" si="32"/>
        <v>0</v>
      </c>
      <c r="BJ45" s="100">
        <f t="shared" ca="1" si="33"/>
        <v>0</v>
      </c>
      <c r="BK45" s="99">
        <f t="shared" ca="1" si="34"/>
        <v>0</v>
      </c>
      <c r="BL45" s="99">
        <f t="shared" ca="1" si="35"/>
        <v>0</v>
      </c>
      <c r="BM45" s="99">
        <f t="shared" ca="1" si="36"/>
        <v>0</v>
      </c>
      <c r="BN45" s="101">
        <f t="shared" ca="1" si="56"/>
        <v>0</v>
      </c>
      <c r="BO45" s="101">
        <f t="shared" ca="1" si="57"/>
        <v>0</v>
      </c>
      <c r="BP45" s="101">
        <f t="shared" ca="1" si="58"/>
        <v>0</v>
      </c>
      <c r="BR45" s="78">
        <f t="shared" ca="1" si="37"/>
        <v>0</v>
      </c>
      <c r="BS45" s="288" t="e">
        <f t="shared" ca="1" si="59"/>
        <v>#DIV/0!</v>
      </c>
      <c r="BT45" s="75">
        <f t="shared" ca="1" si="38"/>
        <v>0</v>
      </c>
      <c r="BU45" s="100">
        <f t="shared" ca="1" si="39"/>
        <v>0</v>
      </c>
      <c r="BV45" s="99">
        <f t="shared" ca="1" si="40"/>
        <v>0</v>
      </c>
      <c r="BW45" s="99">
        <f t="shared" ca="1" si="41"/>
        <v>0</v>
      </c>
      <c r="BX45" s="99">
        <f t="shared" ca="1" si="42"/>
        <v>0</v>
      </c>
      <c r="BY45" s="101">
        <f t="shared" ca="1" si="60"/>
        <v>0</v>
      </c>
      <c r="BZ45" s="101">
        <f t="shared" ca="1" si="61"/>
        <v>0</v>
      </c>
      <c r="CA45" s="101">
        <f t="shared" ca="1" si="62"/>
        <v>0</v>
      </c>
    </row>
    <row r="46" spans="1:79" x14ac:dyDescent="0.25">
      <c r="A46" s="94">
        <f t="shared" si="43"/>
        <v>37742</v>
      </c>
      <c r="B46" s="95">
        <f t="shared" ca="1" si="44"/>
        <v>2.94</v>
      </c>
      <c r="C46" s="77">
        <f t="shared" ca="1" si="45"/>
        <v>0.10865547047500818</v>
      </c>
      <c r="D46" s="95">
        <f t="shared" ca="1" si="0"/>
        <v>0</v>
      </c>
      <c r="E46" s="97">
        <f t="shared" ca="1" si="1"/>
        <v>473</v>
      </c>
      <c r="F46" s="77" t="e">
        <f t="shared" ca="1" si="2"/>
        <v>#DIV/0!</v>
      </c>
      <c r="G46" s="77" t="e">
        <f ca="1">IF(B$16=1,_xll.xCalcSkew(A46,H46-AL46,b)/100,0)</f>
        <v>#DIV/0!</v>
      </c>
      <c r="H46" s="96">
        <f t="shared" ca="1" si="3"/>
        <v>2.44</v>
      </c>
      <c r="J46" s="95">
        <f t="shared" ca="1" si="4"/>
        <v>0</v>
      </c>
      <c r="K46" s="97">
        <f t="shared" ca="1" si="5"/>
        <v>473</v>
      </c>
      <c r="L46" s="172" t="e">
        <f t="shared" ca="1" si="6"/>
        <v>#DIV/0!</v>
      </c>
      <c r="M46" s="77" t="e">
        <f ca="1">IF(D$16=1,_xll.xCalcSkew($A46,N46-AW46,b)/100,0)</f>
        <v>#DIV/0!</v>
      </c>
      <c r="N46" s="96">
        <f t="shared" ca="1" si="7"/>
        <v>2.44</v>
      </c>
      <c r="P46" s="95">
        <f t="shared" ca="1" si="8"/>
        <v>0</v>
      </c>
      <c r="Q46" s="97">
        <f t="shared" ca="1" si="9"/>
        <v>473</v>
      </c>
      <c r="R46" s="172" t="e">
        <f t="shared" ca="1" si="10"/>
        <v>#DIV/0!</v>
      </c>
      <c r="S46" s="77" t="e">
        <f ca="1">IF(F$16=1,_xll.xCalcSkew($A46,T46-BH46,b)/100,0)</f>
        <v>#DIV/0!</v>
      </c>
      <c r="T46" s="96">
        <f t="shared" ca="1" si="11"/>
        <v>2.44</v>
      </c>
      <c r="V46" s="95">
        <f t="shared" ca="1" si="12"/>
        <v>0</v>
      </c>
      <c r="W46" s="97">
        <f t="shared" ca="1" si="13"/>
        <v>473</v>
      </c>
      <c r="X46" s="77" t="e">
        <f t="shared" ca="1" si="14"/>
        <v>#DIV/0!</v>
      </c>
      <c r="Y46" s="77" t="e">
        <f ca="1">IF(H$16=1,_xll.xCalcSkew($A46,Z46-BS46,b)/100,0)</f>
        <v>#DIV/0!</v>
      </c>
      <c r="Z46" s="96">
        <f t="shared" ca="1" si="15"/>
        <v>2.44</v>
      </c>
      <c r="AC46" s="97">
        <f t="shared" ca="1" si="16"/>
        <v>476</v>
      </c>
      <c r="AD46" s="97">
        <f t="shared" ca="1" si="17"/>
        <v>473</v>
      </c>
      <c r="AE46" s="77">
        <f t="shared" ca="1" si="46"/>
        <v>2.70235470347737E-2</v>
      </c>
      <c r="AF46" s="152">
        <f t="shared" si="18"/>
        <v>31</v>
      </c>
      <c r="AG46" s="99"/>
      <c r="AH46" s="99"/>
      <c r="AI46" s="99"/>
      <c r="AJ46" s="99"/>
      <c r="AK46" s="78">
        <f t="shared" ca="1" si="19"/>
        <v>0</v>
      </c>
      <c r="AL46" s="288" t="e">
        <f t="shared" ca="1" si="47"/>
        <v>#DIV/0!</v>
      </c>
      <c r="AM46" s="75">
        <f t="shared" ca="1" si="20"/>
        <v>0</v>
      </c>
      <c r="AN46" s="100">
        <f t="shared" ca="1" si="21"/>
        <v>0</v>
      </c>
      <c r="AO46" s="99">
        <f t="shared" ca="1" si="22"/>
        <v>0</v>
      </c>
      <c r="AP46" s="99">
        <f t="shared" ca="1" si="23"/>
        <v>0</v>
      </c>
      <c r="AQ46" s="99">
        <f t="shared" ca="1" si="24"/>
        <v>0</v>
      </c>
      <c r="AR46" s="101">
        <f t="shared" ca="1" si="48"/>
        <v>0</v>
      </c>
      <c r="AS46" s="101">
        <f t="shared" ca="1" si="49"/>
        <v>0</v>
      </c>
      <c r="AT46" s="101">
        <f t="shared" ca="1" si="50"/>
        <v>0</v>
      </c>
      <c r="AV46" s="78">
        <f t="shared" ca="1" si="25"/>
        <v>0</v>
      </c>
      <c r="AW46" s="288" t="e">
        <f t="shared" ca="1" si="51"/>
        <v>#DIV/0!</v>
      </c>
      <c r="AX46" s="75">
        <f t="shared" ca="1" si="26"/>
        <v>0</v>
      </c>
      <c r="AY46" s="100">
        <f t="shared" ca="1" si="27"/>
        <v>0</v>
      </c>
      <c r="AZ46" s="99">
        <f t="shared" ca="1" si="28"/>
        <v>0</v>
      </c>
      <c r="BA46" s="99">
        <f t="shared" ca="1" si="29"/>
        <v>0</v>
      </c>
      <c r="BB46" s="99">
        <f t="shared" ca="1" si="30"/>
        <v>0</v>
      </c>
      <c r="BC46" s="101">
        <f t="shared" ca="1" si="52"/>
        <v>0</v>
      </c>
      <c r="BD46" s="101">
        <f t="shared" ca="1" si="53"/>
        <v>0</v>
      </c>
      <c r="BE46" s="101">
        <f t="shared" ca="1" si="54"/>
        <v>0</v>
      </c>
      <c r="BG46" s="78">
        <f t="shared" ca="1" si="31"/>
        <v>0</v>
      </c>
      <c r="BH46" s="288" t="e">
        <f t="shared" ca="1" si="55"/>
        <v>#DIV/0!</v>
      </c>
      <c r="BI46" s="75">
        <f t="shared" ca="1" si="32"/>
        <v>0</v>
      </c>
      <c r="BJ46" s="100">
        <f t="shared" ca="1" si="33"/>
        <v>0</v>
      </c>
      <c r="BK46" s="99">
        <f t="shared" ca="1" si="34"/>
        <v>0</v>
      </c>
      <c r="BL46" s="99">
        <f t="shared" ca="1" si="35"/>
        <v>0</v>
      </c>
      <c r="BM46" s="99">
        <f t="shared" ca="1" si="36"/>
        <v>0</v>
      </c>
      <c r="BN46" s="101">
        <f t="shared" ca="1" si="56"/>
        <v>0</v>
      </c>
      <c r="BO46" s="101">
        <f t="shared" ca="1" si="57"/>
        <v>0</v>
      </c>
      <c r="BP46" s="101">
        <f t="shared" ca="1" si="58"/>
        <v>0</v>
      </c>
      <c r="BR46" s="78">
        <f t="shared" ca="1" si="37"/>
        <v>0</v>
      </c>
      <c r="BS46" s="288" t="e">
        <f t="shared" ca="1" si="59"/>
        <v>#DIV/0!</v>
      </c>
      <c r="BT46" s="75">
        <f t="shared" ca="1" si="38"/>
        <v>0</v>
      </c>
      <c r="BU46" s="100">
        <f t="shared" ca="1" si="39"/>
        <v>0</v>
      </c>
      <c r="BV46" s="99">
        <f t="shared" ca="1" si="40"/>
        <v>0</v>
      </c>
      <c r="BW46" s="99">
        <f t="shared" ca="1" si="41"/>
        <v>0</v>
      </c>
      <c r="BX46" s="99">
        <f t="shared" ca="1" si="42"/>
        <v>0</v>
      </c>
      <c r="BY46" s="101">
        <f t="shared" ca="1" si="60"/>
        <v>0</v>
      </c>
      <c r="BZ46" s="101">
        <f t="shared" ca="1" si="61"/>
        <v>0</v>
      </c>
      <c r="CA46" s="101">
        <f t="shared" ca="1" si="62"/>
        <v>0</v>
      </c>
    </row>
    <row r="47" spans="1:79" x14ac:dyDescent="0.25">
      <c r="A47" s="94">
        <f t="shared" si="43"/>
        <v>37773</v>
      </c>
      <c r="B47" s="95">
        <f t="shared" ca="1" si="44"/>
        <v>2.923</v>
      </c>
      <c r="C47" s="77">
        <f t="shared" ca="1" si="45"/>
        <v>0.10614183277266946</v>
      </c>
      <c r="D47" s="95">
        <f t="shared" ca="1" si="0"/>
        <v>0</v>
      </c>
      <c r="E47" s="97">
        <f t="shared" ca="1" si="1"/>
        <v>505</v>
      </c>
      <c r="F47" s="77" t="e">
        <f t="shared" ca="1" si="2"/>
        <v>#DIV/0!</v>
      </c>
      <c r="G47" s="77" t="e">
        <f ca="1">IF(B$16=1,_xll.xCalcSkew(A47,H47-AL47,b)/100,0)</f>
        <v>#DIV/0!</v>
      </c>
      <c r="H47" s="96">
        <f t="shared" ca="1" si="3"/>
        <v>2.44</v>
      </c>
      <c r="J47" s="95">
        <f t="shared" ca="1" si="4"/>
        <v>0</v>
      </c>
      <c r="K47" s="97">
        <f t="shared" ca="1" si="5"/>
        <v>505</v>
      </c>
      <c r="L47" s="172" t="e">
        <f t="shared" ca="1" si="6"/>
        <v>#DIV/0!</v>
      </c>
      <c r="M47" s="77" t="e">
        <f ca="1">IF(D$16=1,_xll.xCalcSkew($A47,N47-AW47,b)/100,0)</f>
        <v>#DIV/0!</v>
      </c>
      <c r="N47" s="96">
        <f t="shared" ca="1" si="7"/>
        <v>2.44</v>
      </c>
      <c r="P47" s="95">
        <f t="shared" ca="1" si="8"/>
        <v>0</v>
      </c>
      <c r="Q47" s="97">
        <f t="shared" ca="1" si="9"/>
        <v>505</v>
      </c>
      <c r="R47" s="172" t="e">
        <f t="shared" ca="1" si="10"/>
        <v>#DIV/0!</v>
      </c>
      <c r="S47" s="77" t="e">
        <f ca="1">IF(F$16=1,_xll.xCalcSkew($A47,T47-BH47,b)/100,0)</f>
        <v>#DIV/0!</v>
      </c>
      <c r="T47" s="96">
        <f t="shared" ca="1" si="11"/>
        <v>2.44</v>
      </c>
      <c r="V47" s="95">
        <f t="shared" ca="1" si="12"/>
        <v>0</v>
      </c>
      <c r="W47" s="97">
        <f t="shared" ca="1" si="13"/>
        <v>505</v>
      </c>
      <c r="X47" s="77" t="e">
        <f t="shared" ca="1" si="14"/>
        <v>#DIV/0!</v>
      </c>
      <c r="Y47" s="77" t="e">
        <f ca="1">IF(H$16=1,_xll.xCalcSkew($A47,Z47-BS47,b)/100,0)</f>
        <v>#DIV/0!</v>
      </c>
      <c r="Z47" s="96">
        <f t="shared" ca="1" si="15"/>
        <v>2.44</v>
      </c>
      <c r="AC47" s="97">
        <f t="shared" ca="1" si="16"/>
        <v>506</v>
      </c>
      <c r="AD47" s="97">
        <f t="shared" ca="1" si="17"/>
        <v>505</v>
      </c>
      <c r="AE47" s="77">
        <f t="shared" ca="1" si="46"/>
        <v>2.78505455310585E-2</v>
      </c>
      <c r="AF47" s="152">
        <f t="shared" si="18"/>
        <v>30</v>
      </c>
      <c r="AG47" s="99"/>
      <c r="AH47" s="99"/>
      <c r="AI47" s="99"/>
      <c r="AJ47" s="99"/>
      <c r="AK47" s="78">
        <f t="shared" ca="1" si="19"/>
        <v>0</v>
      </c>
      <c r="AL47" s="288" t="e">
        <f t="shared" ca="1" si="47"/>
        <v>#DIV/0!</v>
      </c>
      <c r="AM47" s="75">
        <f t="shared" ca="1" si="20"/>
        <v>0</v>
      </c>
      <c r="AN47" s="100">
        <f t="shared" ca="1" si="21"/>
        <v>0</v>
      </c>
      <c r="AO47" s="99">
        <f t="shared" ca="1" si="22"/>
        <v>0</v>
      </c>
      <c r="AP47" s="99">
        <f t="shared" ca="1" si="23"/>
        <v>0</v>
      </c>
      <c r="AQ47" s="99">
        <f t="shared" ca="1" si="24"/>
        <v>0</v>
      </c>
      <c r="AR47" s="101">
        <f t="shared" ca="1" si="48"/>
        <v>0</v>
      </c>
      <c r="AS47" s="101">
        <f t="shared" ca="1" si="49"/>
        <v>0</v>
      </c>
      <c r="AT47" s="101">
        <f t="shared" ca="1" si="50"/>
        <v>0</v>
      </c>
      <c r="AV47" s="78">
        <f t="shared" ca="1" si="25"/>
        <v>0</v>
      </c>
      <c r="AW47" s="288" t="e">
        <f t="shared" ca="1" si="51"/>
        <v>#DIV/0!</v>
      </c>
      <c r="AX47" s="75">
        <f t="shared" ca="1" si="26"/>
        <v>0</v>
      </c>
      <c r="AY47" s="100">
        <f t="shared" ca="1" si="27"/>
        <v>0</v>
      </c>
      <c r="AZ47" s="99">
        <f t="shared" ca="1" si="28"/>
        <v>0</v>
      </c>
      <c r="BA47" s="99">
        <f t="shared" ca="1" si="29"/>
        <v>0</v>
      </c>
      <c r="BB47" s="99">
        <f t="shared" ca="1" si="30"/>
        <v>0</v>
      </c>
      <c r="BC47" s="101">
        <f t="shared" ca="1" si="52"/>
        <v>0</v>
      </c>
      <c r="BD47" s="101">
        <f t="shared" ca="1" si="53"/>
        <v>0</v>
      </c>
      <c r="BE47" s="101">
        <f t="shared" ca="1" si="54"/>
        <v>0</v>
      </c>
      <c r="BG47" s="78">
        <f t="shared" ca="1" si="31"/>
        <v>0</v>
      </c>
      <c r="BH47" s="288" t="e">
        <f t="shared" ca="1" si="55"/>
        <v>#DIV/0!</v>
      </c>
      <c r="BI47" s="75">
        <f t="shared" ca="1" si="32"/>
        <v>0</v>
      </c>
      <c r="BJ47" s="100">
        <f t="shared" ca="1" si="33"/>
        <v>0</v>
      </c>
      <c r="BK47" s="99">
        <f t="shared" ca="1" si="34"/>
        <v>0</v>
      </c>
      <c r="BL47" s="99">
        <f t="shared" ca="1" si="35"/>
        <v>0</v>
      </c>
      <c r="BM47" s="99">
        <f t="shared" ca="1" si="36"/>
        <v>0</v>
      </c>
      <c r="BN47" s="101">
        <f t="shared" ca="1" si="56"/>
        <v>0</v>
      </c>
      <c r="BO47" s="101">
        <f t="shared" ca="1" si="57"/>
        <v>0</v>
      </c>
      <c r="BP47" s="101">
        <f t="shared" ca="1" si="58"/>
        <v>0</v>
      </c>
      <c r="BR47" s="78">
        <f t="shared" ca="1" si="37"/>
        <v>0</v>
      </c>
      <c r="BS47" s="288" t="e">
        <f t="shared" ca="1" si="59"/>
        <v>#DIV/0!</v>
      </c>
      <c r="BT47" s="75">
        <f t="shared" ca="1" si="38"/>
        <v>0</v>
      </c>
      <c r="BU47" s="100">
        <f t="shared" ca="1" si="39"/>
        <v>0</v>
      </c>
      <c r="BV47" s="99">
        <f t="shared" ca="1" si="40"/>
        <v>0</v>
      </c>
      <c r="BW47" s="99">
        <f t="shared" ca="1" si="41"/>
        <v>0</v>
      </c>
      <c r="BX47" s="99">
        <f t="shared" ca="1" si="42"/>
        <v>0</v>
      </c>
      <c r="BY47" s="101">
        <f t="shared" ca="1" si="60"/>
        <v>0</v>
      </c>
      <c r="BZ47" s="101">
        <f t="shared" ca="1" si="61"/>
        <v>0</v>
      </c>
      <c r="CA47" s="101">
        <f t="shared" ca="1" si="62"/>
        <v>0</v>
      </c>
    </row>
    <row r="48" spans="1:79" x14ac:dyDescent="0.25">
      <c r="A48" s="94">
        <f t="shared" si="43"/>
        <v>37803</v>
      </c>
      <c r="B48" s="95">
        <f t="shared" ca="1" si="44"/>
        <v>3.0150000000000001</v>
      </c>
      <c r="C48" s="77">
        <f t="shared" ca="1" si="45"/>
        <v>0.100412676617499</v>
      </c>
      <c r="D48" s="95">
        <f t="shared" ca="1" si="0"/>
        <v>0</v>
      </c>
      <c r="E48" s="97">
        <f t="shared" ca="1" si="1"/>
        <v>534</v>
      </c>
      <c r="F48" s="77" t="e">
        <f t="shared" ca="1" si="2"/>
        <v>#DIV/0!</v>
      </c>
      <c r="G48" s="77" t="e">
        <f ca="1">IF(B$16=1,_xll.xCalcSkew(A48,H48-AL48,b)/100,0)</f>
        <v>#DIV/0!</v>
      </c>
      <c r="H48" s="96">
        <f t="shared" ca="1" si="3"/>
        <v>2.44</v>
      </c>
      <c r="J48" s="95">
        <f t="shared" ca="1" si="4"/>
        <v>0</v>
      </c>
      <c r="K48" s="97">
        <f t="shared" ca="1" si="5"/>
        <v>534</v>
      </c>
      <c r="L48" s="172" t="e">
        <f t="shared" ca="1" si="6"/>
        <v>#DIV/0!</v>
      </c>
      <c r="M48" s="77" t="e">
        <f ca="1">IF(D$16=1,_xll.xCalcSkew($A48,N48-AW48,b)/100,0)</f>
        <v>#DIV/0!</v>
      </c>
      <c r="N48" s="96">
        <f t="shared" ca="1" si="7"/>
        <v>2.44</v>
      </c>
      <c r="P48" s="95">
        <f t="shared" ca="1" si="8"/>
        <v>0</v>
      </c>
      <c r="Q48" s="97">
        <f t="shared" ca="1" si="9"/>
        <v>534</v>
      </c>
      <c r="R48" s="172" t="e">
        <f t="shared" ca="1" si="10"/>
        <v>#DIV/0!</v>
      </c>
      <c r="S48" s="77" t="e">
        <f ca="1">IF(F$16=1,_xll.xCalcSkew($A48,T48-BH48,b)/100,0)</f>
        <v>#DIV/0!</v>
      </c>
      <c r="T48" s="96">
        <f t="shared" ca="1" si="11"/>
        <v>2.44</v>
      </c>
      <c r="V48" s="95">
        <f t="shared" ca="1" si="12"/>
        <v>0</v>
      </c>
      <c r="W48" s="97">
        <f t="shared" ca="1" si="13"/>
        <v>534</v>
      </c>
      <c r="X48" s="77" t="e">
        <f t="shared" ca="1" si="14"/>
        <v>#DIV/0!</v>
      </c>
      <c r="Y48" s="77" t="e">
        <f ca="1">IF(H$16=1,_xll.xCalcSkew($A48,Z48-BS48,b)/100,0)</f>
        <v>#DIV/0!</v>
      </c>
      <c r="Z48" s="96">
        <f t="shared" ca="1" si="15"/>
        <v>2.44</v>
      </c>
      <c r="AC48" s="97">
        <f t="shared" ca="1" si="16"/>
        <v>535</v>
      </c>
      <c r="AD48" s="97">
        <f t="shared" ca="1" si="17"/>
        <v>534</v>
      </c>
      <c r="AE48" s="77">
        <f t="shared" ca="1" si="46"/>
        <v>2.8705110886401802E-2</v>
      </c>
      <c r="AF48" s="152">
        <f t="shared" si="18"/>
        <v>31</v>
      </c>
      <c r="AG48" s="99"/>
      <c r="AH48" s="99"/>
      <c r="AI48" s="99"/>
      <c r="AJ48" s="99"/>
      <c r="AK48" s="78">
        <f t="shared" ca="1" si="19"/>
        <v>0</v>
      </c>
      <c r="AL48" s="288" t="e">
        <f t="shared" ca="1" si="47"/>
        <v>#DIV/0!</v>
      </c>
      <c r="AM48" s="75">
        <f t="shared" ca="1" si="20"/>
        <v>0</v>
      </c>
      <c r="AN48" s="100">
        <f t="shared" ca="1" si="21"/>
        <v>0</v>
      </c>
      <c r="AO48" s="99">
        <f t="shared" ca="1" si="22"/>
        <v>0</v>
      </c>
      <c r="AP48" s="99">
        <f t="shared" ca="1" si="23"/>
        <v>0</v>
      </c>
      <c r="AQ48" s="99">
        <f t="shared" ca="1" si="24"/>
        <v>0</v>
      </c>
      <c r="AR48" s="101">
        <f t="shared" ca="1" si="48"/>
        <v>0</v>
      </c>
      <c r="AS48" s="101">
        <f t="shared" ca="1" si="49"/>
        <v>0</v>
      </c>
      <c r="AT48" s="101">
        <f t="shared" ca="1" si="50"/>
        <v>0</v>
      </c>
      <c r="AV48" s="78">
        <f t="shared" ca="1" si="25"/>
        <v>0</v>
      </c>
      <c r="AW48" s="288" t="e">
        <f t="shared" ca="1" si="51"/>
        <v>#DIV/0!</v>
      </c>
      <c r="AX48" s="75">
        <f t="shared" ca="1" si="26"/>
        <v>0</v>
      </c>
      <c r="AY48" s="100">
        <f t="shared" ca="1" si="27"/>
        <v>0</v>
      </c>
      <c r="AZ48" s="99">
        <f t="shared" ca="1" si="28"/>
        <v>0</v>
      </c>
      <c r="BA48" s="99">
        <f t="shared" ca="1" si="29"/>
        <v>0</v>
      </c>
      <c r="BB48" s="99">
        <f t="shared" ca="1" si="30"/>
        <v>0</v>
      </c>
      <c r="BC48" s="101">
        <f t="shared" ca="1" si="52"/>
        <v>0</v>
      </c>
      <c r="BD48" s="101">
        <f t="shared" ca="1" si="53"/>
        <v>0</v>
      </c>
      <c r="BE48" s="101">
        <f t="shared" ca="1" si="54"/>
        <v>0</v>
      </c>
      <c r="BG48" s="78">
        <f t="shared" ca="1" si="31"/>
        <v>0</v>
      </c>
      <c r="BH48" s="288" t="e">
        <f t="shared" ca="1" si="55"/>
        <v>#DIV/0!</v>
      </c>
      <c r="BI48" s="75">
        <f t="shared" ca="1" si="32"/>
        <v>0</v>
      </c>
      <c r="BJ48" s="100">
        <f t="shared" ca="1" si="33"/>
        <v>0</v>
      </c>
      <c r="BK48" s="99">
        <f t="shared" ca="1" si="34"/>
        <v>0</v>
      </c>
      <c r="BL48" s="99">
        <f t="shared" ca="1" si="35"/>
        <v>0</v>
      </c>
      <c r="BM48" s="99">
        <f t="shared" ca="1" si="36"/>
        <v>0</v>
      </c>
      <c r="BN48" s="101">
        <f t="shared" ca="1" si="56"/>
        <v>0</v>
      </c>
      <c r="BO48" s="101">
        <f t="shared" ca="1" si="57"/>
        <v>0</v>
      </c>
      <c r="BP48" s="101">
        <f t="shared" ca="1" si="58"/>
        <v>0</v>
      </c>
      <c r="BR48" s="78">
        <f t="shared" ca="1" si="37"/>
        <v>0</v>
      </c>
      <c r="BS48" s="288" t="e">
        <f t="shared" ca="1" si="59"/>
        <v>#DIV/0!</v>
      </c>
      <c r="BT48" s="75">
        <f t="shared" ca="1" si="38"/>
        <v>0</v>
      </c>
      <c r="BU48" s="100">
        <f t="shared" ca="1" si="39"/>
        <v>0</v>
      </c>
      <c r="BV48" s="99">
        <f t="shared" ca="1" si="40"/>
        <v>0</v>
      </c>
      <c r="BW48" s="99">
        <f t="shared" ca="1" si="41"/>
        <v>0</v>
      </c>
      <c r="BX48" s="99">
        <f t="shared" ca="1" si="42"/>
        <v>0</v>
      </c>
      <c r="BY48" s="101">
        <f t="shared" ca="1" si="60"/>
        <v>0</v>
      </c>
      <c r="BZ48" s="101">
        <f t="shared" ca="1" si="61"/>
        <v>0</v>
      </c>
      <c r="CA48" s="101">
        <f t="shared" ca="1" si="62"/>
        <v>0</v>
      </c>
    </row>
    <row r="49" spans="1:79" x14ac:dyDescent="0.25">
      <c r="A49" s="94">
        <f t="shared" si="43"/>
        <v>37834</v>
      </c>
      <c r="B49" s="95">
        <f t="shared" ca="1" si="44"/>
        <v>3.0750000000000002</v>
      </c>
      <c r="C49" s="77">
        <f t="shared" ca="1" si="45"/>
        <v>9.5911872361824954E-2</v>
      </c>
      <c r="D49" s="95">
        <f t="shared" ca="1" si="0"/>
        <v>0</v>
      </c>
      <c r="E49" s="97">
        <f t="shared" ca="1" si="1"/>
        <v>567</v>
      </c>
      <c r="F49" s="77" t="e">
        <f t="shared" ca="1" si="2"/>
        <v>#DIV/0!</v>
      </c>
      <c r="G49" s="77" t="e">
        <f ca="1">IF(B$16=1,_xll.xCalcSkew(A49,H49-AL49,b)/100,0)</f>
        <v>#DIV/0!</v>
      </c>
      <c r="H49" s="96">
        <f t="shared" ca="1" si="3"/>
        <v>2.44</v>
      </c>
      <c r="J49" s="95">
        <f t="shared" ca="1" si="4"/>
        <v>0</v>
      </c>
      <c r="K49" s="97">
        <f t="shared" ca="1" si="5"/>
        <v>567</v>
      </c>
      <c r="L49" s="172" t="e">
        <f t="shared" ca="1" si="6"/>
        <v>#DIV/0!</v>
      </c>
      <c r="M49" s="77" t="e">
        <f ca="1">IF(D$16=1,_xll.xCalcSkew($A49,N49-AW49,b)/100,0)</f>
        <v>#DIV/0!</v>
      </c>
      <c r="N49" s="96">
        <f t="shared" ca="1" si="7"/>
        <v>2.44</v>
      </c>
      <c r="P49" s="95">
        <f t="shared" ca="1" si="8"/>
        <v>0</v>
      </c>
      <c r="Q49" s="97">
        <f t="shared" ca="1" si="9"/>
        <v>567</v>
      </c>
      <c r="R49" s="172" t="e">
        <f t="shared" ca="1" si="10"/>
        <v>#DIV/0!</v>
      </c>
      <c r="S49" s="77" t="e">
        <f ca="1">IF(F$16=1,_xll.xCalcSkew($A49,T49-BH49,b)/100,0)</f>
        <v>#DIV/0!</v>
      </c>
      <c r="T49" s="96">
        <f t="shared" ca="1" si="11"/>
        <v>2.44</v>
      </c>
      <c r="V49" s="95">
        <f t="shared" ca="1" si="12"/>
        <v>0</v>
      </c>
      <c r="W49" s="97">
        <f t="shared" ca="1" si="13"/>
        <v>567</v>
      </c>
      <c r="X49" s="77" t="e">
        <f t="shared" ca="1" si="14"/>
        <v>#DIV/0!</v>
      </c>
      <c r="Y49" s="77" t="e">
        <f ca="1">IF(H$16=1,_xll.xCalcSkew($A49,Z49-BS49,b)/100,0)</f>
        <v>#DIV/0!</v>
      </c>
      <c r="Z49" s="96">
        <f t="shared" ca="1" si="15"/>
        <v>2.44</v>
      </c>
      <c r="AC49" s="97">
        <f t="shared" ca="1" si="16"/>
        <v>568</v>
      </c>
      <c r="AD49" s="97">
        <f t="shared" ca="1" si="17"/>
        <v>567</v>
      </c>
      <c r="AE49" s="77">
        <f t="shared" ca="1" si="46"/>
        <v>2.9520453177735599E-2</v>
      </c>
      <c r="AF49" s="152">
        <f t="shared" si="18"/>
        <v>31</v>
      </c>
      <c r="AG49" s="99"/>
      <c r="AH49" s="99"/>
      <c r="AI49" s="99"/>
      <c r="AJ49" s="99"/>
      <c r="AK49" s="78">
        <f t="shared" ca="1" si="19"/>
        <v>0</v>
      </c>
      <c r="AL49" s="288" t="e">
        <f t="shared" ca="1" si="47"/>
        <v>#DIV/0!</v>
      </c>
      <c r="AM49" s="75">
        <f t="shared" ca="1" si="20"/>
        <v>0</v>
      </c>
      <c r="AN49" s="100">
        <f t="shared" ca="1" si="21"/>
        <v>0</v>
      </c>
      <c r="AO49" s="99">
        <f t="shared" ca="1" si="22"/>
        <v>0</v>
      </c>
      <c r="AP49" s="99">
        <f t="shared" ca="1" si="23"/>
        <v>0</v>
      </c>
      <c r="AQ49" s="99">
        <f t="shared" ca="1" si="24"/>
        <v>0</v>
      </c>
      <c r="AR49" s="101">
        <f t="shared" ca="1" si="48"/>
        <v>0</v>
      </c>
      <c r="AS49" s="101">
        <f t="shared" ca="1" si="49"/>
        <v>0</v>
      </c>
      <c r="AT49" s="101">
        <f t="shared" ca="1" si="50"/>
        <v>0</v>
      </c>
      <c r="AV49" s="78">
        <f t="shared" ca="1" si="25"/>
        <v>0</v>
      </c>
      <c r="AW49" s="288" t="e">
        <f t="shared" ca="1" si="51"/>
        <v>#DIV/0!</v>
      </c>
      <c r="AX49" s="75">
        <f t="shared" ca="1" si="26"/>
        <v>0</v>
      </c>
      <c r="AY49" s="100">
        <f t="shared" ca="1" si="27"/>
        <v>0</v>
      </c>
      <c r="AZ49" s="99">
        <f t="shared" ca="1" si="28"/>
        <v>0</v>
      </c>
      <c r="BA49" s="99">
        <f t="shared" ca="1" si="29"/>
        <v>0</v>
      </c>
      <c r="BB49" s="99">
        <f t="shared" ca="1" si="30"/>
        <v>0</v>
      </c>
      <c r="BC49" s="101">
        <f t="shared" ca="1" si="52"/>
        <v>0</v>
      </c>
      <c r="BD49" s="101">
        <f t="shared" ca="1" si="53"/>
        <v>0</v>
      </c>
      <c r="BE49" s="101">
        <f t="shared" ca="1" si="54"/>
        <v>0</v>
      </c>
      <c r="BG49" s="78">
        <f t="shared" ca="1" si="31"/>
        <v>0</v>
      </c>
      <c r="BH49" s="288" t="e">
        <f t="shared" ca="1" si="55"/>
        <v>#DIV/0!</v>
      </c>
      <c r="BI49" s="75">
        <f t="shared" ca="1" si="32"/>
        <v>0</v>
      </c>
      <c r="BJ49" s="100">
        <f t="shared" ca="1" si="33"/>
        <v>0</v>
      </c>
      <c r="BK49" s="99">
        <f t="shared" ca="1" si="34"/>
        <v>0</v>
      </c>
      <c r="BL49" s="99">
        <f t="shared" ca="1" si="35"/>
        <v>0</v>
      </c>
      <c r="BM49" s="99">
        <f t="shared" ca="1" si="36"/>
        <v>0</v>
      </c>
      <c r="BN49" s="101">
        <f t="shared" ca="1" si="56"/>
        <v>0</v>
      </c>
      <c r="BO49" s="101">
        <f t="shared" ca="1" si="57"/>
        <v>0</v>
      </c>
      <c r="BP49" s="101">
        <f t="shared" ca="1" si="58"/>
        <v>0</v>
      </c>
      <c r="BR49" s="78">
        <f t="shared" ca="1" si="37"/>
        <v>0</v>
      </c>
      <c r="BS49" s="288" t="e">
        <f t="shared" ca="1" si="59"/>
        <v>#DIV/0!</v>
      </c>
      <c r="BT49" s="75">
        <f t="shared" ca="1" si="38"/>
        <v>0</v>
      </c>
      <c r="BU49" s="100">
        <f t="shared" ca="1" si="39"/>
        <v>0</v>
      </c>
      <c r="BV49" s="99">
        <f t="shared" ca="1" si="40"/>
        <v>0</v>
      </c>
      <c r="BW49" s="99">
        <f t="shared" ca="1" si="41"/>
        <v>0</v>
      </c>
      <c r="BX49" s="99">
        <f t="shared" ca="1" si="42"/>
        <v>0</v>
      </c>
      <c r="BY49" s="101">
        <f t="shared" ca="1" si="60"/>
        <v>0</v>
      </c>
      <c r="BZ49" s="101">
        <f t="shared" ca="1" si="61"/>
        <v>0</v>
      </c>
      <c r="CA49" s="101">
        <f t="shared" ca="1" si="62"/>
        <v>0</v>
      </c>
    </row>
    <row r="50" spans="1:79" x14ac:dyDescent="0.25">
      <c r="A50" s="94">
        <f t="shared" si="43"/>
        <v>37865</v>
      </c>
      <c r="B50" s="95">
        <f t="shared" ca="1" si="44"/>
        <v>3.0750000000000002</v>
      </c>
      <c r="C50" s="77">
        <f t="shared" ca="1" si="45"/>
        <v>9.3894754068105851E-2</v>
      </c>
      <c r="D50" s="95">
        <f t="shared" ca="1" si="0"/>
        <v>0</v>
      </c>
      <c r="E50" s="97">
        <f t="shared" ca="1" si="1"/>
        <v>596</v>
      </c>
      <c r="F50" s="77" t="e">
        <f t="shared" ca="1" si="2"/>
        <v>#DIV/0!</v>
      </c>
      <c r="G50" s="77" t="e">
        <f ca="1">IF(B$16=1,_xll.xCalcSkew(A50,H50-AL50,b)/100,0)</f>
        <v>#DIV/0!</v>
      </c>
      <c r="H50" s="96">
        <f t="shared" ca="1" si="3"/>
        <v>2.44</v>
      </c>
      <c r="J50" s="95">
        <f t="shared" ca="1" si="4"/>
        <v>0</v>
      </c>
      <c r="K50" s="97">
        <f t="shared" ca="1" si="5"/>
        <v>596</v>
      </c>
      <c r="L50" s="172" t="e">
        <f t="shared" ca="1" si="6"/>
        <v>#DIV/0!</v>
      </c>
      <c r="M50" s="77" t="e">
        <f ca="1">IF(D$16=1,_xll.xCalcSkew($A50,N50-AW50,b)/100,0)</f>
        <v>#DIV/0!</v>
      </c>
      <c r="N50" s="96">
        <f t="shared" ca="1" si="7"/>
        <v>2.44</v>
      </c>
      <c r="P50" s="95">
        <f t="shared" ca="1" si="8"/>
        <v>0</v>
      </c>
      <c r="Q50" s="97">
        <f t="shared" ca="1" si="9"/>
        <v>596</v>
      </c>
      <c r="R50" s="172" t="e">
        <f t="shared" ca="1" si="10"/>
        <v>#DIV/0!</v>
      </c>
      <c r="S50" s="77" t="e">
        <f ca="1">IF(F$16=1,_xll.xCalcSkew($A50,T50-BH50,b)/100,0)</f>
        <v>#DIV/0!</v>
      </c>
      <c r="T50" s="96">
        <f t="shared" ca="1" si="11"/>
        <v>2.44</v>
      </c>
      <c r="V50" s="95">
        <f t="shared" ca="1" si="12"/>
        <v>0</v>
      </c>
      <c r="W50" s="97">
        <f t="shared" ca="1" si="13"/>
        <v>596</v>
      </c>
      <c r="X50" s="77" t="e">
        <f t="shared" ca="1" si="14"/>
        <v>#DIV/0!</v>
      </c>
      <c r="Y50" s="77" t="e">
        <f ca="1">IF(H$16=1,_xll.xCalcSkew($A50,Z50-BS50,b)/100,0)</f>
        <v>#DIV/0!</v>
      </c>
      <c r="Z50" s="96">
        <f t="shared" ca="1" si="15"/>
        <v>2.44</v>
      </c>
      <c r="AC50" s="97">
        <f t="shared" ca="1" si="16"/>
        <v>597</v>
      </c>
      <c r="AD50" s="97">
        <f t="shared" ca="1" si="17"/>
        <v>596</v>
      </c>
      <c r="AE50" s="77">
        <f t="shared" ca="1" si="46"/>
        <v>3.0346320792436401E-2</v>
      </c>
      <c r="AF50" s="152">
        <f t="shared" si="18"/>
        <v>30</v>
      </c>
      <c r="AG50" s="99"/>
      <c r="AH50" s="99"/>
      <c r="AI50" s="99"/>
      <c r="AJ50" s="99"/>
      <c r="AK50" s="78">
        <f t="shared" ca="1" si="19"/>
        <v>0</v>
      </c>
      <c r="AL50" s="288" t="e">
        <f t="shared" ca="1" si="47"/>
        <v>#DIV/0!</v>
      </c>
      <c r="AM50" s="75">
        <f t="shared" ca="1" si="20"/>
        <v>0</v>
      </c>
      <c r="AN50" s="100">
        <f t="shared" ca="1" si="21"/>
        <v>0</v>
      </c>
      <c r="AO50" s="99">
        <f t="shared" ca="1" si="22"/>
        <v>0</v>
      </c>
      <c r="AP50" s="99">
        <f t="shared" ca="1" si="23"/>
        <v>0</v>
      </c>
      <c r="AQ50" s="99">
        <f t="shared" ca="1" si="24"/>
        <v>0</v>
      </c>
      <c r="AR50" s="101">
        <f t="shared" ca="1" si="48"/>
        <v>0</v>
      </c>
      <c r="AS50" s="101">
        <f t="shared" ca="1" si="49"/>
        <v>0</v>
      </c>
      <c r="AT50" s="101">
        <f t="shared" ca="1" si="50"/>
        <v>0</v>
      </c>
      <c r="AV50" s="78">
        <f t="shared" ca="1" si="25"/>
        <v>0</v>
      </c>
      <c r="AW50" s="288" t="e">
        <f t="shared" ca="1" si="51"/>
        <v>#DIV/0!</v>
      </c>
      <c r="AX50" s="75">
        <f t="shared" ca="1" si="26"/>
        <v>0</v>
      </c>
      <c r="AY50" s="100">
        <f t="shared" ca="1" si="27"/>
        <v>0</v>
      </c>
      <c r="AZ50" s="99">
        <f t="shared" ca="1" si="28"/>
        <v>0</v>
      </c>
      <c r="BA50" s="99">
        <f t="shared" ca="1" si="29"/>
        <v>0</v>
      </c>
      <c r="BB50" s="99">
        <f t="shared" ca="1" si="30"/>
        <v>0</v>
      </c>
      <c r="BC50" s="101">
        <f t="shared" ca="1" si="52"/>
        <v>0</v>
      </c>
      <c r="BD50" s="101">
        <f t="shared" ca="1" si="53"/>
        <v>0</v>
      </c>
      <c r="BE50" s="101">
        <f t="shared" ca="1" si="54"/>
        <v>0</v>
      </c>
      <c r="BG50" s="78">
        <f t="shared" ca="1" si="31"/>
        <v>0</v>
      </c>
      <c r="BH50" s="288" t="e">
        <f t="shared" ca="1" si="55"/>
        <v>#DIV/0!</v>
      </c>
      <c r="BI50" s="75">
        <f t="shared" ca="1" si="32"/>
        <v>0</v>
      </c>
      <c r="BJ50" s="100">
        <f t="shared" ca="1" si="33"/>
        <v>0</v>
      </c>
      <c r="BK50" s="99">
        <f t="shared" ca="1" si="34"/>
        <v>0</v>
      </c>
      <c r="BL50" s="99">
        <f t="shared" ca="1" si="35"/>
        <v>0</v>
      </c>
      <c r="BM50" s="99">
        <f t="shared" ca="1" si="36"/>
        <v>0</v>
      </c>
      <c r="BN50" s="101">
        <f t="shared" ca="1" si="56"/>
        <v>0</v>
      </c>
      <c r="BO50" s="101">
        <f t="shared" ca="1" si="57"/>
        <v>0</v>
      </c>
      <c r="BP50" s="101">
        <f t="shared" ca="1" si="58"/>
        <v>0</v>
      </c>
      <c r="BR50" s="78">
        <f t="shared" ca="1" si="37"/>
        <v>0</v>
      </c>
      <c r="BS50" s="288" t="e">
        <f t="shared" ca="1" si="59"/>
        <v>#DIV/0!</v>
      </c>
      <c r="BT50" s="75">
        <f t="shared" ca="1" si="38"/>
        <v>0</v>
      </c>
      <c r="BU50" s="100">
        <f t="shared" ca="1" si="39"/>
        <v>0</v>
      </c>
      <c r="BV50" s="99">
        <f t="shared" ca="1" si="40"/>
        <v>0</v>
      </c>
      <c r="BW50" s="99">
        <f t="shared" ca="1" si="41"/>
        <v>0</v>
      </c>
      <c r="BX50" s="99">
        <f t="shared" ca="1" si="42"/>
        <v>0</v>
      </c>
      <c r="BY50" s="101">
        <f t="shared" ca="1" si="60"/>
        <v>0</v>
      </c>
      <c r="BZ50" s="101">
        <f t="shared" ca="1" si="61"/>
        <v>0</v>
      </c>
      <c r="CA50" s="101">
        <f t="shared" ca="1" si="62"/>
        <v>0</v>
      </c>
    </row>
    <row r="51" spans="1:79" x14ac:dyDescent="0.25">
      <c r="A51" s="94">
        <f t="shared" si="43"/>
        <v>37895</v>
      </c>
      <c r="B51" s="95">
        <f t="shared" ca="1" si="44"/>
        <v>3.06</v>
      </c>
      <c r="C51" s="77">
        <f t="shared" ca="1" si="45"/>
        <v>9.2427484559761103E-2</v>
      </c>
      <c r="D51" s="95">
        <f t="shared" ca="1" si="0"/>
        <v>0</v>
      </c>
      <c r="E51" s="97">
        <f t="shared" ca="1" si="1"/>
        <v>626</v>
      </c>
      <c r="F51" s="77" t="e">
        <f t="shared" ca="1" si="2"/>
        <v>#DIV/0!</v>
      </c>
      <c r="G51" s="77" t="e">
        <f ca="1">IF(B$16=1,_xll.xCalcSkew(A51,H51-AL51,b)/100,0)</f>
        <v>#DIV/0!</v>
      </c>
      <c r="H51" s="96">
        <f t="shared" ca="1" si="3"/>
        <v>2.44</v>
      </c>
      <c r="J51" s="95">
        <f t="shared" ca="1" si="4"/>
        <v>0</v>
      </c>
      <c r="K51" s="97">
        <f t="shared" ca="1" si="5"/>
        <v>626</v>
      </c>
      <c r="L51" s="172" t="e">
        <f t="shared" ca="1" si="6"/>
        <v>#DIV/0!</v>
      </c>
      <c r="M51" s="77" t="e">
        <f ca="1">IF(D$16=1,_xll.xCalcSkew($A51,N51-AW51,b)/100,0)</f>
        <v>#DIV/0!</v>
      </c>
      <c r="N51" s="96">
        <f t="shared" ca="1" si="7"/>
        <v>2.44</v>
      </c>
      <c r="P51" s="95">
        <f t="shared" ca="1" si="8"/>
        <v>0</v>
      </c>
      <c r="Q51" s="97">
        <f t="shared" ca="1" si="9"/>
        <v>626</v>
      </c>
      <c r="R51" s="172" t="e">
        <f t="shared" ca="1" si="10"/>
        <v>#DIV/0!</v>
      </c>
      <c r="S51" s="77" t="e">
        <f ca="1">IF(F$16=1,_xll.xCalcSkew($A51,T51-BH51,b)/100,0)</f>
        <v>#DIV/0!</v>
      </c>
      <c r="T51" s="96">
        <f t="shared" ca="1" si="11"/>
        <v>2.44</v>
      </c>
      <c r="V51" s="95">
        <f t="shared" ca="1" si="12"/>
        <v>0</v>
      </c>
      <c r="W51" s="97">
        <f t="shared" ca="1" si="13"/>
        <v>626</v>
      </c>
      <c r="X51" s="77" t="e">
        <f t="shared" ca="1" si="14"/>
        <v>#DIV/0!</v>
      </c>
      <c r="Y51" s="77" t="e">
        <f ca="1">IF(H$16=1,_xll.xCalcSkew($A51,Z51-BS51,b)/100,0)</f>
        <v>#DIV/0!</v>
      </c>
      <c r="Z51" s="96">
        <f t="shared" ca="1" si="15"/>
        <v>2.44</v>
      </c>
      <c r="AC51" s="97">
        <f t="shared" ca="1" si="16"/>
        <v>627</v>
      </c>
      <c r="AD51" s="97">
        <f t="shared" ca="1" si="17"/>
        <v>626</v>
      </c>
      <c r="AE51" s="77">
        <f t="shared" ca="1" si="46"/>
        <v>3.1172188637070199E-2</v>
      </c>
      <c r="AF51" s="152">
        <f t="shared" si="18"/>
        <v>31</v>
      </c>
      <c r="AG51" s="99"/>
      <c r="AH51" s="99"/>
      <c r="AI51" s="99"/>
      <c r="AJ51" s="99"/>
      <c r="AK51" s="78">
        <f t="shared" ca="1" si="19"/>
        <v>0</v>
      </c>
      <c r="AL51" s="288" t="e">
        <f t="shared" ca="1" si="47"/>
        <v>#DIV/0!</v>
      </c>
      <c r="AM51" s="75">
        <f t="shared" ca="1" si="20"/>
        <v>0</v>
      </c>
      <c r="AN51" s="100">
        <f t="shared" ca="1" si="21"/>
        <v>0</v>
      </c>
      <c r="AO51" s="99">
        <f t="shared" ca="1" si="22"/>
        <v>0</v>
      </c>
      <c r="AP51" s="99">
        <f t="shared" ca="1" si="23"/>
        <v>0</v>
      </c>
      <c r="AQ51" s="99">
        <f t="shared" ca="1" si="24"/>
        <v>0</v>
      </c>
      <c r="AR51" s="101">
        <f t="shared" ca="1" si="48"/>
        <v>0</v>
      </c>
      <c r="AS51" s="101">
        <f t="shared" ca="1" si="49"/>
        <v>0</v>
      </c>
      <c r="AT51" s="101">
        <f t="shared" ca="1" si="50"/>
        <v>0</v>
      </c>
      <c r="AV51" s="78">
        <f t="shared" ca="1" si="25"/>
        <v>0</v>
      </c>
      <c r="AW51" s="288" t="e">
        <f t="shared" ca="1" si="51"/>
        <v>#DIV/0!</v>
      </c>
      <c r="AX51" s="75">
        <f t="shared" ca="1" si="26"/>
        <v>0</v>
      </c>
      <c r="AY51" s="100">
        <f t="shared" ca="1" si="27"/>
        <v>0</v>
      </c>
      <c r="AZ51" s="99">
        <f t="shared" ca="1" si="28"/>
        <v>0</v>
      </c>
      <c r="BA51" s="99">
        <f t="shared" ca="1" si="29"/>
        <v>0</v>
      </c>
      <c r="BB51" s="99">
        <f t="shared" ca="1" si="30"/>
        <v>0</v>
      </c>
      <c r="BC51" s="101">
        <f t="shared" ca="1" si="52"/>
        <v>0</v>
      </c>
      <c r="BD51" s="101">
        <f t="shared" ca="1" si="53"/>
        <v>0</v>
      </c>
      <c r="BE51" s="101">
        <f t="shared" ca="1" si="54"/>
        <v>0</v>
      </c>
      <c r="BG51" s="78">
        <f t="shared" ca="1" si="31"/>
        <v>0</v>
      </c>
      <c r="BH51" s="288" t="e">
        <f t="shared" ca="1" si="55"/>
        <v>#DIV/0!</v>
      </c>
      <c r="BI51" s="75">
        <f t="shared" ca="1" si="32"/>
        <v>0</v>
      </c>
      <c r="BJ51" s="100">
        <f t="shared" ca="1" si="33"/>
        <v>0</v>
      </c>
      <c r="BK51" s="99">
        <f t="shared" ca="1" si="34"/>
        <v>0</v>
      </c>
      <c r="BL51" s="99">
        <f t="shared" ca="1" si="35"/>
        <v>0</v>
      </c>
      <c r="BM51" s="99">
        <f t="shared" ca="1" si="36"/>
        <v>0</v>
      </c>
      <c r="BN51" s="101">
        <f t="shared" ca="1" si="56"/>
        <v>0</v>
      </c>
      <c r="BO51" s="101">
        <f t="shared" ca="1" si="57"/>
        <v>0</v>
      </c>
      <c r="BP51" s="101">
        <f t="shared" ca="1" si="58"/>
        <v>0</v>
      </c>
      <c r="BR51" s="78">
        <f t="shared" ca="1" si="37"/>
        <v>0</v>
      </c>
      <c r="BS51" s="288" t="e">
        <f t="shared" ca="1" si="59"/>
        <v>#DIV/0!</v>
      </c>
      <c r="BT51" s="75">
        <f t="shared" ca="1" si="38"/>
        <v>0</v>
      </c>
      <c r="BU51" s="100">
        <f t="shared" ca="1" si="39"/>
        <v>0</v>
      </c>
      <c r="BV51" s="99">
        <f t="shared" ca="1" si="40"/>
        <v>0</v>
      </c>
      <c r="BW51" s="99">
        <f t="shared" ca="1" si="41"/>
        <v>0</v>
      </c>
      <c r="BX51" s="99">
        <f t="shared" ca="1" si="42"/>
        <v>0</v>
      </c>
      <c r="BY51" s="101">
        <f t="shared" ca="1" si="60"/>
        <v>0</v>
      </c>
      <c r="BZ51" s="101">
        <f t="shared" ca="1" si="61"/>
        <v>0</v>
      </c>
      <c r="CA51" s="101">
        <f t="shared" ca="1" si="62"/>
        <v>0</v>
      </c>
    </row>
    <row r="52" spans="1:79" x14ac:dyDescent="0.25">
      <c r="A52" s="94">
        <f t="shared" si="43"/>
        <v>37926</v>
      </c>
      <c r="B52" s="95">
        <f t="shared" ca="1" si="44"/>
        <v>3.21</v>
      </c>
      <c r="C52" s="77">
        <f t="shared" ca="1" si="45"/>
        <v>8.622962622633798E-2</v>
      </c>
      <c r="D52" s="95">
        <f t="shared" ca="1" si="0"/>
        <v>0</v>
      </c>
      <c r="E52" s="97">
        <f t="shared" ca="1" si="1"/>
        <v>659</v>
      </c>
      <c r="F52" s="77" t="e">
        <f t="shared" ca="1" si="2"/>
        <v>#DIV/0!</v>
      </c>
      <c r="G52" s="77" t="e">
        <f ca="1">IF(B$16=1,_xll.xCalcSkew(A52,H52-AL52,b)/100,0)</f>
        <v>#DIV/0!</v>
      </c>
      <c r="H52" s="96">
        <f t="shared" ca="1" si="3"/>
        <v>2.44</v>
      </c>
      <c r="J52" s="95">
        <f t="shared" ca="1" si="4"/>
        <v>0</v>
      </c>
      <c r="K52" s="97">
        <f t="shared" ca="1" si="5"/>
        <v>659</v>
      </c>
      <c r="L52" s="172" t="e">
        <f t="shared" ca="1" si="6"/>
        <v>#DIV/0!</v>
      </c>
      <c r="M52" s="77" t="e">
        <f ca="1">IF(D$16=1,_xll.xCalcSkew($A52,N52-AW52,b)/100,0)</f>
        <v>#DIV/0!</v>
      </c>
      <c r="N52" s="96">
        <f t="shared" ca="1" si="7"/>
        <v>2.44</v>
      </c>
      <c r="P52" s="95">
        <f t="shared" ca="1" si="8"/>
        <v>0</v>
      </c>
      <c r="Q52" s="97">
        <f t="shared" ca="1" si="9"/>
        <v>659</v>
      </c>
      <c r="R52" s="172" t="e">
        <f t="shared" ca="1" si="10"/>
        <v>#DIV/0!</v>
      </c>
      <c r="S52" s="77" t="e">
        <f ca="1">IF(F$16=1,_xll.xCalcSkew($A52,T52-BH52,b)/100,0)</f>
        <v>#DIV/0!</v>
      </c>
      <c r="T52" s="96">
        <f t="shared" ca="1" si="11"/>
        <v>2.44</v>
      </c>
      <c r="V52" s="95">
        <f t="shared" ca="1" si="12"/>
        <v>0</v>
      </c>
      <c r="W52" s="97">
        <f t="shared" ca="1" si="13"/>
        <v>659</v>
      </c>
      <c r="X52" s="77" t="e">
        <f t="shared" ca="1" si="14"/>
        <v>#DIV/0!</v>
      </c>
      <c r="Y52" s="77" t="e">
        <f ca="1">IF(H$16=1,_xll.xCalcSkew($A52,Z52-BS52,b)/100,0)</f>
        <v>#DIV/0!</v>
      </c>
      <c r="Z52" s="96">
        <f t="shared" ca="1" si="15"/>
        <v>2.44</v>
      </c>
      <c r="AC52" s="97">
        <f t="shared" ca="1" si="16"/>
        <v>660</v>
      </c>
      <c r="AD52" s="97">
        <f t="shared" ca="1" si="17"/>
        <v>659</v>
      </c>
      <c r="AE52" s="77">
        <f t="shared" ca="1" si="46"/>
        <v>3.1942240182241101E-2</v>
      </c>
      <c r="AF52" s="152">
        <f t="shared" si="18"/>
        <v>30</v>
      </c>
      <c r="AG52" s="99"/>
      <c r="AH52" s="99"/>
      <c r="AI52" s="99"/>
      <c r="AJ52" s="99"/>
      <c r="AK52" s="78">
        <f t="shared" ca="1" si="19"/>
        <v>0</v>
      </c>
      <c r="AL52" s="288" t="e">
        <f t="shared" ca="1" si="47"/>
        <v>#DIV/0!</v>
      </c>
      <c r="AM52" s="75">
        <f t="shared" ca="1" si="20"/>
        <v>0</v>
      </c>
      <c r="AN52" s="100">
        <f t="shared" ca="1" si="21"/>
        <v>0</v>
      </c>
      <c r="AO52" s="99">
        <f t="shared" ca="1" si="22"/>
        <v>0</v>
      </c>
      <c r="AP52" s="99">
        <f t="shared" ca="1" si="23"/>
        <v>0</v>
      </c>
      <c r="AQ52" s="99">
        <f t="shared" ca="1" si="24"/>
        <v>0</v>
      </c>
      <c r="AR52" s="101">
        <f t="shared" ca="1" si="48"/>
        <v>0</v>
      </c>
      <c r="AS52" s="101">
        <f t="shared" ca="1" si="49"/>
        <v>0</v>
      </c>
      <c r="AT52" s="101">
        <f t="shared" ca="1" si="50"/>
        <v>0</v>
      </c>
      <c r="AV52" s="78">
        <f t="shared" ca="1" si="25"/>
        <v>0</v>
      </c>
      <c r="AW52" s="288" t="e">
        <f t="shared" ca="1" si="51"/>
        <v>#DIV/0!</v>
      </c>
      <c r="AX52" s="75">
        <f t="shared" ca="1" si="26"/>
        <v>0</v>
      </c>
      <c r="AY52" s="100">
        <f t="shared" ca="1" si="27"/>
        <v>0</v>
      </c>
      <c r="AZ52" s="99">
        <f t="shared" ca="1" si="28"/>
        <v>0</v>
      </c>
      <c r="BA52" s="99">
        <f t="shared" ca="1" si="29"/>
        <v>0</v>
      </c>
      <c r="BB52" s="99">
        <f t="shared" ca="1" si="30"/>
        <v>0</v>
      </c>
      <c r="BC52" s="101">
        <f t="shared" ca="1" si="52"/>
        <v>0</v>
      </c>
      <c r="BD52" s="101">
        <f t="shared" ca="1" si="53"/>
        <v>0</v>
      </c>
      <c r="BE52" s="101">
        <f t="shared" ca="1" si="54"/>
        <v>0</v>
      </c>
      <c r="BG52" s="78">
        <f t="shared" ca="1" si="31"/>
        <v>0</v>
      </c>
      <c r="BH52" s="288" t="e">
        <f t="shared" ca="1" si="55"/>
        <v>#DIV/0!</v>
      </c>
      <c r="BI52" s="75">
        <f t="shared" ca="1" si="32"/>
        <v>0</v>
      </c>
      <c r="BJ52" s="100">
        <f t="shared" ca="1" si="33"/>
        <v>0</v>
      </c>
      <c r="BK52" s="99">
        <f t="shared" ca="1" si="34"/>
        <v>0</v>
      </c>
      <c r="BL52" s="99">
        <f t="shared" ca="1" si="35"/>
        <v>0</v>
      </c>
      <c r="BM52" s="99">
        <f t="shared" ca="1" si="36"/>
        <v>0</v>
      </c>
      <c r="BN52" s="101">
        <f t="shared" ca="1" si="56"/>
        <v>0</v>
      </c>
      <c r="BO52" s="101">
        <f t="shared" ca="1" si="57"/>
        <v>0</v>
      </c>
      <c r="BP52" s="101">
        <f t="shared" ca="1" si="58"/>
        <v>0</v>
      </c>
      <c r="BR52" s="78">
        <f t="shared" ca="1" si="37"/>
        <v>0</v>
      </c>
      <c r="BS52" s="288" t="e">
        <f t="shared" ca="1" si="59"/>
        <v>#DIV/0!</v>
      </c>
      <c r="BT52" s="75">
        <f t="shared" ca="1" si="38"/>
        <v>0</v>
      </c>
      <c r="BU52" s="100">
        <f t="shared" ca="1" si="39"/>
        <v>0</v>
      </c>
      <c r="BV52" s="99">
        <f t="shared" ca="1" si="40"/>
        <v>0</v>
      </c>
      <c r="BW52" s="99">
        <f t="shared" ca="1" si="41"/>
        <v>0</v>
      </c>
      <c r="BX52" s="99">
        <f t="shared" ca="1" si="42"/>
        <v>0</v>
      </c>
      <c r="BY52" s="101">
        <f t="shared" ca="1" si="60"/>
        <v>0</v>
      </c>
      <c r="BZ52" s="101">
        <f t="shared" ca="1" si="61"/>
        <v>0</v>
      </c>
      <c r="CA52" s="101">
        <f t="shared" ca="1" si="62"/>
        <v>0</v>
      </c>
    </row>
    <row r="53" spans="1:79" x14ac:dyDescent="0.25">
      <c r="A53" s="94">
        <f t="shared" si="43"/>
        <v>37956</v>
      </c>
      <c r="B53" s="95">
        <f t="shared" ca="1" si="44"/>
        <v>3.19</v>
      </c>
      <c r="C53" s="77">
        <f t="shared" ca="1" si="45"/>
        <v>8.5368438480601591E-2</v>
      </c>
      <c r="D53" s="95">
        <f t="shared" ca="1" si="0"/>
        <v>0</v>
      </c>
      <c r="E53" s="97">
        <f t="shared" ca="1" si="1"/>
        <v>686</v>
      </c>
      <c r="F53" s="77" t="e">
        <f t="shared" ca="1" si="2"/>
        <v>#DIV/0!</v>
      </c>
      <c r="G53" s="77" t="e">
        <f ca="1">IF(B$16=1,_xll.xCalcSkew(A53,H53-AL53,b)/100,0)</f>
        <v>#DIV/0!</v>
      </c>
      <c r="H53" s="96">
        <f t="shared" ca="1" si="3"/>
        <v>2.44</v>
      </c>
      <c r="J53" s="95">
        <f t="shared" ca="1" si="4"/>
        <v>0</v>
      </c>
      <c r="K53" s="97">
        <f t="shared" ca="1" si="5"/>
        <v>686</v>
      </c>
      <c r="L53" s="172" t="e">
        <f t="shared" ca="1" si="6"/>
        <v>#DIV/0!</v>
      </c>
      <c r="M53" s="77" t="e">
        <f ca="1">IF(D$16=1,_xll.xCalcSkew($A53,N53-AW53,b)/100,0)</f>
        <v>#DIV/0!</v>
      </c>
      <c r="N53" s="96">
        <f t="shared" ca="1" si="7"/>
        <v>2.44</v>
      </c>
      <c r="P53" s="95">
        <f t="shared" ca="1" si="8"/>
        <v>0</v>
      </c>
      <c r="Q53" s="97">
        <f t="shared" ca="1" si="9"/>
        <v>686</v>
      </c>
      <c r="R53" s="172" t="e">
        <f t="shared" ca="1" si="10"/>
        <v>#DIV/0!</v>
      </c>
      <c r="S53" s="77" t="e">
        <f ca="1">IF(F$16=1,_xll.xCalcSkew($A53,T53-BH53,b)/100,0)</f>
        <v>#DIV/0!</v>
      </c>
      <c r="T53" s="96">
        <f t="shared" ca="1" si="11"/>
        <v>2.44</v>
      </c>
      <c r="V53" s="95">
        <f t="shared" ca="1" si="12"/>
        <v>0</v>
      </c>
      <c r="W53" s="97">
        <f t="shared" ca="1" si="13"/>
        <v>686</v>
      </c>
      <c r="X53" s="77" t="e">
        <f t="shared" ca="1" si="14"/>
        <v>#DIV/0!</v>
      </c>
      <c r="Y53" s="77" t="e">
        <f ca="1">IF(H$16=1,_xll.xCalcSkew($A53,Z53-BS53,b)/100,0)</f>
        <v>#DIV/0!</v>
      </c>
      <c r="Z53" s="96">
        <f t="shared" ca="1" si="15"/>
        <v>2.44</v>
      </c>
      <c r="AC53" s="97">
        <f t="shared" ca="1" si="16"/>
        <v>687</v>
      </c>
      <c r="AD53" s="97">
        <f t="shared" ca="1" si="17"/>
        <v>686</v>
      </c>
      <c r="AE53" s="77">
        <f t="shared" ca="1" si="46"/>
        <v>3.2701454698897098E-2</v>
      </c>
      <c r="AF53" s="152">
        <f t="shared" si="18"/>
        <v>31</v>
      </c>
      <c r="AG53" s="99"/>
      <c r="AH53" s="99"/>
      <c r="AI53" s="99"/>
      <c r="AJ53" s="99"/>
      <c r="AK53" s="78">
        <f t="shared" ca="1" si="19"/>
        <v>0</v>
      </c>
      <c r="AL53" s="288" t="e">
        <f t="shared" ca="1" si="47"/>
        <v>#DIV/0!</v>
      </c>
      <c r="AM53" s="75">
        <f t="shared" ca="1" si="20"/>
        <v>0</v>
      </c>
      <c r="AN53" s="100">
        <f t="shared" ca="1" si="21"/>
        <v>0</v>
      </c>
      <c r="AO53" s="99">
        <f t="shared" ca="1" si="22"/>
        <v>0</v>
      </c>
      <c r="AP53" s="99">
        <f t="shared" ca="1" si="23"/>
        <v>0</v>
      </c>
      <c r="AQ53" s="99">
        <f t="shared" ca="1" si="24"/>
        <v>0</v>
      </c>
      <c r="AR53" s="101">
        <f t="shared" ca="1" si="48"/>
        <v>0</v>
      </c>
      <c r="AS53" s="101">
        <f t="shared" ca="1" si="49"/>
        <v>0</v>
      </c>
      <c r="AT53" s="101">
        <f t="shared" ca="1" si="50"/>
        <v>0</v>
      </c>
      <c r="AV53" s="78">
        <f t="shared" ca="1" si="25"/>
        <v>0</v>
      </c>
      <c r="AW53" s="288" t="e">
        <f t="shared" ca="1" si="51"/>
        <v>#DIV/0!</v>
      </c>
      <c r="AX53" s="75">
        <f t="shared" ca="1" si="26"/>
        <v>0</v>
      </c>
      <c r="AY53" s="100">
        <f t="shared" ca="1" si="27"/>
        <v>0</v>
      </c>
      <c r="AZ53" s="99">
        <f t="shared" ca="1" si="28"/>
        <v>0</v>
      </c>
      <c r="BA53" s="99">
        <f t="shared" ca="1" si="29"/>
        <v>0</v>
      </c>
      <c r="BB53" s="99">
        <f t="shared" ca="1" si="30"/>
        <v>0</v>
      </c>
      <c r="BC53" s="101">
        <f t="shared" ca="1" si="52"/>
        <v>0</v>
      </c>
      <c r="BD53" s="101">
        <f t="shared" ca="1" si="53"/>
        <v>0</v>
      </c>
      <c r="BE53" s="101">
        <f t="shared" ca="1" si="54"/>
        <v>0</v>
      </c>
      <c r="BG53" s="78">
        <f t="shared" ca="1" si="31"/>
        <v>0</v>
      </c>
      <c r="BH53" s="288" t="e">
        <f t="shared" ca="1" si="55"/>
        <v>#DIV/0!</v>
      </c>
      <c r="BI53" s="75">
        <f t="shared" ca="1" si="32"/>
        <v>0</v>
      </c>
      <c r="BJ53" s="100">
        <f t="shared" ca="1" si="33"/>
        <v>0</v>
      </c>
      <c r="BK53" s="99">
        <f t="shared" ca="1" si="34"/>
        <v>0</v>
      </c>
      <c r="BL53" s="99">
        <f t="shared" ca="1" si="35"/>
        <v>0</v>
      </c>
      <c r="BM53" s="99">
        <f t="shared" ca="1" si="36"/>
        <v>0</v>
      </c>
      <c r="BN53" s="101">
        <f t="shared" ca="1" si="56"/>
        <v>0</v>
      </c>
      <c r="BO53" s="101">
        <f t="shared" ca="1" si="57"/>
        <v>0</v>
      </c>
      <c r="BP53" s="101">
        <f t="shared" ca="1" si="58"/>
        <v>0</v>
      </c>
      <c r="BR53" s="78">
        <f t="shared" ca="1" si="37"/>
        <v>0</v>
      </c>
      <c r="BS53" s="288" t="e">
        <f t="shared" ca="1" si="59"/>
        <v>#DIV/0!</v>
      </c>
      <c r="BT53" s="75">
        <f t="shared" ca="1" si="38"/>
        <v>0</v>
      </c>
      <c r="BU53" s="100">
        <f t="shared" ca="1" si="39"/>
        <v>0</v>
      </c>
      <c r="BV53" s="99">
        <f t="shared" ca="1" si="40"/>
        <v>0</v>
      </c>
      <c r="BW53" s="99">
        <f t="shared" ca="1" si="41"/>
        <v>0</v>
      </c>
      <c r="BX53" s="99">
        <f t="shared" ca="1" si="42"/>
        <v>0</v>
      </c>
      <c r="BY53" s="101">
        <f t="shared" ca="1" si="60"/>
        <v>0</v>
      </c>
      <c r="BZ53" s="101">
        <f t="shared" ca="1" si="61"/>
        <v>0</v>
      </c>
      <c r="CA53" s="101">
        <f t="shared" ca="1" si="62"/>
        <v>0</v>
      </c>
    </row>
    <row r="54" spans="1:79" x14ac:dyDescent="0.25">
      <c r="A54" s="94">
        <f t="shared" si="43"/>
        <v>37987</v>
      </c>
      <c r="B54" s="95">
        <f t="shared" ca="1" si="44"/>
        <v>3.2559999999999998</v>
      </c>
      <c r="C54" s="77">
        <f t="shared" ca="1" si="45"/>
        <v>8.2102597608122135E-2</v>
      </c>
      <c r="D54" s="95">
        <f t="shared" ca="1" si="0"/>
        <v>0</v>
      </c>
      <c r="E54" s="97">
        <f t="shared" ca="1" si="1"/>
        <v>718</v>
      </c>
      <c r="F54" s="77" t="e">
        <f t="shared" ca="1" si="2"/>
        <v>#DIV/0!</v>
      </c>
      <c r="G54" s="77" t="e">
        <f ca="1">IF(B$16=1,_xll.xCalcSkew(A54,H54-AL54,b)/100,0)</f>
        <v>#DIV/0!</v>
      </c>
      <c r="H54" s="96">
        <f t="shared" ca="1" si="3"/>
        <v>2.44</v>
      </c>
      <c r="J54" s="95">
        <f t="shared" ca="1" si="4"/>
        <v>0</v>
      </c>
      <c r="K54" s="97">
        <f t="shared" ca="1" si="5"/>
        <v>718</v>
      </c>
      <c r="L54" s="172" t="e">
        <f t="shared" ca="1" si="6"/>
        <v>#DIV/0!</v>
      </c>
      <c r="M54" s="77" t="e">
        <f ca="1">IF(D$16=1,_xll.xCalcSkew($A54,N54-AW54,b)/100,0)</f>
        <v>#DIV/0!</v>
      </c>
      <c r="N54" s="96">
        <f t="shared" ca="1" si="7"/>
        <v>2.44</v>
      </c>
      <c r="P54" s="95">
        <f t="shared" ca="1" si="8"/>
        <v>0</v>
      </c>
      <c r="Q54" s="97">
        <f t="shared" ca="1" si="9"/>
        <v>718</v>
      </c>
      <c r="R54" s="172" t="e">
        <f t="shared" ca="1" si="10"/>
        <v>#DIV/0!</v>
      </c>
      <c r="S54" s="77" t="e">
        <f ca="1">IF(F$16=1,_xll.xCalcSkew($A54,T54-BH54,b)/100,0)</f>
        <v>#DIV/0!</v>
      </c>
      <c r="T54" s="96">
        <f t="shared" ca="1" si="11"/>
        <v>2.44</v>
      </c>
      <c r="V54" s="95">
        <f t="shared" ca="1" si="12"/>
        <v>0</v>
      </c>
      <c r="W54" s="97">
        <f t="shared" ca="1" si="13"/>
        <v>718</v>
      </c>
      <c r="X54" s="77" t="e">
        <f t="shared" ca="1" si="14"/>
        <v>#DIV/0!</v>
      </c>
      <c r="Y54" s="77" t="e">
        <f ca="1">IF(H$16=1,_xll.xCalcSkew($A54,Z54-BS54,b)/100,0)</f>
        <v>#DIV/0!</v>
      </c>
      <c r="Z54" s="96">
        <f t="shared" ca="1" si="15"/>
        <v>2.44</v>
      </c>
      <c r="AC54" s="97">
        <f t="shared" ca="1" si="16"/>
        <v>721</v>
      </c>
      <c r="AD54" s="97">
        <f t="shared" ca="1" si="17"/>
        <v>718</v>
      </c>
      <c r="AE54" s="77">
        <f t="shared" ca="1" si="46"/>
        <v>3.3436178609494799E-2</v>
      </c>
      <c r="AF54" s="152">
        <f t="shared" si="18"/>
        <v>31</v>
      </c>
      <c r="AG54" s="99"/>
      <c r="AH54" s="99"/>
      <c r="AI54" s="99"/>
      <c r="AJ54" s="99"/>
      <c r="AK54" s="78">
        <f t="shared" ca="1" si="19"/>
        <v>0</v>
      </c>
      <c r="AL54" s="288" t="e">
        <f t="shared" ca="1" si="47"/>
        <v>#DIV/0!</v>
      </c>
      <c r="AM54" s="75">
        <f t="shared" ca="1" si="20"/>
        <v>0</v>
      </c>
      <c r="AN54" s="100">
        <f t="shared" ca="1" si="21"/>
        <v>0</v>
      </c>
      <c r="AO54" s="99">
        <f t="shared" ca="1" si="22"/>
        <v>0</v>
      </c>
      <c r="AP54" s="99">
        <f t="shared" ca="1" si="23"/>
        <v>0</v>
      </c>
      <c r="AQ54" s="99">
        <f t="shared" ca="1" si="24"/>
        <v>0</v>
      </c>
      <c r="AR54" s="101">
        <f t="shared" ca="1" si="48"/>
        <v>0</v>
      </c>
      <c r="AS54" s="101">
        <f t="shared" ca="1" si="49"/>
        <v>0</v>
      </c>
      <c r="AT54" s="101">
        <f t="shared" ca="1" si="50"/>
        <v>0</v>
      </c>
      <c r="AV54" s="78">
        <f t="shared" ca="1" si="25"/>
        <v>0</v>
      </c>
      <c r="AW54" s="288" t="e">
        <f t="shared" ca="1" si="51"/>
        <v>#DIV/0!</v>
      </c>
      <c r="AX54" s="75">
        <f t="shared" ca="1" si="26"/>
        <v>0</v>
      </c>
      <c r="AY54" s="100">
        <f t="shared" ca="1" si="27"/>
        <v>0</v>
      </c>
      <c r="AZ54" s="99">
        <f t="shared" ca="1" si="28"/>
        <v>0</v>
      </c>
      <c r="BA54" s="99">
        <f t="shared" ca="1" si="29"/>
        <v>0</v>
      </c>
      <c r="BB54" s="99">
        <f t="shared" ca="1" si="30"/>
        <v>0</v>
      </c>
      <c r="BC54" s="101">
        <f t="shared" ca="1" si="52"/>
        <v>0</v>
      </c>
      <c r="BD54" s="101">
        <f t="shared" ca="1" si="53"/>
        <v>0</v>
      </c>
      <c r="BE54" s="101">
        <f t="shared" ca="1" si="54"/>
        <v>0</v>
      </c>
      <c r="BG54" s="78">
        <f t="shared" ca="1" si="31"/>
        <v>0</v>
      </c>
      <c r="BH54" s="288" t="e">
        <f t="shared" ca="1" si="55"/>
        <v>#DIV/0!</v>
      </c>
      <c r="BI54" s="75">
        <f t="shared" ca="1" si="32"/>
        <v>0</v>
      </c>
      <c r="BJ54" s="100">
        <f t="shared" ca="1" si="33"/>
        <v>0</v>
      </c>
      <c r="BK54" s="99">
        <f t="shared" ca="1" si="34"/>
        <v>0</v>
      </c>
      <c r="BL54" s="99">
        <f t="shared" ca="1" si="35"/>
        <v>0</v>
      </c>
      <c r="BM54" s="99">
        <f t="shared" ca="1" si="36"/>
        <v>0</v>
      </c>
      <c r="BN54" s="101">
        <f t="shared" ca="1" si="56"/>
        <v>0</v>
      </c>
      <c r="BO54" s="101">
        <f t="shared" ca="1" si="57"/>
        <v>0</v>
      </c>
      <c r="BP54" s="101">
        <f t="shared" ca="1" si="58"/>
        <v>0</v>
      </c>
      <c r="BR54" s="78">
        <f t="shared" ca="1" si="37"/>
        <v>0</v>
      </c>
      <c r="BS54" s="288" t="e">
        <f t="shared" ca="1" si="59"/>
        <v>#DIV/0!</v>
      </c>
      <c r="BT54" s="75">
        <f t="shared" ca="1" si="38"/>
        <v>0</v>
      </c>
      <c r="BU54" s="100">
        <f t="shared" ca="1" si="39"/>
        <v>0</v>
      </c>
      <c r="BV54" s="99">
        <f t="shared" ca="1" si="40"/>
        <v>0</v>
      </c>
      <c r="BW54" s="99">
        <f t="shared" ca="1" si="41"/>
        <v>0</v>
      </c>
      <c r="BX54" s="99">
        <f t="shared" ca="1" si="42"/>
        <v>0</v>
      </c>
      <c r="BY54" s="101">
        <f t="shared" ca="1" si="60"/>
        <v>0</v>
      </c>
      <c r="BZ54" s="101">
        <f t="shared" ca="1" si="61"/>
        <v>0</v>
      </c>
      <c r="CA54" s="101">
        <f t="shared" ca="1" si="62"/>
        <v>0</v>
      </c>
    </row>
    <row r="55" spans="1:79" x14ac:dyDescent="0.25">
      <c r="A55" s="94">
        <f t="shared" si="43"/>
        <v>38018</v>
      </c>
      <c r="B55" s="95">
        <f t="shared" ca="1" si="44"/>
        <v>3.35</v>
      </c>
      <c r="C55" s="77">
        <f t="shared" ca="1" si="45"/>
        <v>7.850215432843291E-2</v>
      </c>
      <c r="D55" s="95">
        <f t="shared" ca="1" si="0"/>
        <v>0</v>
      </c>
      <c r="E55" s="97">
        <f t="shared" ca="1" si="1"/>
        <v>750</v>
      </c>
      <c r="F55" s="77" t="e">
        <f t="shared" ca="1" si="2"/>
        <v>#DIV/0!</v>
      </c>
      <c r="G55" s="77" t="e">
        <f ca="1">IF(B$16=1,_xll.xCalcSkew(A55,H55-AL55,b)/100,0)</f>
        <v>#DIV/0!</v>
      </c>
      <c r="H55" s="96">
        <f t="shared" ca="1" si="3"/>
        <v>2.44</v>
      </c>
      <c r="J55" s="95">
        <f t="shared" ca="1" si="4"/>
        <v>0</v>
      </c>
      <c r="K55" s="97">
        <f t="shared" ca="1" si="5"/>
        <v>750</v>
      </c>
      <c r="L55" s="172" t="e">
        <f t="shared" ca="1" si="6"/>
        <v>#DIV/0!</v>
      </c>
      <c r="M55" s="77" t="e">
        <f ca="1">IF(D$16=1,_xll.xCalcSkew($A55,N55-AW55,b)/100,0)</f>
        <v>#DIV/0!</v>
      </c>
      <c r="N55" s="96">
        <f t="shared" ca="1" si="7"/>
        <v>2.44</v>
      </c>
      <c r="P55" s="95">
        <f t="shared" ca="1" si="8"/>
        <v>0</v>
      </c>
      <c r="Q55" s="97">
        <f t="shared" ca="1" si="9"/>
        <v>750</v>
      </c>
      <c r="R55" s="172" t="e">
        <f t="shared" ca="1" si="10"/>
        <v>#DIV/0!</v>
      </c>
      <c r="S55" s="77" t="e">
        <f ca="1">IF(F$16=1,_xll.xCalcSkew($A55,T55-BH55,b)/100,0)</f>
        <v>#DIV/0!</v>
      </c>
      <c r="T55" s="96">
        <f t="shared" ca="1" si="11"/>
        <v>2.44</v>
      </c>
      <c r="V55" s="95">
        <f t="shared" ca="1" si="12"/>
        <v>0</v>
      </c>
      <c r="W55" s="97">
        <f t="shared" ca="1" si="13"/>
        <v>750</v>
      </c>
      <c r="X55" s="77" t="e">
        <f t="shared" ca="1" si="14"/>
        <v>#DIV/0!</v>
      </c>
      <c r="Y55" s="77" t="e">
        <f ca="1">IF(H$16=1,_xll.xCalcSkew($A55,Z55-BS55,b)/100,0)</f>
        <v>#DIV/0!</v>
      </c>
      <c r="Z55" s="96">
        <f t="shared" ca="1" si="15"/>
        <v>2.44</v>
      </c>
      <c r="AC55" s="97">
        <f t="shared" ca="1" si="16"/>
        <v>751</v>
      </c>
      <c r="AD55" s="97">
        <f t="shared" ca="1" si="17"/>
        <v>750</v>
      </c>
      <c r="AE55" s="77">
        <f t="shared" ca="1" si="46"/>
        <v>3.4638956672782897E-2</v>
      </c>
      <c r="AF55" s="152">
        <f t="shared" si="18"/>
        <v>29</v>
      </c>
      <c r="AG55" s="99"/>
      <c r="AH55" s="99"/>
      <c r="AI55" s="99"/>
      <c r="AJ55" s="99"/>
      <c r="AK55" s="78">
        <f t="shared" ca="1" si="19"/>
        <v>0</v>
      </c>
      <c r="AL55" s="288" t="e">
        <f t="shared" ca="1" si="47"/>
        <v>#DIV/0!</v>
      </c>
      <c r="AM55" s="75">
        <f t="shared" ca="1" si="20"/>
        <v>0</v>
      </c>
      <c r="AN55" s="100">
        <f t="shared" ca="1" si="21"/>
        <v>0</v>
      </c>
      <c r="AO55" s="99">
        <f t="shared" ca="1" si="22"/>
        <v>0</v>
      </c>
      <c r="AP55" s="99">
        <f t="shared" ca="1" si="23"/>
        <v>0</v>
      </c>
      <c r="AQ55" s="99">
        <f t="shared" ca="1" si="24"/>
        <v>0</v>
      </c>
      <c r="AR55" s="101">
        <f t="shared" ca="1" si="48"/>
        <v>0</v>
      </c>
      <c r="AS55" s="101">
        <f t="shared" ca="1" si="49"/>
        <v>0</v>
      </c>
      <c r="AT55" s="101">
        <f t="shared" ca="1" si="50"/>
        <v>0</v>
      </c>
      <c r="AV55" s="78">
        <f t="shared" ca="1" si="25"/>
        <v>0</v>
      </c>
      <c r="AW55" s="288" t="e">
        <f t="shared" ca="1" si="51"/>
        <v>#DIV/0!</v>
      </c>
      <c r="AX55" s="75">
        <f t="shared" ca="1" si="26"/>
        <v>0</v>
      </c>
      <c r="AY55" s="100">
        <f t="shared" ca="1" si="27"/>
        <v>0</v>
      </c>
      <c r="AZ55" s="99">
        <f t="shared" ca="1" si="28"/>
        <v>0</v>
      </c>
      <c r="BA55" s="99">
        <f t="shared" ca="1" si="29"/>
        <v>0</v>
      </c>
      <c r="BB55" s="99">
        <f t="shared" ca="1" si="30"/>
        <v>0</v>
      </c>
      <c r="BC55" s="101">
        <f t="shared" ca="1" si="52"/>
        <v>0</v>
      </c>
      <c r="BD55" s="101">
        <f t="shared" ca="1" si="53"/>
        <v>0</v>
      </c>
      <c r="BE55" s="101">
        <f t="shared" ca="1" si="54"/>
        <v>0</v>
      </c>
      <c r="BG55" s="78">
        <f t="shared" ca="1" si="31"/>
        <v>0</v>
      </c>
      <c r="BH55" s="288" t="e">
        <f t="shared" ca="1" si="55"/>
        <v>#DIV/0!</v>
      </c>
      <c r="BI55" s="75">
        <f t="shared" ca="1" si="32"/>
        <v>0</v>
      </c>
      <c r="BJ55" s="100">
        <f t="shared" ca="1" si="33"/>
        <v>0</v>
      </c>
      <c r="BK55" s="99">
        <f t="shared" ca="1" si="34"/>
        <v>0</v>
      </c>
      <c r="BL55" s="99">
        <f t="shared" ca="1" si="35"/>
        <v>0</v>
      </c>
      <c r="BM55" s="99">
        <f t="shared" ca="1" si="36"/>
        <v>0</v>
      </c>
      <c r="BN55" s="101">
        <f t="shared" ca="1" si="56"/>
        <v>0</v>
      </c>
      <c r="BO55" s="101">
        <f t="shared" ca="1" si="57"/>
        <v>0</v>
      </c>
      <c r="BP55" s="101">
        <f t="shared" ca="1" si="58"/>
        <v>0</v>
      </c>
      <c r="BR55" s="78">
        <f t="shared" ca="1" si="37"/>
        <v>0</v>
      </c>
      <c r="BS55" s="288" t="e">
        <f t="shared" ca="1" si="59"/>
        <v>#DIV/0!</v>
      </c>
      <c r="BT55" s="75">
        <f t="shared" ca="1" si="38"/>
        <v>0</v>
      </c>
      <c r="BU55" s="100">
        <f t="shared" ca="1" si="39"/>
        <v>0</v>
      </c>
      <c r="BV55" s="99">
        <f t="shared" ca="1" si="40"/>
        <v>0</v>
      </c>
      <c r="BW55" s="99">
        <f t="shared" ca="1" si="41"/>
        <v>0</v>
      </c>
      <c r="BX55" s="99">
        <f t="shared" ca="1" si="42"/>
        <v>0</v>
      </c>
      <c r="BY55" s="101">
        <f t="shared" ca="1" si="60"/>
        <v>0</v>
      </c>
      <c r="BZ55" s="101">
        <f t="shared" ca="1" si="61"/>
        <v>0</v>
      </c>
      <c r="CA55" s="101">
        <f t="shared" ca="1" si="62"/>
        <v>0</v>
      </c>
    </row>
    <row r="56" spans="1:79" x14ac:dyDescent="0.25">
      <c r="A56" s="94">
        <f t="shared" si="43"/>
        <v>38047</v>
      </c>
      <c r="B56" s="95">
        <f t="shared" ca="1" si="44"/>
        <v>3.25</v>
      </c>
      <c r="C56" s="77">
        <f t="shared" ca="1" si="45"/>
        <v>7.9803694961907645E-2</v>
      </c>
      <c r="D56" s="95">
        <f t="shared" ca="1" si="0"/>
        <v>0</v>
      </c>
      <c r="E56" s="97">
        <f t="shared" ca="1" si="1"/>
        <v>778</v>
      </c>
      <c r="F56" s="77" t="e">
        <f t="shared" ca="1" si="2"/>
        <v>#DIV/0!</v>
      </c>
      <c r="G56" s="77" t="e">
        <f ca="1">IF(B$16=1,_xll.xCalcSkew(A56,H56-AL56,b)/100,0)</f>
        <v>#DIV/0!</v>
      </c>
      <c r="H56" s="96">
        <f t="shared" ca="1" si="3"/>
        <v>2.44</v>
      </c>
      <c r="J56" s="95">
        <f t="shared" ca="1" si="4"/>
        <v>0</v>
      </c>
      <c r="K56" s="97">
        <f t="shared" ca="1" si="5"/>
        <v>778</v>
      </c>
      <c r="L56" s="172" t="e">
        <f t="shared" ca="1" si="6"/>
        <v>#DIV/0!</v>
      </c>
      <c r="M56" s="77" t="e">
        <f ca="1">IF(D$16=1,_xll.xCalcSkew($A56,N56-AW56,b)/100,0)</f>
        <v>#DIV/0!</v>
      </c>
      <c r="N56" s="96">
        <f t="shared" ca="1" si="7"/>
        <v>2.44</v>
      </c>
      <c r="P56" s="95">
        <f t="shared" ca="1" si="8"/>
        <v>0</v>
      </c>
      <c r="Q56" s="97">
        <f t="shared" ca="1" si="9"/>
        <v>778</v>
      </c>
      <c r="R56" s="172" t="e">
        <f t="shared" ca="1" si="10"/>
        <v>#DIV/0!</v>
      </c>
      <c r="S56" s="77" t="e">
        <f ca="1">IF(F$16=1,_xll.xCalcSkew($A56,T56-BH56,b)/100,0)</f>
        <v>#DIV/0!</v>
      </c>
      <c r="T56" s="96">
        <f t="shared" ca="1" si="11"/>
        <v>2.44</v>
      </c>
      <c r="V56" s="95">
        <f t="shared" ca="1" si="12"/>
        <v>0</v>
      </c>
      <c r="W56" s="97">
        <f t="shared" ca="1" si="13"/>
        <v>778</v>
      </c>
      <c r="X56" s="77" t="e">
        <f t="shared" ca="1" si="14"/>
        <v>#DIV/0!</v>
      </c>
      <c r="Y56" s="77" t="e">
        <f ca="1">IF(H$16=1,_xll.xCalcSkew($A56,Z56-BS56,b)/100,0)</f>
        <v>#DIV/0!</v>
      </c>
      <c r="Z56" s="96">
        <f t="shared" ca="1" si="15"/>
        <v>2.44</v>
      </c>
      <c r="AC56" s="97">
        <f t="shared" ca="1" si="16"/>
        <v>779</v>
      </c>
      <c r="AD56" s="97">
        <f t="shared" ca="1" si="17"/>
        <v>778</v>
      </c>
      <c r="AE56" s="77">
        <f t="shared" ca="1" si="46"/>
        <v>3.5468569142181203E-2</v>
      </c>
      <c r="AF56" s="152">
        <f t="shared" si="18"/>
        <v>31</v>
      </c>
      <c r="AG56" s="99"/>
      <c r="AH56" s="99"/>
      <c r="AI56" s="99"/>
      <c r="AJ56" s="99"/>
      <c r="AK56" s="78">
        <f t="shared" ca="1" si="19"/>
        <v>0</v>
      </c>
      <c r="AL56" s="288" t="e">
        <f t="shared" ca="1" si="47"/>
        <v>#DIV/0!</v>
      </c>
      <c r="AM56" s="75">
        <f t="shared" ca="1" si="20"/>
        <v>0</v>
      </c>
      <c r="AN56" s="100">
        <f t="shared" ca="1" si="21"/>
        <v>0</v>
      </c>
      <c r="AO56" s="99">
        <f t="shared" ca="1" si="22"/>
        <v>0</v>
      </c>
      <c r="AP56" s="99">
        <f t="shared" ca="1" si="23"/>
        <v>0</v>
      </c>
      <c r="AQ56" s="99">
        <f t="shared" ca="1" si="24"/>
        <v>0</v>
      </c>
      <c r="AR56" s="101">
        <f t="shared" ca="1" si="48"/>
        <v>0</v>
      </c>
      <c r="AS56" s="101">
        <f t="shared" ca="1" si="49"/>
        <v>0</v>
      </c>
      <c r="AT56" s="101">
        <f t="shared" ca="1" si="50"/>
        <v>0</v>
      </c>
      <c r="AV56" s="78">
        <f t="shared" ca="1" si="25"/>
        <v>0</v>
      </c>
      <c r="AW56" s="288" t="e">
        <f t="shared" ca="1" si="51"/>
        <v>#DIV/0!</v>
      </c>
      <c r="AX56" s="75">
        <f t="shared" ca="1" si="26"/>
        <v>0</v>
      </c>
      <c r="AY56" s="100">
        <f t="shared" ca="1" si="27"/>
        <v>0</v>
      </c>
      <c r="AZ56" s="99">
        <f t="shared" ca="1" si="28"/>
        <v>0</v>
      </c>
      <c r="BA56" s="99">
        <f t="shared" ca="1" si="29"/>
        <v>0</v>
      </c>
      <c r="BB56" s="99">
        <f t="shared" ca="1" si="30"/>
        <v>0</v>
      </c>
      <c r="BC56" s="101">
        <f t="shared" ca="1" si="52"/>
        <v>0</v>
      </c>
      <c r="BD56" s="101">
        <f t="shared" ca="1" si="53"/>
        <v>0</v>
      </c>
      <c r="BE56" s="101">
        <f t="shared" ca="1" si="54"/>
        <v>0</v>
      </c>
      <c r="BG56" s="78">
        <f t="shared" ca="1" si="31"/>
        <v>0</v>
      </c>
      <c r="BH56" s="288" t="e">
        <f t="shared" ca="1" si="55"/>
        <v>#DIV/0!</v>
      </c>
      <c r="BI56" s="75">
        <f t="shared" ca="1" si="32"/>
        <v>0</v>
      </c>
      <c r="BJ56" s="100">
        <f t="shared" ca="1" si="33"/>
        <v>0</v>
      </c>
      <c r="BK56" s="99">
        <f t="shared" ca="1" si="34"/>
        <v>0</v>
      </c>
      <c r="BL56" s="99">
        <f t="shared" ca="1" si="35"/>
        <v>0</v>
      </c>
      <c r="BM56" s="99">
        <f t="shared" ca="1" si="36"/>
        <v>0</v>
      </c>
      <c r="BN56" s="101">
        <f t="shared" ca="1" si="56"/>
        <v>0</v>
      </c>
      <c r="BO56" s="101">
        <f t="shared" ca="1" si="57"/>
        <v>0</v>
      </c>
      <c r="BP56" s="101">
        <f t="shared" ca="1" si="58"/>
        <v>0</v>
      </c>
      <c r="BR56" s="78">
        <f t="shared" ca="1" si="37"/>
        <v>0</v>
      </c>
      <c r="BS56" s="288" t="e">
        <f t="shared" ca="1" si="59"/>
        <v>#DIV/0!</v>
      </c>
      <c r="BT56" s="75">
        <f t="shared" ca="1" si="38"/>
        <v>0</v>
      </c>
      <c r="BU56" s="100">
        <f t="shared" ca="1" si="39"/>
        <v>0</v>
      </c>
      <c r="BV56" s="99">
        <f t="shared" ca="1" si="40"/>
        <v>0</v>
      </c>
      <c r="BW56" s="99">
        <f t="shared" ca="1" si="41"/>
        <v>0</v>
      </c>
      <c r="BX56" s="99">
        <f t="shared" ca="1" si="42"/>
        <v>0</v>
      </c>
      <c r="BY56" s="101">
        <f t="shared" ca="1" si="60"/>
        <v>0</v>
      </c>
      <c r="BZ56" s="101">
        <f t="shared" ca="1" si="61"/>
        <v>0</v>
      </c>
      <c r="CA56" s="101">
        <f t="shared" ca="1" si="62"/>
        <v>0</v>
      </c>
    </row>
    <row r="57" spans="1:79" x14ac:dyDescent="0.25">
      <c r="A57" s="94">
        <f t="shared" si="43"/>
        <v>38078</v>
      </c>
      <c r="B57" s="95">
        <f t="shared" ca="1" si="44"/>
        <v>3.08</v>
      </c>
      <c r="C57" s="77">
        <f t="shared" ca="1" si="45"/>
        <v>8.2978750544575736E-2</v>
      </c>
      <c r="D57" s="95">
        <f t="shared" ca="1" si="0"/>
        <v>0</v>
      </c>
      <c r="E57" s="97">
        <f t="shared" ca="1" si="1"/>
        <v>809</v>
      </c>
      <c r="F57" s="77" t="e">
        <f t="shared" ca="1" si="2"/>
        <v>#DIV/0!</v>
      </c>
      <c r="G57" s="77" t="e">
        <f ca="1">IF(B$16=1,_xll.xCalcSkew(A57,H57-AL57,b)/100,0)</f>
        <v>#DIV/0!</v>
      </c>
      <c r="H57" s="96">
        <f t="shared" ca="1" si="3"/>
        <v>2.44</v>
      </c>
      <c r="J57" s="95">
        <f t="shared" ca="1" si="4"/>
        <v>0</v>
      </c>
      <c r="K57" s="97">
        <f t="shared" ca="1" si="5"/>
        <v>809</v>
      </c>
      <c r="L57" s="172" t="e">
        <f t="shared" ca="1" si="6"/>
        <v>#DIV/0!</v>
      </c>
      <c r="M57" s="77" t="e">
        <f ca="1">IF(D$16=1,_xll.xCalcSkew($A57,N57-AW57,b)/100,0)</f>
        <v>#DIV/0!</v>
      </c>
      <c r="N57" s="96">
        <f t="shared" ca="1" si="7"/>
        <v>2.44</v>
      </c>
      <c r="P57" s="95">
        <f t="shared" ca="1" si="8"/>
        <v>0</v>
      </c>
      <c r="Q57" s="97">
        <f t="shared" ca="1" si="9"/>
        <v>809</v>
      </c>
      <c r="R57" s="172" t="e">
        <f t="shared" ca="1" si="10"/>
        <v>#DIV/0!</v>
      </c>
      <c r="S57" s="77" t="e">
        <f ca="1">IF(F$16=1,_xll.xCalcSkew($A57,T57-BH57,b)/100,0)</f>
        <v>#DIV/0!</v>
      </c>
      <c r="T57" s="96">
        <f t="shared" ca="1" si="11"/>
        <v>2.44</v>
      </c>
      <c r="V57" s="95">
        <f t="shared" ca="1" si="12"/>
        <v>0</v>
      </c>
      <c r="W57" s="97">
        <f t="shared" ca="1" si="13"/>
        <v>809</v>
      </c>
      <c r="X57" s="77" t="e">
        <f t="shared" ca="1" si="14"/>
        <v>#DIV/0!</v>
      </c>
      <c r="Y57" s="77" t="e">
        <f ca="1">IF(H$16=1,_xll.xCalcSkew($A57,Z57-BS57,b)/100,0)</f>
        <v>#DIV/0!</v>
      </c>
      <c r="Z57" s="96">
        <f t="shared" ca="1" si="15"/>
        <v>2.44</v>
      </c>
      <c r="AC57" s="97">
        <f t="shared" ca="1" si="16"/>
        <v>812</v>
      </c>
      <c r="AD57" s="97">
        <f t="shared" ca="1" si="17"/>
        <v>809</v>
      </c>
      <c r="AE57" s="77">
        <f t="shared" ca="1" si="46"/>
        <v>3.6244658435981701E-2</v>
      </c>
      <c r="AF57" s="152">
        <f t="shared" si="18"/>
        <v>30</v>
      </c>
      <c r="AG57" s="99"/>
      <c r="AH57" s="99"/>
      <c r="AI57" s="99"/>
      <c r="AJ57" s="99"/>
      <c r="AK57" s="78">
        <f t="shared" ca="1" si="19"/>
        <v>0</v>
      </c>
      <c r="AL57" s="288" t="e">
        <f t="shared" ca="1" si="47"/>
        <v>#DIV/0!</v>
      </c>
      <c r="AM57" s="75">
        <f t="shared" ca="1" si="20"/>
        <v>0</v>
      </c>
      <c r="AN57" s="100">
        <f t="shared" ca="1" si="21"/>
        <v>0</v>
      </c>
      <c r="AO57" s="99">
        <f t="shared" ca="1" si="22"/>
        <v>0</v>
      </c>
      <c r="AP57" s="99">
        <f t="shared" ca="1" si="23"/>
        <v>0</v>
      </c>
      <c r="AQ57" s="99">
        <f t="shared" ca="1" si="24"/>
        <v>0</v>
      </c>
      <c r="AR57" s="101">
        <f t="shared" ca="1" si="48"/>
        <v>0</v>
      </c>
      <c r="AS57" s="101">
        <f t="shared" ca="1" si="49"/>
        <v>0</v>
      </c>
      <c r="AT57" s="101">
        <f t="shared" ca="1" si="50"/>
        <v>0</v>
      </c>
      <c r="AV57" s="78">
        <f t="shared" ca="1" si="25"/>
        <v>0</v>
      </c>
      <c r="AW57" s="288" t="e">
        <f t="shared" ca="1" si="51"/>
        <v>#DIV/0!</v>
      </c>
      <c r="AX57" s="75">
        <f t="shared" ca="1" si="26"/>
        <v>0</v>
      </c>
      <c r="AY57" s="100">
        <f t="shared" ca="1" si="27"/>
        <v>0</v>
      </c>
      <c r="AZ57" s="99">
        <f t="shared" ca="1" si="28"/>
        <v>0</v>
      </c>
      <c r="BA57" s="99">
        <f t="shared" ca="1" si="29"/>
        <v>0</v>
      </c>
      <c r="BB57" s="99">
        <f t="shared" ca="1" si="30"/>
        <v>0</v>
      </c>
      <c r="BC57" s="101">
        <f t="shared" ca="1" si="52"/>
        <v>0</v>
      </c>
      <c r="BD57" s="101">
        <f t="shared" ca="1" si="53"/>
        <v>0</v>
      </c>
      <c r="BE57" s="101">
        <f t="shared" ca="1" si="54"/>
        <v>0</v>
      </c>
      <c r="BG57" s="78">
        <f t="shared" ca="1" si="31"/>
        <v>0</v>
      </c>
      <c r="BH57" s="288" t="e">
        <f t="shared" ca="1" si="55"/>
        <v>#DIV/0!</v>
      </c>
      <c r="BI57" s="75">
        <f t="shared" ca="1" si="32"/>
        <v>0</v>
      </c>
      <c r="BJ57" s="100">
        <f t="shared" ca="1" si="33"/>
        <v>0</v>
      </c>
      <c r="BK57" s="99">
        <f t="shared" ca="1" si="34"/>
        <v>0</v>
      </c>
      <c r="BL57" s="99">
        <f t="shared" ca="1" si="35"/>
        <v>0</v>
      </c>
      <c r="BM57" s="99">
        <f t="shared" ca="1" si="36"/>
        <v>0</v>
      </c>
      <c r="BN57" s="101">
        <f t="shared" ca="1" si="56"/>
        <v>0</v>
      </c>
      <c r="BO57" s="101">
        <f t="shared" ca="1" si="57"/>
        <v>0</v>
      </c>
      <c r="BP57" s="101">
        <f t="shared" ca="1" si="58"/>
        <v>0</v>
      </c>
      <c r="BR57" s="78">
        <f t="shared" ca="1" si="37"/>
        <v>0</v>
      </c>
      <c r="BS57" s="288" t="e">
        <f t="shared" ca="1" si="59"/>
        <v>#DIV/0!</v>
      </c>
      <c r="BT57" s="75">
        <f t="shared" ca="1" si="38"/>
        <v>0</v>
      </c>
      <c r="BU57" s="100">
        <f t="shared" ca="1" si="39"/>
        <v>0</v>
      </c>
      <c r="BV57" s="99">
        <f t="shared" ca="1" si="40"/>
        <v>0</v>
      </c>
      <c r="BW57" s="99">
        <f t="shared" ca="1" si="41"/>
        <v>0</v>
      </c>
      <c r="BX57" s="99">
        <f t="shared" ca="1" si="42"/>
        <v>0</v>
      </c>
      <c r="BY57" s="101">
        <f t="shared" ca="1" si="60"/>
        <v>0</v>
      </c>
      <c r="BZ57" s="101">
        <f t="shared" ca="1" si="61"/>
        <v>0</v>
      </c>
      <c r="CA57" s="101">
        <f t="shared" ca="1" si="62"/>
        <v>0</v>
      </c>
    </row>
    <row r="58" spans="1:79" x14ac:dyDescent="0.25">
      <c r="A58" s="94">
        <f t="shared" si="43"/>
        <v>38108</v>
      </c>
      <c r="B58" s="95">
        <f t="shared" ca="1" si="44"/>
        <v>3.0830000000000002</v>
      </c>
      <c r="C58" s="77">
        <f t="shared" ca="1" si="45"/>
        <v>8.1713349421449977E-2</v>
      </c>
      <c r="D58" s="95">
        <f t="shared" ca="1" si="0"/>
        <v>0</v>
      </c>
      <c r="E58" s="97">
        <f t="shared" ca="1" si="1"/>
        <v>841</v>
      </c>
      <c r="F58" s="77" t="e">
        <f t="shared" ca="1" si="2"/>
        <v>#DIV/0!</v>
      </c>
      <c r="G58" s="77" t="e">
        <f ca="1">IF(B$16=1,_xll.xCalcSkew(A58,H58-AL58,b)/100,0)</f>
        <v>#DIV/0!</v>
      </c>
      <c r="H58" s="96">
        <f t="shared" ca="1" si="3"/>
        <v>2.44</v>
      </c>
      <c r="J58" s="95">
        <f t="shared" ca="1" si="4"/>
        <v>0</v>
      </c>
      <c r="K58" s="97">
        <f t="shared" ca="1" si="5"/>
        <v>841</v>
      </c>
      <c r="L58" s="172" t="e">
        <f t="shared" ca="1" si="6"/>
        <v>#DIV/0!</v>
      </c>
      <c r="M58" s="77" t="e">
        <f ca="1">IF(D$16=1,_xll.xCalcSkew($A58,N58-AW58,b)/100,0)</f>
        <v>#DIV/0!</v>
      </c>
      <c r="N58" s="96">
        <f t="shared" ca="1" si="7"/>
        <v>2.44</v>
      </c>
      <c r="P58" s="95">
        <f t="shared" ca="1" si="8"/>
        <v>0</v>
      </c>
      <c r="Q58" s="97">
        <f t="shared" ca="1" si="9"/>
        <v>841</v>
      </c>
      <c r="R58" s="172" t="e">
        <f t="shared" ca="1" si="10"/>
        <v>#DIV/0!</v>
      </c>
      <c r="S58" s="77" t="e">
        <f ca="1">IF(F$16=1,_xll.xCalcSkew($A58,T58-BH58,b)/100,0)</f>
        <v>#DIV/0!</v>
      </c>
      <c r="T58" s="96">
        <f t="shared" ca="1" si="11"/>
        <v>2.44</v>
      </c>
      <c r="V58" s="95">
        <f t="shared" ca="1" si="12"/>
        <v>0</v>
      </c>
      <c r="W58" s="97">
        <f t="shared" ca="1" si="13"/>
        <v>841</v>
      </c>
      <c r="X58" s="77" t="e">
        <f t="shared" ca="1" si="14"/>
        <v>#DIV/0!</v>
      </c>
      <c r="Y58" s="77" t="e">
        <f ca="1">IF(H$16=1,_xll.xCalcSkew($A58,Z58-BS58,b)/100,0)</f>
        <v>#DIV/0!</v>
      </c>
      <c r="Z58" s="96">
        <f t="shared" ca="1" si="15"/>
        <v>2.44</v>
      </c>
      <c r="AC58" s="97">
        <f t="shared" ca="1" si="16"/>
        <v>842</v>
      </c>
      <c r="AD58" s="97">
        <f t="shared" ca="1" si="17"/>
        <v>841</v>
      </c>
      <c r="AE58" s="77">
        <f t="shared" ca="1" si="46"/>
        <v>3.7021069033523098E-2</v>
      </c>
      <c r="AF58" s="152">
        <f t="shared" si="18"/>
        <v>31</v>
      </c>
      <c r="AG58" s="99"/>
      <c r="AH58" s="99"/>
      <c r="AI58" s="99"/>
      <c r="AJ58" s="99"/>
      <c r="AK58" s="78">
        <f t="shared" ca="1" si="19"/>
        <v>0</v>
      </c>
      <c r="AL58" s="288" t="e">
        <f t="shared" ca="1" si="47"/>
        <v>#DIV/0!</v>
      </c>
      <c r="AM58" s="75">
        <f t="shared" ca="1" si="20"/>
        <v>0</v>
      </c>
      <c r="AN58" s="100">
        <f t="shared" ca="1" si="21"/>
        <v>0</v>
      </c>
      <c r="AO58" s="99">
        <f t="shared" ca="1" si="22"/>
        <v>0</v>
      </c>
      <c r="AP58" s="99">
        <f t="shared" ca="1" si="23"/>
        <v>0</v>
      </c>
      <c r="AQ58" s="99">
        <f t="shared" ca="1" si="24"/>
        <v>0</v>
      </c>
      <c r="AR58" s="101">
        <f t="shared" ca="1" si="48"/>
        <v>0</v>
      </c>
      <c r="AS58" s="101">
        <f t="shared" ca="1" si="49"/>
        <v>0</v>
      </c>
      <c r="AT58" s="101">
        <f t="shared" ca="1" si="50"/>
        <v>0</v>
      </c>
      <c r="AV58" s="78">
        <f t="shared" ca="1" si="25"/>
        <v>0</v>
      </c>
      <c r="AW58" s="288" t="e">
        <f t="shared" ca="1" si="51"/>
        <v>#DIV/0!</v>
      </c>
      <c r="AX58" s="75">
        <f t="shared" ca="1" si="26"/>
        <v>0</v>
      </c>
      <c r="AY58" s="100">
        <f t="shared" ca="1" si="27"/>
        <v>0</v>
      </c>
      <c r="AZ58" s="99">
        <f t="shared" ca="1" si="28"/>
        <v>0</v>
      </c>
      <c r="BA58" s="99">
        <f t="shared" ca="1" si="29"/>
        <v>0</v>
      </c>
      <c r="BB58" s="99">
        <f t="shared" ca="1" si="30"/>
        <v>0</v>
      </c>
      <c r="BC58" s="101">
        <f t="shared" ca="1" si="52"/>
        <v>0</v>
      </c>
      <c r="BD58" s="101">
        <f t="shared" ca="1" si="53"/>
        <v>0</v>
      </c>
      <c r="BE58" s="101">
        <f t="shared" ca="1" si="54"/>
        <v>0</v>
      </c>
      <c r="BG58" s="78">
        <f t="shared" ca="1" si="31"/>
        <v>0</v>
      </c>
      <c r="BH58" s="288" t="e">
        <f t="shared" ca="1" si="55"/>
        <v>#DIV/0!</v>
      </c>
      <c r="BI58" s="75">
        <f t="shared" ca="1" si="32"/>
        <v>0</v>
      </c>
      <c r="BJ58" s="100">
        <f t="shared" ca="1" si="33"/>
        <v>0</v>
      </c>
      <c r="BK58" s="99">
        <f t="shared" ca="1" si="34"/>
        <v>0</v>
      </c>
      <c r="BL58" s="99">
        <f t="shared" ca="1" si="35"/>
        <v>0</v>
      </c>
      <c r="BM58" s="99">
        <f t="shared" ca="1" si="36"/>
        <v>0</v>
      </c>
      <c r="BN58" s="101">
        <f t="shared" ca="1" si="56"/>
        <v>0</v>
      </c>
      <c r="BO58" s="101">
        <f t="shared" ca="1" si="57"/>
        <v>0</v>
      </c>
      <c r="BP58" s="101">
        <f t="shared" ca="1" si="58"/>
        <v>0</v>
      </c>
      <c r="BR58" s="78">
        <f t="shared" ca="1" si="37"/>
        <v>0</v>
      </c>
      <c r="BS58" s="288" t="e">
        <f t="shared" ca="1" si="59"/>
        <v>#DIV/0!</v>
      </c>
      <c r="BT58" s="75">
        <f t="shared" ca="1" si="38"/>
        <v>0</v>
      </c>
      <c r="BU58" s="100">
        <f t="shared" ca="1" si="39"/>
        <v>0</v>
      </c>
      <c r="BV58" s="99">
        <f t="shared" ca="1" si="40"/>
        <v>0</v>
      </c>
      <c r="BW58" s="99">
        <f t="shared" ca="1" si="41"/>
        <v>0</v>
      </c>
      <c r="BX58" s="99">
        <f t="shared" ca="1" si="42"/>
        <v>0</v>
      </c>
      <c r="BY58" s="101">
        <f t="shared" ca="1" si="60"/>
        <v>0</v>
      </c>
      <c r="BZ58" s="101">
        <f t="shared" ca="1" si="61"/>
        <v>0</v>
      </c>
      <c r="CA58" s="101">
        <f t="shared" ca="1" si="62"/>
        <v>0</v>
      </c>
    </row>
    <row r="59" spans="1:79" x14ac:dyDescent="0.25">
      <c r="A59" s="94">
        <f t="shared" si="43"/>
        <v>38139</v>
      </c>
      <c r="B59" s="95">
        <f t="shared" ca="1" si="44"/>
        <v>3.1230000000000002</v>
      </c>
      <c r="C59" s="77">
        <f t="shared" ca="1" si="45"/>
        <v>7.971331783963434E-2</v>
      </c>
      <c r="D59" s="95">
        <f t="shared" ca="1" si="0"/>
        <v>0</v>
      </c>
      <c r="E59" s="97">
        <f t="shared" ca="1" si="1"/>
        <v>869</v>
      </c>
      <c r="F59" s="77" t="e">
        <f t="shared" ca="1" si="2"/>
        <v>#DIV/0!</v>
      </c>
      <c r="G59" s="77" t="e">
        <f ca="1">IF(B$16=1,_xll.xCalcSkew(A59,H59-AL59,b)/100,0)</f>
        <v>#DIV/0!</v>
      </c>
      <c r="H59" s="96">
        <f t="shared" ca="1" si="3"/>
        <v>2.44</v>
      </c>
      <c r="J59" s="95">
        <f t="shared" ca="1" si="4"/>
        <v>0</v>
      </c>
      <c r="K59" s="97">
        <f t="shared" ca="1" si="5"/>
        <v>869</v>
      </c>
      <c r="L59" s="172" t="e">
        <f t="shared" ca="1" si="6"/>
        <v>#DIV/0!</v>
      </c>
      <c r="M59" s="77" t="e">
        <f ca="1">IF(D$16=1,_xll.xCalcSkew($A59,N59-AW59,b)/100,0)</f>
        <v>#DIV/0!</v>
      </c>
      <c r="N59" s="96">
        <f t="shared" ca="1" si="7"/>
        <v>2.44</v>
      </c>
      <c r="P59" s="95">
        <f t="shared" ca="1" si="8"/>
        <v>0</v>
      </c>
      <c r="Q59" s="97">
        <f t="shared" ca="1" si="9"/>
        <v>869</v>
      </c>
      <c r="R59" s="172" t="e">
        <f t="shared" ca="1" si="10"/>
        <v>#DIV/0!</v>
      </c>
      <c r="S59" s="77" t="e">
        <f ca="1">IF(F$16=1,_xll.xCalcSkew($A59,T59-BH59,b)/100,0)</f>
        <v>#DIV/0!</v>
      </c>
      <c r="T59" s="96">
        <f t="shared" ca="1" si="11"/>
        <v>2.44</v>
      </c>
      <c r="V59" s="95">
        <f t="shared" ca="1" si="12"/>
        <v>0</v>
      </c>
      <c r="W59" s="97">
        <f t="shared" ca="1" si="13"/>
        <v>869</v>
      </c>
      <c r="X59" s="77" t="e">
        <f t="shared" ca="1" si="14"/>
        <v>#DIV/0!</v>
      </c>
      <c r="Y59" s="77" t="e">
        <f ca="1">IF(H$16=1,_xll.xCalcSkew($A59,Z59-BS59,b)/100,0)</f>
        <v>#DIV/0!</v>
      </c>
      <c r="Z59" s="96">
        <f t="shared" ca="1" si="15"/>
        <v>2.44</v>
      </c>
      <c r="AC59" s="97">
        <f t="shared" ca="1" si="16"/>
        <v>870</v>
      </c>
      <c r="AD59" s="97">
        <f t="shared" ca="1" si="17"/>
        <v>869</v>
      </c>
      <c r="AE59" s="77">
        <f t="shared" ca="1" si="46"/>
        <v>3.7717515784331003E-2</v>
      </c>
      <c r="AF59" s="152">
        <f t="shared" si="18"/>
        <v>30</v>
      </c>
      <c r="AG59" s="99"/>
      <c r="AH59" s="99"/>
      <c r="AI59" s="99"/>
      <c r="AJ59" s="99"/>
      <c r="AK59" s="78">
        <f t="shared" ca="1" si="19"/>
        <v>0</v>
      </c>
      <c r="AL59" s="288" t="e">
        <f t="shared" ca="1" si="47"/>
        <v>#DIV/0!</v>
      </c>
      <c r="AM59" s="75">
        <f t="shared" ca="1" si="20"/>
        <v>0</v>
      </c>
      <c r="AN59" s="100">
        <f t="shared" ca="1" si="21"/>
        <v>0</v>
      </c>
      <c r="AO59" s="99">
        <f t="shared" ca="1" si="22"/>
        <v>0</v>
      </c>
      <c r="AP59" s="99">
        <f t="shared" ca="1" si="23"/>
        <v>0</v>
      </c>
      <c r="AQ59" s="99">
        <f t="shared" ca="1" si="24"/>
        <v>0</v>
      </c>
      <c r="AR59" s="101">
        <f t="shared" ca="1" si="48"/>
        <v>0</v>
      </c>
      <c r="AS59" s="101">
        <f t="shared" ca="1" si="49"/>
        <v>0</v>
      </c>
      <c r="AT59" s="101">
        <f t="shared" ca="1" si="50"/>
        <v>0</v>
      </c>
      <c r="AV59" s="78">
        <f t="shared" ca="1" si="25"/>
        <v>0</v>
      </c>
      <c r="AW59" s="288" t="e">
        <f t="shared" ca="1" si="51"/>
        <v>#DIV/0!</v>
      </c>
      <c r="AX59" s="75">
        <f t="shared" ca="1" si="26"/>
        <v>0</v>
      </c>
      <c r="AY59" s="100">
        <f t="shared" ca="1" si="27"/>
        <v>0</v>
      </c>
      <c r="AZ59" s="99">
        <f t="shared" ca="1" si="28"/>
        <v>0</v>
      </c>
      <c r="BA59" s="99">
        <f t="shared" ca="1" si="29"/>
        <v>0</v>
      </c>
      <c r="BB59" s="99">
        <f t="shared" ca="1" si="30"/>
        <v>0</v>
      </c>
      <c r="BC59" s="101">
        <f t="shared" ca="1" si="52"/>
        <v>0</v>
      </c>
      <c r="BD59" s="101">
        <f t="shared" ca="1" si="53"/>
        <v>0</v>
      </c>
      <c r="BE59" s="101">
        <f t="shared" ca="1" si="54"/>
        <v>0</v>
      </c>
      <c r="BG59" s="78">
        <f t="shared" ca="1" si="31"/>
        <v>0</v>
      </c>
      <c r="BH59" s="288" t="e">
        <f t="shared" ca="1" si="55"/>
        <v>#DIV/0!</v>
      </c>
      <c r="BI59" s="75">
        <f t="shared" ca="1" si="32"/>
        <v>0</v>
      </c>
      <c r="BJ59" s="100">
        <f t="shared" ca="1" si="33"/>
        <v>0</v>
      </c>
      <c r="BK59" s="99">
        <f t="shared" ca="1" si="34"/>
        <v>0</v>
      </c>
      <c r="BL59" s="99">
        <f t="shared" ca="1" si="35"/>
        <v>0</v>
      </c>
      <c r="BM59" s="99">
        <f t="shared" ca="1" si="36"/>
        <v>0</v>
      </c>
      <c r="BN59" s="101">
        <f t="shared" ca="1" si="56"/>
        <v>0</v>
      </c>
      <c r="BO59" s="101">
        <f t="shared" ca="1" si="57"/>
        <v>0</v>
      </c>
      <c r="BP59" s="101">
        <f t="shared" ca="1" si="58"/>
        <v>0</v>
      </c>
      <c r="BR59" s="78">
        <f t="shared" ca="1" si="37"/>
        <v>0</v>
      </c>
      <c r="BS59" s="288" t="e">
        <f t="shared" ca="1" si="59"/>
        <v>#DIV/0!</v>
      </c>
      <c r="BT59" s="75">
        <f t="shared" ca="1" si="38"/>
        <v>0</v>
      </c>
      <c r="BU59" s="100">
        <f t="shared" ca="1" si="39"/>
        <v>0</v>
      </c>
      <c r="BV59" s="99">
        <f t="shared" ca="1" si="40"/>
        <v>0</v>
      </c>
      <c r="BW59" s="99">
        <f t="shared" ca="1" si="41"/>
        <v>0</v>
      </c>
      <c r="BX59" s="99">
        <f t="shared" ca="1" si="42"/>
        <v>0</v>
      </c>
      <c r="BY59" s="101">
        <f t="shared" ca="1" si="60"/>
        <v>0</v>
      </c>
      <c r="BZ59" s="101">
        <f t="shared" ca="1" si="61"/>
        <v>0</v>
      </c>
      <c r="CA59" s="101">
        <f t="shared" ca="1" si="62"/>
        <v>0</v>
      </c>
    </row>
    <row r="60" spans="1:79" x14ac:dyDescent="0.25">
      <c r="A60" s="94">
        <f t="shared" si="43"/>
        <v>38169</v>
      </c>
      <c r="B60" s="95">
        <f t="shared" ca="1" si="44"/>
        <v>3.1629999999999998</v>
      </c>
      <c r="C60" s="77">
        <f t="shared" ca="1" si="45"/>
        <v>7.7722470382084116E-2</v>
      </c>
      <c r="D60" s="95">
        <f t="shared" ca="1" si="0"/>
        <v>0</v>
      </c>
      <c r="E60" s="97">
        <f t="shared" ca="1" si="1"/>
        <v>900</v>
      </c>
      <c r="F60" s="77" t="e">
        <f t="shared" ca="1" si="2"/>
        <v>#DIV/0!</v>
      </c>
      <c r="G60" s="77" t="e">
        <f ca="1">IF(B$16=1,_xll.xCalcSkew(A60,H60-AL60,b)/100,0)</f>
        <v>#DIV/0!</v>
      </c>
      <c r="H60" s="96">
        <f t="shared" ca="1" si="3"/>
        <v>2.44</v>
      </c>
      <c r="J60" s="95">
        <f t="shared" ca="1" si="4"/>
        <v>0</v>
      </c>
      <c r="K60" s="97">
        <f t="shared" ca="1" si="5"/>
        <v>900</v>
      </c>
      <c r="L60" s="172" t="e">
        <f t="shared" ca="1" si="6"/>
        <v>#DIV/0!</v>
      </c>
      <c r="M60" s="77" t="e">
        <f ca="1">IF(D$16=1,_xll.xCalcSkew($A60,N60-AW60,b)/100,0)</f>
        <v>#DIV/0!</v>
      </c>
      <c r="N60" s="96">
        <f t="shared" ca="1" si="7"/>
        <v>2.44</v>
      </c>
      <c r="P60" s="95">
        <f t="shared" ca="1" si="8"/>
        <v>0</v>
      </c>
      <c r="Q60" s="97">
        <f t="shared" ca="1" si="9"/>
        <v>900</v>
      </c>
      <c r="R60" s="172" t="e">
        <f t="shared" ca="1" si="10"/>
        <v>#DIV/0!</v>
      </c>
      <c r="S60" s="77" t="e">
        <f ca="1">IF(F$16=1,_xll.xCalcSkew($A60,T60-BH60,b)/100,0)</f>
        <v>#DIV/0!</v>
      </c>
      <c r="T60" s="96">
        <f t="shared" ca="1" si="11"/>
        <v>2.44</v>
      </c>
      <c r="V60" s="95">
        <f t="shared" ca="1" si="12"/>
        <v>0</v>
      </c>
      <c r="W60" s="97">
        <f t="shared" ca="1" si="13"/>
        <v>900</v>
      </c>
      <c r="X60" s="77" t="e">
        <f t="shared" ca="1" si="14"/>
        <v>#DIV/0!</v>
      </c>
      <c r="Y60" s="77" t="e">
        <f ca="1">IF(H$16=1,_xll.xCalcSkew($A60,Z60-BS60,b)/100,0)</f>
        <v>#DIV/0!</v>
      </c>
      <c r="Z60" s="96">
        <f t="shared" ca="1" si="15"/>
        <v>2.44</v>
      </c>
      <c r="AC60" s="97">
        <f t="shared" ca="1" si="16"/>
        <v>903</v>
      </c>
      <c r="AD60" s="97">
        <f t="shared" ca="1" si="17"/>
        <v>900</v>
      </c>
      <c r="AE60" s="77">
        <f t="shared" ca="1" si="46"/>
        <v>3.8437177597991E-2</v>
      </c>
      <c r="AF60" s="152">
        <f t="shared" si="18"/>
        <v>31</v>
      </c>
      <c r="AG60" s="99"/>
      <c r="AH60" s="99"/>
      <c r="AI60" s="99"/>
      <c r="AJ60" s="99"/>
      <c r="AK60" s="78">
        <f t="shared" ca="1" si="19"/>
        <v>0</v>
      </c>
      <c r="AL60" s="288" t="e">
        <f t="shared" ca="1" si="47"/>
        <v>#DIV/0!</v>
      </c>
      <c r="AM60" s="75">
        <f t="shared" ca="1" si="20"/>
        <v>0</v>
      </c>
      <c r="AN60" s="100">
        <f t="shared" ca="1" si="21"/>
        <v>0</v>
      </c>
      <c r="AO60" s="99">
        <f t="shared" ca="1" si="22"/>
        <v>0</v>
      </c>
      <c r="AP60" s="99">
        <f t="shared" ca="1" si="23"/>
        <v>0</v>
      </c>
      <c r="AQ60" s="99">
        <f t="shared" ca="1" si="24"/>
        <v>0</v>
      </c>
      <c r="AR60" s="101">
        <f t="shared" ca="1" si="48"/>
        <v>0</v>
      </c>
      <c r="AS60" s="101">
        <f t="shared" ca="1" si="49"/>
        <v>0</v>
      </c>
      <c r="AT60" s="101">
        <f t="shared" ca="1" si="50"/>
        <v>0</v>
      </c>
      <c r="AV60" s="78">
        <f t="shared" ca="1" si="25"/>
        <v>0</v>
      </c>
      <c r="AW60" s="288" t="e">
        <f t="shared" ca="1" si="51"/>
        <v>#DIV/0!</v>
      </c>
      <c r="AX60" s="75">
        <f t="shared" ca="1" si="26"/>
        <v>0</v>
      </c>
      <c r="AY60" s="100">
        <f t="shared" ca="1" si="27"/>
        <v>0</v>
      </c>
      <c r="AZ60" s="99">
        <f t="shared" ca="1" si="28"/>
        <v>0</v>
      </c>
      <c r="BA60" s="99">
        <f t="shared" ca="1" si="29"/>
        <v>0</v>
      </c>
      <c r="BB60" s="99">
        <f t="shared" ca="1" si="30"/>
        <v>0</v>
      </c>
      <c r="BC60" s="101">
        <f t="shared" ca="1" si="52"/>
        <v>0</v>
      </c>
      <c r="BD60" s="101">
        <f t="shared" ca="1" si="53"/>
        <v>0</v>
      </c>
      <c r="BE60" s="101">
        <f t="shared" ca="1" si="54"/>
        <v>0</v>
      </c>
      <c r="BG60" s="78">
        <f t="shared" ca="1" si="31"/>
        <v>0</v>
      </c>
      <c r="BH60" s="288" t="e">
        <f t="shared" ca="1" si="55"/>
        <v>#DIV/0!</v>
      </c>
      <c r="BI60" s="75">
        <f t="shared" ca="1" si="32"/>
        <v>0</v>
      </c>
      <c r="BJ60" s="100">
        <f t="shared" ca="1" si="33"/>
        <v>0</v>
      </c>
      <c r="BK60" s="99">
        <f t="shared" ca="1" si="34"/>
        <v>0</v>
      </c>
      <c r="BL60" s="99">
        <f t="shared" ca="1" si="35"/>
        <v>0</v>
      </c>
      <c r="BM60" s="99">
        <f t="shared" ca="1" si="36"/>
        <v>0</v>
      </c>
      <c r="BN60" s="101">
        <f t="shared" ca="1" si="56"/>
        <v>0</v>
      </c>
      <c r="BO60" s="101">
        <f t="shared" ca="1" si="57"/>
        <v>0</v>
      </c>
      <c r="BP60" s="101">
        <f t="shared" ca="1" si="58"/>
        <v>0</v>
      </c>
      <c r="BR60" s="78">
        <f t="shared" ca="1" si="37"/>
        <v>0</v>
      </c>
      <c r="BS60" s="288" t="e">
        <f t="shared" ca="1" si="59"/>
        <v>#DIV/0!</v>
      </c>
      <c r="BT60" s="75">
        <f t="shared" ca="1" si="38"/>
        <v>0</v>
      </c>
      <c r="BU60" s="100">
        <f t="shared" ca="1" si="39"/>
        <v>0</v>
      </c>
      <c r="BV60" s="99">
        <f t="shared" ca="1" si="40"/>
        <v>0</v>
      </c>
      <c r="BW60" s="99">
        <f t="shared" ca="1" si="41"/>
        <v>0</v>
      </c>
      <c r="BX60" s="99">
        <f t="shared" ca="1" si="42"/>
        <v>0</v>
      </c>
      <c r="BY60" s="101">
        <f t="shared" ca="1" si="60"/>
        <v>0</v>
      </c>
      <c r="BZ60" s="101">
        <f t="shared" ca="1" si="61"/>
        <v>0</v>
      </c>
      <c r="CA60" s="101">
        <f t="shared" ca="1" si="62"/>
        <v>0</v>
      </c>
    </row>
    <row r="61" spans="1:79" x14ac:dyDescent="0.25">
      <c r="A61" s="94">
        <f t="shared" si="43"/>
        <v>38200</v>
      </c>
      <c r="B61" s="95">
        <f t="shared" ca="1" si="44"/>
        <v>3.2130000000000001</v>
      </c>
      <c r="C61" s="77">
        <f t="shared" ca="1" si="45"/>
        <v>7.5567533185845998E-2</v>
      </c>
      <c r="D61" s="95">
        <f t="shared" ca="1" si="0"/>
        <v>0</v>
      </c>
      <c r="E61" s="97">
        <f t="shared" ca="1" si="1"/>
        <v>932</v>
      </c>
      <c r="F61" s="77" t="e">
        <f t="shared" ca="1" si="2"/>
        <v>#DIV/0!</v>
      </c>
      <c r="G61" s="77" t="e">
        <f ca="1">IF(B$16=1,_xll.xCalcSkew(A61,H61-AL61,b)/100,0)</f>
        <v>#DIV/0!</v>
      </c>
      <c r="H61" s="96">
        <f t="shared" ca="1" si="3"/>
        <v>2.44</v>
      </c>
      <c r="J61" s="95">
        <f t="shared" ca="1" si="4"/>
        <v>0</v>
      </c>
      <c r="K61" s="97">
        <f t="shared" ca="1" si="5"/>
        <v>932</v>
      </c>
      <c r="L61" s="172" t="e">
        <f t="shared" ca="1" si="6"/>
        <v>#DIV/0!</v>
      </c>
      <c r="M61" s="77" t="e">
        <f ca="1">IF(D$16=1,_xll.xCalcSkew($A61,N61-AW61,b)/100,0)</f>
        <v>#DIV/0!</v>
      </c>
      <c r="N61" s="96">
        <f t="shared" ca="1" si="7"/>
        <v>2.44</v>
      </c>
      <c r="P61" s="95">
        <f t="shared" ca="1" si="8"/>
        <v>0</v>
      </c>
      <c r="Q61" s="97">
        <f t="shared" ca="1" si="9"/>
        <v>932</v>
      </c>
      <c r="R61" s="172" t="e">
        <f t="shared" ca="1" si="10"/>
        <v>#DIV/0!</v>
      </c>
      <c r="S61" s="77" t="e">
        <f ca="1">IF(F$16=1,_xll.xCalcSkew($A61,T61-BH61,b)/100,0)</f>
        <v>#DIV/0!</v>
      </c>
      <c r="T61" s="96">
        <f t="shared" ca="1" si="11"/>
        <v>2.44</v>
      </c>
      <c r="V61" s="95">
        <f t="shared" ca="1" si="12"/>
        <v>0</v>
      </c>
      <c r="W61" s="97">
        <f t="shared" ca="1" si="13"/>
        <v>932</v>
      </c>
      <c r="X61" s="77" t="e">
        <f t="shared" ca="1" si="14"/>
        <v>#DIV/0!</v>
      </c>
      <c r="Y61" s="77" t="e">
        <f ca="1">IF(H$16=1,_xll.xCalcSkew($A61,Z61-BS61,b)/100,0)</f>
        <v>#DIV/0!</v>
      </c>
      <c r="Z61" s="96">
        <f t="shared" ca="1" si="15"/>
        <v>2.44</v>
      </c>
      <c r="AC61" s="97">
        <f t="shared" ca="1" si="16"/>
        <v>933</v>
      </c>
      <c r="AD61" s="97">
        <f t="shared" ca="1" si="17"/>
        <v>932</v>
      </c>
      <c r="AE61" s="77">
        <f t="shared" ca="1" si="46"/>
        <v>3.9098228026385802E-2</v>
      </c>
      <c r="AF61" s="152">
        <f t="shared" si="18"/>
        <v>31</v>
      </c>
      <c r="AG61" s="99"/>
      <c r="AH61" s="99"/>
      <c r="AI61" s="99"/>
      <c r="AJ61" s="99"/>
      <c r="AK61" s="78">
        <f t="shared" ca="1" si="19"/>
        <v>0</v>
      </c>
      <c r="AL61" s="288" t="e">
        <f t="shared" ca="1" si="47"/>
        <v>#DIV/0!</v>
      </c>
      <c r="AM61" s="75">
        <f t="shared" ca="1" si="20"/>
        <v>0</v>
      </c>
      <c r="AN61" s="100">
        <f t="shared" ca="1" si="21"/>
        <v>0</v>
      </c>
      <c r="AO61" s="99">
        <f t="shared" ca="1" si="22"/>
        <v>0</v>
      </c>
      <c r="AP61" s="99">
        <f t="shared" ca="1" si="23"/>
        <v>0</v>
      </c>
      <c r="AQ61" s="99">
        <f t="shared" ca="1" si="24"/>
        <v>0</v>
      </c>
      <c r="AR61" s="101">
        <f t="shared" ca="1" si="48"/>
        <v>0</v>
      </c>
      <c r="AS61" s="101">
        <f t="shared" ca="1" si="49"/>
        <v>0</v>
      </c>
      <c r="AT61" s="101">
        <f t="shared" ca="1" si="50"/>
        <v>0</v>
      </c>
      <c r="AV61" s="78">
        <f t="shared" ca="1" si="25"/>
        <v>0</v>
      </c>
      <c r="AW61" s="288" t="e">
        <f t="shared" ca="1" si="51"/>
        <v>#DIV/0!</v>
      </c>
      <c r="AX61" s="75">
        <f t="shared" ca="1" si="26"/>
        <v>0</v>
      </c>
      <c r="AY61" s="100">
        <f t="shared" ca="1" si="27"/>
        <v>0</v>
      </c>
      <c r="AZ61" s="99">
        <f t="shared" ca="1" si="28"/>
        <v>0</v>
      </c>
      <c r="BA61" s="99">
        <f t="shared" ca="1" si="29"/>
        <v>0</v>
      </c>
      <c r="BB61" s="99">
        <f t="shared" ca="1" si="30"/>
        <v>0</v>
      </c>
      <c r="BC61" s="101">
        <f t="shared" ca="1" si="52"/>
        <v>0</v>
      </c>
      <c r="BD61" s="101">
        <f t="shared" ca="1" si="53"/>
        <v>0</v>
      </c>
      <c r="BE61" s="101">
        <f t="shared" ca="1" si="54"/>
        <v>0</v>
      </c>
      <c r="BG61" s="78">
        <f t="shared" ca="1" si="31"/>
        <v>0</v>
      </c>
      <c r="BH61" s="288" t="e">
        <f t="shared" ca="1" si="55"/>
        <v>#DIV/0!</v>
      </c>
      <c r="BI61" s="75">
        <f t="shared" ca="1" si="32"/>
        <v>0</v>
      </c>
      <c r="BJ61" s="100">
        <f t="shared" ca="1" si="33"/>
        <v>0</v>
      </c>
      <c r="BK61" s="99">
        <f t="shared" ca="1" si="34"/>
        <v>0</v>
      </c>
      <c r="BL61" s="99">
        <f t="shared" ca="1" si="35"/>
        <v>0</v>
      </c>
      <c r="BM61" s="99">
        <f t="shared" ca="1" si="36"/>
        <v>0</v>
      </c>
      <c r="BN61" s="101">
        <f t="shared" ca="1" si="56"/>
        <v>0</v>
      </c>
      <c r="BO61" s="101">
        <f t="shared" ca="1" si="57"/>
        <v>0</v>
      </c>
      <c r="BP61" s="101">
        <f t="shared" ca="1" si="58"/>
        <v>0</v>
      </c>
      <c r="BR61" s="78">
        <f t="shared" ca="1" si="37"/>
        <v>0</v>
      </c>
      <c r="BS61" s="288" t="e">
        <f t="shared" ca="1" si="59"/>
        <v>#DIV/0!</v>
      </c>
      <c r="BT61" s="75">
        <f t="shared" ca="1" si="38"/>
        <v>0</v>
      </c>
      <c r="BU61" s="100">
        <f t="shared" ca="1" si="39"/>
        <v>0</v>
      </c>
      <c r="BV61" s="99">
        <f t="shared" ca="1" si="40"/>
        <v>0</v>
      </c>
      <c r="BW61" s="99">
        <f t="shared" ca="1" si="41"/>
        <v>0</v>
      </c>
      <c r="BX61" s="99">
        <f t="shared" ca="1" si="42"/>
        <v>0</v>
      </c>
      <c r="BY61" s="101">
        <f t="shared" ca="1" si="60"/>
        <v>0</v>
      </c>
      <c r="BZ61" s="101">
        <f t="shared" ca="1" si="61"/>
        <v>0</v>
      </c>
      <c r="CA61" s="101">
        <f t="shared" ca="1" si="62"/>
        <v>0</v>
      </c>
    </row>
    <row r="62" spans="1:79" x14ac:dyDescent="0.25">
      <c r="A62" s="94">
        <f t="shared" si="43"/>
        <v>38231</v>
      </c>
      <c r="B62" s="95">
        <f t="shared" ca="1" si="44"/>
        <v>3.198</v>
      </c>
      <c r="C62" s="77">
        <f t="shared" ca="1" si="45"/>
        <v>7.5097062947682272E-2</v>
      </c>
      <c r="D62" s="95">
        <f t="shared" ca="1" si="0"/>
        <v>0</v>
      </c>
      <c r="E62" s="97">
        <f t="shared" ca="1" si="1"/>
        <v>962</v>
      </c>
      <c r="F62" s="77" t="e">
        <f t="shared" ca="1" si="2"/>
        <v>#DIV/0!</v>
      </c>
      <c r="G62" s="77" t="e">
        <f ca="1">IF(B$16=1,_xll.xCalcSkew(A62,H62-AL62,b)/100,0)</f>
        <v>#DIV/0!</v>
      </c>
      <c r="H62" s="96">
        <f t="shared" ca="1" si="3"/>
        <v>2.44</v>
      </c>
      <c r="J62" s="95">
        <f t="shared" ca="1" si="4"/>
        <v>0</v>
      </c>
      <c r="K62" s="97">
        <f t="shared" ca="1" si="5"/>
        <v>962</v>
      </c>
      <c r="L62" s="172" t="e">
        <f t="shared" ca="1" si="6"/>
        <v>#DIV/0!</v>
      </c>
      <c r="M62" s="77" t="e">
        <f ca="1">IF(D$16=1,_xll.xCalcSkew($A62,N62-AW62,b)/100,0)</f>
        <v>#DIV/0!</v>
      </c>
      <c r="N62" s="96">
        <f t="shared" ca="1" si="7"/>
        <v>2.44</v>
      </c>
      <c r="P62" s="95">
        <f t="shared" ca="1" si="8"/>
        <v>0</v>
      </c>
      <c r="Q62" s="97">
        <f t="shared" ca="1" si="9"/>
        <v>962</v>
      </c>
      <c r="R62" s="172" t="e">
        <f t="shared" ca="1" si="10"/>
        <v>#DIV/0!</v>
      </c>
      <c r="S62" s="77" t="e">
        <f ca="1">IF(F$16=1,_xll.xCalcSkew($A62,T62-BH62,b)/100,0)</f>
        <v>#DIV/0!</v>
      </c>
      <c r="T62" s="96">
        <f t="shared" ca="1" si="11"/>
        <v>2.44</v>
      </c>
      <c r="V62" s="95">
        <f t="shared" ca="1" si="12"/>
        <v>0</v>
      </c>
      <c r="W62" s="97">
        <f t="shared" ca="1" si="13"/>
        <v>962</v>
      </c>
      <c r="X62" s="77" t="e">
        <f t="shared" ca="1" si="14"/>
        <v>#DIV/0!</v>
      </c>
      <c r="Y62" s="77" t="e">
        <f ca="1">IF(H$16=1,_xll.xCalcSkew($A62,Z62-BS62,b)/100,0)</f>
        <v>#DIV/0!</v>
      </c>
      <c r="Z62" s="96">
        <f t="shared" ca="1" si="15"/>
        <v>2.44</v>
      </c>
      <c r="AC62" s="97">
        <f t="shared" ca="1" si="16"/>
        <v>963</v>
      </c>
      <c r="AD62" s="97">
        <f t="shared" ca="1" si="17"/>
        <v>962</v>
      </c>
      <c r="AE62" s="77">
        <f t="shared" ca="1" si="46"/>
        <v>3.9742489332663701E-2</v>
      </c>
      <c r="AF62" s="152">
        <f t="shared" si="18"/>
        <v>30</v>
      </c>
      <c r="AG62" s="99"/>
      <c r="AH62" s="99"/>
      <c r="AI62" s="99"/>
      <c r="AJ62" s="99"/>
      <c r="AK62" s="78">
        <f t="shared" ca="1" si="19"/>
        <v>0</v>
      </c>
      <c r="AL62" s="288" t="e">
        <f t="shared" ca="1" si="47"/>
        <v>#DIV/0!</v>
      </c>
      <c r="AM62" s="75">
        <f t="shared" ca="1" si="20"/>
        <v>0</v>
      </c>
      <c r="AN62" s="100">
        <f t="shared" ca="1" si="21"/>
        <v>0</v>
      </c>
      <c r="AO62" s="99">
        <f t="shared" ca="1" si="22"/>
        <v>0</v>
      </c>
      <c r="AP62" s="99">
        <f t="shared" ca="1" si="23"/>
        <v>0</v>
      </c>
      <c r="AQ62" s="99">
        <f t="shared" ca="1" si="24"/>
        <v>0</v>
      </c>
      <c r="AR62" s="101">
        <f t="shared" ca="1" si="48"/>
        <v>0</v>
      </c>
      <c r="AS62" s="101">
        <f t="shared" ca="1" si="49"/>
        <v>0</v>
      </c>
      <c r="AT62" s="101">
        <f t="shared" ca="1" si="50"/>
        <v>0</v>
      </c>
      <c r="AV62" s="78">
        <f t="shared" ca="1" si="25"/>
        <v>0</v>
      </c>
      <c r="AW62" s="288" t="e">
        <f t="shared" ca="1" si="51"/>
        <v>#DIV/0!</v>
      </c>
      <c r="AX62" s="75">
        <f t="shared" ca="1" si="26"/>
        <v>0</v>
      </c>
      <c r="AY62" s="100">
        <f t="shared" ca="1" si="27"/>
        <v>0</v>
      </c>
      <c r="AZ62" s="99">
        <f t="shared" ca="1" si="28"/>
        <v>0</v>
      </c>
      <c r="BA62" s="99">
        <f t="shared" ca="1" si="29"/>
        <v>0</v>
      </c>
      <c r="BB62" s="99">
        <f t="shared" ca="1" si="30"/>
        <v>0</v>
      </c>
      <c r="BC62" s="101">
        <f t="shared" ca="1" si="52"/>
        <v>0</v>
      </c>
      <c r="BD62" s="101">
        <f t="shared" ca="1" si="53"/>
        <v>0</v>
      </c>
      <c r="BE62" s="101">
        <f t="shared" ca="1" si="54"/>
        <v>0</v>
      </c>
      <c r="BG62" s="78">
        <f t="shared" ca="1" si="31"/>
        <v>0</v>
      </c>
      <c r="BH62" s="288" t="e">
        <f t="shared" ca="1" si="55"/>
        <v>#DIV/0!</v>
      </c>
      <c r="BI62" s="75">
        <f t="shared" ca="1" si="32"/>
        <v>0</v>
      </c>
      <c r="BJ62" s="100">
        <f t="shared" ca="1" si="33"/>
        <v>0</v>
      </c>
      <c r="BK62" s="99">
        <f t="shared" ca="1" si="34"/>
        <v>0</v>
      </c>
      <c r="BL62" s="99">
        <f t="shared" ca="1" si="35"/>
        <v>0</v>
      </c>
      <c r="BM62" s="99">
        <f t="shared" ca="1" si="36"/>
        <v>0</v>
      </c>
      <c r="BN62" s="101">
        <f t="shared" ca="1" si="56"/>
        <v>0</v>
      </c>
      <c r="BO62" s="101">
        <f t="shared" ca="1" si="57"/>
        <v>0</v>
      </c>
      <c r="BP62" s="101">
        <f t="shared" ca="1" si="58"/>
        <v>0</v>
      </c>
      <c r="BR62" s="78">
        <f t="shared" ca="1" si="37"/>
        <v>0</v>
      </c>
      <c r="BS62" s="288" t="e">
        <f t="shared" ca="1" si="59"/>
        <v>#DIV/0!</v>
      </c>
      <c r="BT62" s="75">
        <f t="shared" ca="1" si="38"/>
        <v>0</v>
      </c>
      <c r="BU62" s="100">
        <f t="shared" ca="1" si="39"/>
        <v>0</v>
      </c>
      <c r="BV62" s="99">
        <f t="shared" ca="1" si="40"/>
        <v>0</v>
      </c>
      <c r="BW62" s="99">
        <f t="shared" ca="1" si="41"/>
        <v>0</v>
      </c>
      <c r="BX62" s="99">
        <f t="shared" ca="1" si="42"/>
        <v>0</v>
      </c>
      <c r="BY62" s="101">
        <f t="shared" ca="1" si="60"/>
        <v>0</v>
      </c>
      <c r="BZ62" s="101">
        <f t="shared" ca="1" si="61"/>
        <v>0</v>
      </c>
      <c r="CA62" s="101">
        <f t="shared" ca="1" si="62"/>
        <v>0</v>
      </c>
    </row>
    <row r="63" spans="1:79" x14ac:dyDescent="0.25">
      <c r="A63" s="94">
        <f t="shared" si="43"/>
        <v>38261</v>
      </c>
      <c r="B63" s="95">
        <f t="shared" ca="1" si="44"/>
        <v>3.2130000000000001</v>
      </c>
      <c r="C63" s="77">
        <f t="shared" ca="1" si="45"/>
        <v>7.3919042879487654E-2</v>
      </c>
      <c r="D63" s="95">
        <f t="shared" ca="1" si="0"/>
        <v>0</v>
      </c>
      <c r="E63" s="97">
        <f t="shared" ref="E63:E94" ca="1" si="63">IF(D$28="NYMEX",$AD63,$AC63)</f>
        <v>994</v>
      </c>
      <c r="F63" s="77" t="e">
        <f t="shared" ref="F63:F94" ca="1" si="64">($C63+G63)+B$15</f>
        <v>#DIV/0!</v>
      </c>
      <c r="G63" s="77" t="e">
        <f ca="1">IF(B$16=1,_xll.xCalcSkew(A63,H63-AL63,b)/100,0)</f>
        <v>#DIV/0!</v>
      </c>
      <c r="H63" s="96">
        <f t="shared" ref="H63:H94" ca="1" si="65">IF($B$19=4,$AL63,$B$18)</f>
        <v>2.44</v>
      </c>
      <c r="J63" s="95">
        <f t="shared" ca="1" si="4"/>
        <v>0</v>
      </c>
      <c r="K63" s="97">
        <f t="shared" ref="K63:K94" ca="1" si="66">IF(J$28="NYMEX",$AD63,$AC63)</f>
        <v>994</v>
      </c>
      <c r="L63" s="172" t="e">
        <f t="shared" ref="L63:L94" ca="1" si="67">($C63+M63)+D$15</f>
        <v>#DIV/0!</v>
      </c>
      <c r="M63" s="77" t="e">
        <f ca="1">IF(D$16=1,_xll.xCalcSkew($A63,N63-AW63,b)/100,0)</f>
        <v>#DIV/0!</v>
      </c>
      <c r="N63" s="96">
        <f t="shared" ref="N63:N94" ca="1" si="68">IF($D$19=4,$AW63,$D$18)</f>
        <v>2.44</v>
      </c>
      <c r="P63" s="95">
        <f t="shared" ca="1" si="8"/>
        <v>0</v>
      </c>
      <c r="Q63" s="97">
        <f t="shared" ref="Q63:Q94" ca="1" si="69">IF(P$28="NYMEX",$AD63,$AC63)</f>
        <v>994</v>
      </c>
      <c r="R63" s="172" t="e">
        <f t="shared" ref="R63:R94" ca="1" si="70">($C63+S63)+F$15</f>
        <v>#DIV/0!</v>
      </c>
      <c r="S63" s="77" t="e">
        <f ca="1">IF(F$16=1,_xll.xCalcSkew($A63,T63-BH63,b)/100,0)</f>
        <v>#DIV/0!</v>
      </c>
      <c r="T63" s="96">
        <f t="shared" ref="T63:T94" ca="1" si="71">IF($F$19=4,$BH63,$F$18)</f>
        <v>2.44</v>
      </c>
      <c r="V63" s="95">
        <f t="shared" ca="1" si="12"/>
        <v>0</v>
      </c>
      <c r="W63" s="97">
        <f t="shared" ref="W63:W94" ca="1" si="72">IF(V$28="NYMEX",$AD63,$AC63)</f>
        <v>994</v>
      </c>
      <c r="X63" s="77" t="e">
        <f t="shared" ref="X63:X94" ca="1" si="73">($C63+Y63)+H$15</f>
        <v>#DIV/0!</v>
      </c>
      <c r="Y63" s="77" t="e">
        <f ca="1">IF(H$16=1,_xll.xCalcSkew($A63,Z63-BS63,b)/100,0)</f>
        <v>#DIV/0!</v>
      </c>
      <c r="Z63" s="96">
        <f t="shared" ref="Z63:Z94" ca="1" si="74">IF($H$19=4,$BS63,$H$18)</f>
        <v>2.44</v>
      </c>
      <c r="AC63" s="97">
        <f t="shared" ca="1" si="16"/>
        <v>995</v>
      </c>
      <c r="AD63" s="97">
        <f t="shared" ca="1" si="17"/>
        <v>994</v>
      </c>
      <c r="AE63" s="77">
        <f t="shared" ca="1" si="46"/>
        <v>4.0386750778223797E-2</v>
      </c>
      <c r="AF63" s="152">
        <f t="shared" ref="AF63:AF94" si="75">A64-A63</f>
        <v>31</v>
      </c>
      <c r="AG63" s="99"/>
      <c r="AH63" s="99"/>
      <c r="AI63" s="99"/>
      <c r="AJ63" s="99"/>
      <c r="AK63" s="78">
        <f t="shared" ref="AK63:AK94" ca="1" si="76">IF($A63&gt;=AL$25,IF($A63&lt;=AL$26,$AF63,0),0)</f>
        <v>0</v>
      </c>
      <c r="AL63" s="288" t="e">
        <f t="shared" ca="1" si="47"/>
        <v>#DIV/0!</v>
      </c>
      <c r="AM63" s="75">
        <f t="shared" ref="AM63:AM94" ca="1" si="77">AK63*($B63+B$13)</f>
        <v>0</v>
      </c>
      <c r="AN63" s="100">
        <f t="shared" ref="AN63:AN94" ca="1" si="78">IF(ISNUMBER(((AM63/AK63)+B$14+$D63)*AK63),((AM63/AK63)+B$14+$D63)*AK63,0)</f>
        <v>0</v>
      </c>
      <c r="AO63" s="99">
        <f t="shared" ref="AO63:AO94" ca="1" si="79">IF(AK63=0,0,bsd(1,AP$27,AL63,$H63,$E63,$F63,$AE63,0.1))</f>
        <v>0</v>
      </c>
      <c r="AP63" s="99">
        <f t="shared" ref="AP63:AP94" ca="1" si="80">IF(AK63=0,0,bsd(2,AP$27,AL63,$H63,$E63,$F63,$AE63,0.1))</f>
        <v>0</v>
      </c>
      <c r="AQ63" s="99">
        <f t="shared" ref="AQ63:AQ94" ca="1" si="81">IF(AK63=0,0,bsd(AP$28,AP$27,AL63,$H63,$E63,$F63,$AE63,0.1))</f>
        <v>0</v>
      </c>
      <c r="AR63" s="101">
        <f t="shared" ca="1" si="48"/>
        <v>0</v>
      </c>
      <c r="AS63" s="101">
        <f t="shared" ca="1" si="49"/>
        <v>0</v>
      </c>
      <c r="AT63" s="101">
        <f t="shared" ca="1" si="50"/>
        <v>0</v>
      </c>
      <c r="AV63" s="78">
        <f t="shared" ref="AV63:AV94" ca="1" si="82">IF($A63&gt;=AW$25,IF($A63&lt;=AW$26,$AF63,0),0)</f>
        <v>0</v>
      </c>
      <c r="AW63" s="288" t="e">
        <f t="shared" ca="1" si="51"/>
        <v>#DIV/0!</v>
      </c>
      <c r="AX63" s="75">
        <f t="shared" ref="AX63:AX94" ca="1" si="83">AV63*($B63+D$13)</f>
        <v>0</v>
      </c>
      <c r="AY63" s="100">
        <f t="shared" ref="AY63:AY94" ca="1" si="84">IF(ISNUMBER(((AX63/AV63)+D$14+$J63)*AV63),((AX63/AV63)+D$14+$J63)*AV63,0)</f>
        <v>0</v>
      </c>
      <c r="AZ63" s="99">
        <f t="shared" ref="AZ63:AZ94" ca="1" si="85">IF(AV63=0,0,bsd(1,BA$27,AW63,$N63,$K63,$L63,$AE63,0.1))</f>
        <v>0</v>
      </c>
      <c r="BA63" s="99">
        <f t="shared" ref="BA63:BA94" ca="1" si="86">IF(AV63=0,0,bsd(2,BA$27,AW63,$N63,$K63,$L63,$AE63,0.1))</f>
        <v>0</v>
      </c>
      <c r="BB63" s="99">
        <f t="shared" ref="BB63:BB94" ca="1" si="87">IF(AV63=0,0,bsd(BA$28,BA$27,AW63,$N63,$K63,$L63,$AE63,0.1))</f>
        <v>0</v>
      </c>
      <c r="BC63" s="101">
        <f t="shared" ca="1" si="52"/>
        <v>0</v>
      </c>
      <c r="BD63" s="101">
        <f t="shared" ca="1" si="53"/>
        <v>0</v>
      </c>
      <c r="BE63" s="101">
        <f t="shared" ca="1" si="54"/>
        <v>0</v>
      </c>
      <c r="BG63" s="78">
        <f t="shared" ref="BG63:BG94" ca="1" si="88">IF($A63&gt;=BH$25,IF($A63&lt;=BH$26,$AF63,0),0)</f>
        <v>0</v>
      </c>
      <c r="BH63" s="288" t="e">
        <f t="shared" ca="1" si="55"/>
        <v>#DIV/0!</v>
      </c>
      <c r="BI63" s="75">
        <f t="shared" ref="BI63:BI94" ca="1" si="89">BG63*($B63+F$13)</f>
        <v>0</v>
      </c>
      <c r="BJ63" s="100">
        <f t="shared" ref="BJ63:BJ94" ca="1" si="90">IF(ISNUMBER(((BI63/BG63)+F$14+$P63)*BG63),((BI63/BG63)+F$14+$P63)*BG63,0)</f>
        <v>0</v>
      </c>
      <c r="BK63" s="99">
        <f t="shared" ref="BK63:BK94" ca="1" si="91">IF(BG63=0,0,bsd(1,BL$27,BH63,$T63,$Q63,$R63,$AE63,0.1))</f>
        <v>0</v>
      </c>
      <c r="BL63" s="99">
        <f t="shared" ref="BL63:BL94" ca="1" si="92">IF(BG63=0,0,bsd(2,BL$27,BH63,$T63,$Q63,$R63,$AE63,0.1))</f>
        <v>0</v>
      </c>
      <c r="BM63" s="99">
        <f t="shared" ref="BM63:BM94" ca="1" si="93">IF(BG63=0,0,bsd(BL$28,BL$27,BH63,$T63,$Q63,$R63,$AE63,0.1))</f>
        <v>0</v>
      </c>
      <c r="BN63" s="101">
        <f t="shared" ca="1" si="56"/>
        <v>0</v>
      </c>
      <c r="BO63" s="101">
        <f t="shared" ca="1" si="57"/>
        <v>0</v>
      </c>
      <c r="BP63" s="101">
        <f t="shared" ca="1" si="58"/>
        <v>0</v>
      </c>
      <c r="BR63" s="78">
        <f t="shared" ref="BR63:BR94" ca="1" si="94">IF($A63&gt;=BS$25,IF($A63&lt;=BS$26,$AF63,0),0)</f>
        <v>0</v>
      </c>
      <c r="BS63" s="288" t="e">
        <f t="shared" ca="1" si="59"/>
        <v>#DIV/0!</v>
      </c>
      <c r="BT63" s="75">
        <f t="shared" ref="BT63:BT94" ca="1" si="95">BR63*($B63+H$13)</f>
        <v>0</v>
      </c>
      <c r="BU63" s="100">
        <f t="shared" ref="BU63:BU94" ca="1" si="96">IF(ISNUMBER(((BT63/BR63)+H$14+$V63)*BR63),((BT63/BR63)+H$14+$V63)*BR63,0)</f>
        <v>0</v>
      </c>
      <c r="BV63" s="99">
        <f t="shared" ref="BV63:BV94" ca="1" si="97">IF(BR63=0,0,bsd(1,BW$27,BS63,$Z63,$W63,$X63,$AE63,0.1))</f>
        <v>0</v>
      </c>
      <c r="BW63" s="99">
        <f t="shared" ref="BW63:BW94" ca="1" si="98">IF(BR63=0,0,bsd(2,BW$27,BS63,$Z63,$W63,$X63,$AE63,0.1))</f>
        <v>0</v>
      </c>
      <c r="BX63" s="99">
        <f t="shared" ref="BX63:BX94" ca="1" si="99">IF(BR63=0,0,bsd(BW$28,BW$27,BS63,$Z63,$W63,$X63,$AE63,0.1))</f>
        <v>0</v>
      </c>
      <c r="BY63" s="101">
        <f t="shared" ca="1" si="60"/>
        <v>0</v>
      </c>
      <c r="BZ63" s="101">
        <f t="shared" ca="1" si="61"/>
        <v>0</v>
      </c>
      <c r="CA63" s="101">
        <f t="shared" ca="1" si="62"/>
        <v>0</v>
      </c>
    </row>
    <row r="64" spans="1:79" x14ac:dyDescent="0.25">
      <c r="A64" s="94">
        <f t="shared" si="43"/>
        <v>38292</v>
      </c>
      <c r="B64" s="95">
        <f t="shared" ca="1" si="44"/>
        <v>3.3580000000000001</v>
      </c>
      <c r="C64" s="77">
        <f t="shared" ca="1" si="45"/>
        <v>7.005268807315887E-2</v>
      </c>
      <c r="D64" s="95">
        <f t="shared" ca="1" si="0"/>
        <v>0</v>
      </c>
      <c r="E64" s="97">
        <f t="shared" ca="1" si="63"/>
        <v>1023</v>
      </c>
      <c r="F64" s="77" t="e">
        <f t="shared" ca="1" si="64"/>
        <v>#DIV/0!</v>
      </c>
      <c r="G64" s="77" t="e">
        <f ca="1">IF(B$16=1,_xll.xCalcSkew(A64,H64-AL64,b)/100,0)</f>
        <v>#DIV/0!</v>
      </c>
      <c r="H64" s="96">
        <f t="shared" ca="1" si="65"/>
        <v>2.44</v>
      </c>
      <c r="J64" s="95">
        <f t="shared" ca="1" si="4"/>
        <v>0</v>
      </c>
      <c r="K64" s="97">
        <f t="shared" ca="1" si="66"/>
        <v>1023</v>
      </c>
      <c r="L64" s="172" t="e">
        <f t="shared" ca="1" si="67"/>
        <v>#DIV/0!</v>
      </c>
      <c r="M64" s="77" t="e">
        <f ca="1">IF(D$16=1,_xll.xCalcSkew($A64,N64-AW64,b)/100,0)</f>
        <v>#DIV/0!</v>
      </c>
      <c r="N64" s="96">
        <f t="shared" ca="1" si="68"/>
        <v>2.44</v>
      </c>
      <c r="P64" s="95">
        <f t="shared" ca="1" si="8"/>
        <v>0</v>
      </c>
      <c r="Q64" s="97">
        <f t="shared" ca="1" si="69"/>
        <v>1023</v>
      </c>
      <c r="R64" s="172" t="e">
        <f t="shared" ca="1" si="70"/>
        <v>#DIV/0!</v>
      </c>
      <c r="S64" s="77" t="e">
        <f ca="1">IF(F$16=1,_xll.xCalcSkew($A64,T64-BH64,b)/100,0)</f>
        <v>#DIV/0!</v>
      </c>
      <c r="T64" s="96">
        <f t="shared" ca="1" si="71"/>
        <v>2.44</v>
      </c>
      <c r="V64" s="95">
        <f t="shared" ca="1" si="12"/>
        <v>0</v>
      </c>
      <c r="W64" s="97">
        <f t="shared" ca="1" si="72"/>
        <v>1023</v>
      </c>
      <c r="X64" s="77" t="e">
        <f t="shared" ca="1" si="73"/>
        <v>#DIV/0!</v>
      </c>
      <c r="Y64" s="77" t="e">
        <f ca="1">IF(H$16=1,_xll.xCalcSkew($A64,Z64-BS64,b)/100,0)</f>
        <v>#DIV/0!</v>
      </c>
      <c r="Z64" s="96">
        <f t="shared" ca="1" si="74"/>
        <v>2.44</v>
      </c>
      <c r="AC64" s="97">
        <f t="shared" ca="1" si="16"/>
        <v>1024</v>
      </c>
      <c r="AD64" s="97">
        <f t="shared" ca="1" si="17"/>
        <v>1023</v>
      </c>
      <c r="AE64" s="77">
        <f t="shared" ca="1" si="46"/>
        <v>4.0975446534947203E-2</v>
      </c>
      <c r="AF64" s="152">
        <f t="shared" si="75"/>
        <v>30</v>
      </c>
      <c r="AG64" s="99"/>
      <c r="AH64" s="99"/>
      <c r="AI64" s="99"/>
      <c r="AJ64" s="99"/>
      <c r="AK64" s="78">
        <f t="shared" ca="1" si="76"/>
        <v>0</v>
      </c>
      <c r="AL64" s="288" t="e">
        <f t="shared" ca="1" si="47"/>
        <v>#DIV/0!</v>
      </c>
      <c r="AM64" s="75">
        <f t="shared" ca="1" si="77"/>
        <v>0</v>
      </c>
      <c r="AN64" s="100">
        <f t="shared" ca="1" si="78"/>
        <v>0</v>
      </c>
      <c r="AO64" s="99">
        <f t="shared" ca="1" si="79"/>
        <v>0</v>
      </c>
      <c r="AP64" s="99">
        <f t="shared" ca="1" si="80"/>
        <v>0</v>
      </c>
      <c r="AQ64" s="99">
        <f t="shared" ca="1" si="81"/>
        <v>0</v>
      </c>
      <c r="AR64" s="101">
        <f t="shared" ca="1" si="48"/>
        <v>0</v>
      </c>
      <c r="AS64" s="101">
        <f t="shared" ca="1" si="49"/>
        <v>0</v>
      </c>
      <c r="AT64" s="101">
        <f t="shared" ca="1" si="50"/>
        <v>0</v>
      </c>
      <c r="AV64" s="78">
        <f t="shared" ca="1" si="82"/>
        <v>0</v>
      </c>
      <c r="AW64" s="288" t="e">
        <f t="shared" ca="1" si="51"/>
        <v>#DIV/0!</v>
      </c>
      <c r="AX64" s="75">
        <f t="shared" ca="1" si="83"/>
        <v>0</v>
      </c>
      <c r="AY64" s="100">
        <f t="shared" ca="1" si="84"/>
        <v>0</v>
      </c>
      <c r="AZ64" s="99">
        <f t="shared" ca="1" si="85"/>
        <v>0</v>
      </c>
      <c r="BA64" s="99">
        <f t="shared" ca="1" si="86"/>
        <v>0</v>
      </c>
      <c r="BB64" s="99">
        <f t="shared" ca="1" si="87"/>
        <v>0</v>
      </c>
      <c r="BC64" s="101">
        <f t="shared" ca="1" si="52"/>
        <v>0</v>
      </c>
      <c r="BD64" s="101">
        <f t="shared" ca="1" si="53"/>
        <v>0</v>
      </c>
      <c r="BE64" s="101">
        <f t="shared" ca="1" si="54"/>
        <v>0</v>
      </c>
      <c r="BG64" s="78">
        <f t="shared" ca="1" si="88"/>
        <v>0</v>
      </c>
      <c r="BH64" s="288" t="e">
        <f t="shared" ca="1" si="55"/>
        <v>#DIV/0!</v>
      </c>
      <c r="BI64" s="75">
        <f t="shared" ca="1" si="89"/>
        <v>0</v>
      </c>
      <c r="BJ64" s="100">
        <f t="shared" ca="1" si="90"/>
        <v>0</v>
      </c>
      <c r="BK64" s="99">
        <f t="shared" ca="1" si="91"/>
        <v>0</v>
      </c>
      <c r="BL64" s="99">
        <f t="shared" ca="1" si="92"/>
        <v>0</v>
      </c>
      <c r="BM64" s="99">
        <f t="shared" ca="1" si="93"/>
        <v>0</v>
      </c>
      <c r="BN64" s="101">
        <f t="shared" ca="1" si="56"/>
        <v>0</v>
      </c>
      <c r="BO64" s="101">
        <f t="shared" ca="1" si="57"/>
        <v>0</v>
      </c>
      <c r="BP64" s="101">
        <f t="shared" ca="1" si="58"/>
        <v>0</v>
      </c>
      <c r="BR64" s="78">
        <f t="shared" ca="1" si="94"/>
        <v>0</v>
      </c>
      <c r="BS64" s="288" t="e">
        <f t="shared" ca="1" si="59"/>
        <v>#DIV/0!</v>
      </c>
      <c r="BT64" s="75">
        <f t="shared" ca="1" si="95"/>
        <v>0</v>
      </c>
      <c r="BU64" s="100">
        <f t="shared" ca="1" si="96"/>
        <v>0</v>
      </c>
      <c r="BV64" s="99">
        <f t="shared" ca="1" si="97"/>
        <v>0</v>
      </c>
      <c r="BW64" s="99">
        <f t="shared" ca="1" si="98"/>
        <v>0</v>
      </c>
      <c r="BX64" s="99">
        <f t="shared" ca="1" si="99"/>
        <v>0</v>
      </c>
      <c r="BY64" s="101">
        <f t="shared" ca="1" si="60"/>
        <v>0</v>
      </c>
      <c r="BZ64" s="101">
        <f t="shared" ca="1" si="61"/>
        <v>0</v>
      </c>
      <c r="CA64" s="101">
        <f t="shared" ca="1" si="62"/>
        <v>0</v>
      </c>
    </row>
    <row r="65" spans="1:79" x14ac:dyDescent="0.25">
      <c r="A65" s="94">
        <f t="shared" si="43"/>
        <v>38322</v>
      </c>
      <c r="B65" s="95">
        <f t="shared" ca="1" si="44"/>
        <v>3.444</v>
      </c>
      <c r="C65" s="77">
        <f t="shared" ca="1" si="45"/>
        <v>6.7684556707919813E-2</v>
      </c>
      <c r="D65" s="95">
        <f t="shared" ca="1" si="0"/>
        <v>0</v>
      </c>
      <c r="E65" s="97">
        <f t="shared" ca="1" si="63"/>
        <v>1052</v>
      </c>
      <c r="F65" s="77" t="e">
        <f t="shared" ca="1" si="64"/>
        <v>#DIV/0!</v>
      </c>
      <c r="G65" s="77" t="e">
        <f ca="1">IF(B$16=1,_xll.xCalcSkew(A65,H65-AL65,b)/100,0)</f>
        <v>#DIV/0!</v>
      </c>
      <c r="H65" s="96">
        <f t="shared" ca="1" si="65"/>
        <v>2.44</v>
      </c>
      <c r="J65" s="95">
        <f t="shared" ca="1" si="4"/>
        <v>0</v>
      </c>
      <c r="K65" s="97">
        <f t="shared" ca="1" si="66"/>
        <v>1052</v>
      </c>
      <c r="L65" s="172" t="e">
        <f t="shared" ca="1" si="67"/>
        <v>#DIV/0!</v>
      </c>
      <c r="M65" s="77" t="e">
        <f ca="1">IF(D$16=1,_xll.xCalcSkew($A65,N65-AW65,b)/100,0)</f>
        <v>#DIV/0!</v>
      </c>
      <c r="N65" s="96">
        <f t="shared" ca="1" si="68"/>
        <v>2.44</v>
      </c>
      <c r="P65" s="95">
        <f t="shared" ca="1" si="8"/>
        <v>0</v>
      </c>
      <c r="Q65" s="97">
        <f t="shared" ca="1" si="69"/>
        <v>1052</v>
      </c>
      <c r="R65" s="172" t="e">
        <f t="shared" ca="1" si="70"/>
        <v>#DIV/0!</v>
      </c>
      <c r="S65" s="77" t="e">
        <f ca="1">IF(F$16=1,_xll.xCalcSkew($A65,T65-BH65,b)/100,0)</f>
        <v>#DIV/0!</v>
      </c>
      <c r="T65" s="96">
        <f t="shared" ca="1" si="71"/>
        <v>2.44</v>
      </c>
      <c r="V65" s="95">
        <f t="shared" ca="1" si="12"/>
        <v>0</v>
      </c>
      <c r="W65" s="97">
        <f t="shared" ca="1" si="72"/>
        <v>1052</v>
      </c>
      <c r="X65" s="77" t="e">
        <f t="shared" ca="1" si="73"/>
        <v>#DIV/0!</v>
      </c>
      <c r="Y65" s="77" t="e">
        <f ca="1">IF(H$16=1,_xll.xCalcSkew($A65,Z65-BS65,b)/100,0)</f>
        <v>#DIV/0!</v>
      </c>
      <c r="Z65" s="96">
        <f t="shared" ca="1" si="74"/>
        <v>2.44</v>
      </c>
      <c r="AC65" s="97">
        <f t="shared" ca="1" si="16"/>
        <v>1054</v>
      </c>
      <c r="AD65" s="97">
        <f t="shared" ca="1" si="17"/>
        <v>1052</v>
      </c>
      <c r="AE65" s="77">
        <f t="shared" ca="1" si="46"/>
        <v>4.1550342233317203E-2</v>
      </c>
      <c r="AF65" s="152">
        <f t="shared" si="75"/>
        <v>31</v>
      </c>
      <c r="AG65" s="99"/>
      <c r="AH65" s="99"/>
      <c r="AI65" s="99"/>
      <c r="AJ65" s="99"/>
      <c r="AK65" s="78">
        <f t="shared" ca="1" si="76"/>
        <v>0</v>
      </c>
      <c r="AL65" s="288" t="e">
        <f t="shared" ca="1" si="47"/>
        <v>#DIV/0!</v>
      </c>
      <c r="AM65" s="75">
        <f t="shared" ca="1" si="77"/>
        <v>0</v>
      </c>
      <c r="AN65" s="100">
        <f t="shared" ca="1" si="78"/>
        <v>0</v>
      </c>
      <c r="AO65" s="99">
        <f t="shared" ca="1" si="79"/>
        <v>0</v>
      </c>
      <c r="AP65" s="99">
        <f t="shared" ca="1" si="80"/>
        <v>0</v>
      </c>
      <c r="AQ65" s="99">
        <f t="shared" ca="1" si="81"/>
        <v>0</v>
      </c>
      <c r="AR65" s="101">
        <f t="shared" ca="1" si="48"/>
        <v>0</v>
      </c>
      <c r="AS65" s="101">
        <f t="shared" ca="1" si="49"/>
        <v>0</v>
      </c>
      <c r="AT65" s="101">
        <f t="shared" ca="1" si="50"/>
        <v>0</v>
      </c>
      <c r="AV65" s="78">
        <f t="shared" ca="1" si="82"/>
        <v>0</v>
      </c>
      <c r="AW65" s="288" t="e">
        <f t="shared" ca="1" si="51"/>
        <v>#DIV/0!</v>
      </c>
      <c r="AX65" s="75">
        <f t="shared" ca="1" si="83"/>
        <v>0</v>
      </c>
      <c r="AY65" s="100">
        <f t="shared" ca="1" si="84"/>
        <v>0</v>
      </c>
      <c r="AZ65" s="99">
        <f t="shared" ca="1" si="85"/>
        <v>0</v>
      </c>
      <c r="BA65" s="99">
        <f t="shared" ca="1" si="86"/>
        <v>0</v>
      </c>
      <c r="BB65" s="99">
        <f t="shared" ca="1" si="87"/>
        <v>0</v>
      </c>
      <c r="BC65" s="101">
        <f t="shared" ca="1" si="52"/>
        <v>0</v>
      </c>
      <c r="BD65" s="101">
        <f t="shared" ca="1" si="53"/>
        <v>0</v>
      </c>
      <c r="BE65" s="101">
        <f t="shared" ca="1" si="54"/>
        <v>0</v>
      </c>
      <c r="BG65" s="78">
        <f t="shared" ca="1" si="88"/>
        <v>0</v>
      </c>
      <c r="BH65" s="288" t="e">
        <f t="shared" ca="1" si="55"/>
        <v>#DIV/0!</v>
      </c>
      <c r="BI65" s="75">
        <f t="shared" ca="1" si="89"/>
        <v>0</v>
      </c>
      <c r="BJ65" s="100">
        <f t="shared" ca="1" si="90"/>
        <v>0</v>
      </c>
      <c r="BK65" s="99">
        <f t="shared" ca="1" si="91"/>
        <v>0</v>
      </c>
      <c r="BL65" s="99">
        <f t="shared" ca="1" si="92"/>
        <v>0</v>
      </c>
      <c r="BM65" s="99">
        <f t="shared" ca="1" si="93"/>
        <v>0</v>
      </c>
      <c r="BN65" s="101">
        <f t="shared" ca="1" si="56"/>
        <v>0</v>
      </c>
      <c r="BO65" s="101">
        <f t="shared" ca="1" si="57"/>
        <v>0</v>
      </c>
      <c r="BP65" s="101">
        <f t="shared" ca="1" si="58"/>
        <v>0</v>
      </c>
      <c r="BR65" s="78">
        <f t="shared" ca="1" si="94"/>
        <v>0</v>
      </c>
      <c r="BS65" s="288" t="e">
        <f t="shared" ca="1" si="59"/>
        <v>#DIV/0!</v>
      </c>
      <c r="BT65" s="75">
        <f t="shared" ca="1" si="95"/>
        <v>0</v>
      </c>
      <c r="BU65" s="100">
        <f t="shared" ca="1" si="96"/>
        <v>0</v>
      </c>
      <c r="BV65" s="99">
        <f t="shared" ca="1" si="97"/>
        <v>0</v>
      </c>
      <c r="BW65" s="99">
        <f t="shared" ca="1" si="98"/>
        <v>0</v>
      </c>
      <c r="BX65" s="99">
        <f t="shared" ca="1" si="99"/>
        <v>0</v>
      </c>
      <c r="BY65" s="101">
        <f t="shared" ca="1" si="60"/>
        <v>0</v>
      </c>
      <c r="BZ65" s="101">
        <f t="shared" ca="1" si="61"/>
        <v>0</v>
      </c>
      <c r="CA65" s="101">
        <f t="shared" ca="1" si="62"/>
        <v>0</v>
      </c>
    </row>
    <row r="66" spans="1:79" x14ac:dyDescent="0.25">
      <c r="A66" s="94">
        <f t="shared" si="43"/>
        <v>38353</v>
      </c>
      <c r="B66" s="95">
        <f t="shared" ca="1" si="44"/>
        <v>3.4990000000000001</v>
      </c>
      <c r="C66" s="77">
        <f t="shared" ca="1" si="45"/>
        <v>6.5953778842187907E-2</v>
      </c>
      <c r="D66" s="95">
        <f t="shared" ca="1" si="0"/>
        <v>0</v>
      </c>
      <c r="E66" s="97">
        <f t="shared" ca="1" si="63"/>
        <v>1085</v>
      </c>
      <c r="F66" s="77" t="e">
        <f t="shared" ca="1" si="64"/>
        <v>#DIV/0!</v>
      </c>
      <c r="G66" s="77" t="e">
        <f ca="1">IF(B$16=1,_xll.xCalcSkew(A66,H66-AL66,b)/100,0)</f>
        <v>#DIV/0!</v>
      </c>
      <c r="H66" s="96">
        <f t="shared" ca="1" si="65"/>
        <v>2.44</v>
      </c>
      <c r="J66" s="95">
        <f t="shared" ca="1" si="4"/>
        <v>0</v>
      </c>
      <c r="K66" s="97">
        <f t="shared" ca="1" si="66"/>
        <v>1085</v>
      </c>
      <c r="L66" s="172" t="e">
        <f t="shared" ca="1" si="67"/>
        <v>#DIV/0!</v>
      </c>
      <c r="M66" s="77" t="e">
        <f ca="1">IF(D$16=1,_xll.xCalcSkew($A66,N66-AW66,b)/100,0)</f>
        <v>#DIV/0!</v>
      </c>
      <c r="N66" s="96">
        <f t="shared" ca="1" si="68"/>
        <v>2.44</v>
      </c>
      <c r="P66" s="95">
        <f t="shared" ca="1" si="8"/>
        <v>0</v>
      </c>
      <c r="Q66" s="97">
        <f t="shared" ca="1" si="69"/>
        <v>1085</v>
      </c>
      <c r="R66" s="172" t="e">
        <f t="shared" ca="1" si="70"/>
        <v>#DIV/0!</v>
      </c>
      <c r="S66" s="77" t="e">
        <f ca="1">IF(F$16=1,_xll.xCalcSkew($A66,T66-BH66,b)/100,0)</f>
        <v>#DIV/0!</v>
      </c>
      <c r="T66" s="96">
        <f t="shared" ca="1" si="71"/>
        <v>2.44</v>
      </c>
      <c r="V66" s="95">
        <f t="shared" ca="1" si="12"/>
        <v>0</v>
      </c>
      <c r="W66" s="97">
        <f t="shared" ca="1" si="72"/>
        <v>1085</v>
      </c>
      <c r="X66" s="77" t="e">
        <f t="shared" ca="1" si="73"/>
        <v>#DIV/0!</v>
      </c>
      <c r="Y66" s="77" t="e">
        <f ca="1">IF(H$16=1,_xll.xCalcSkew($A66,Z66-BS66,b)/100,0)</f>
        <v>#DIV/0!</v>
      </c>
      <c r="Z66" s="96">
        <f t="shared" ca="1" si="74"/>
        <v>2.44</v>
      </c>
      <c r="AC66" s="97">
        <f t="shared" ca="1" si="16"/>
        <v>1086</v>
      </c>
      <c r="AD66" s="97">
        <f t="shared" ca="1" si="17"/>
        <v>1085</v>
      </c>
      <c r="AE66" s="77">
        <f t="shared" ca="1" si="46"/>
        <v>4.2106693014662501E-2</v>
      </c>
      <c r="AF66" s="152">
        <f t="shared" si="75"/>
        <v>31</v>
      </c>
      <c r="AG66" s="99"/>
      <c r="AH66" s="99"/>
      <c r="AI66" s="99"/>
      <c r="AJ66" s="99"/>
      <c r="AK66" s="78">
        <f t="shared" ca="1" si="76"/>
        <v>0</v>
      </c>
      <c r="AL66" s="288" t="e">
        <f t="shared" ca="1" si="47"/>
        <v>#DIV/0!</v>
      </c>
      <c r="AM66" s="75">
        <f t="shared" ca="1" si="77"/>
        <v>0</v>
      </c>
      <c r="AN66" s="100">
        <f t="shared" ca="1" si="78"/>
        <v>0</v>
      </c>
      <c r="AO66" s="99">
        <f t="shared" ca="1" si="79"/>
        <v>0</v>
      </c>
      <c r="AP66" s="99">
        <f t="shared" ca="1" si="80"/>
        <v>0</v>
      </c>
      <c r="AQ66" s="99">
        <f t="shared" ca="1" si="81"/>
        <v>0</v>
      </c>
      <c r="AR66" s="101">
        <f t="shared" ca="1" si="48"/>
        <v>0</v>
      </c>
      <c r="AS66" s="101">
        <f t="shared" ca="1" si="49"/>
        <v>0</v>
      </c>
      <c r="AT66" s="101">
        <f t="shared" ca="1" si="50"/>
        <v>0</v>
      </c>
      <c r="AV66" s="78">
        <f t="shared" ca="1" si="82"/>
        <v>0</v>
      </c>
      <c r="AW66" s="288" t="e">
        <f t="shared" ca="1" si="51"/>
        <v>#DIV/0!</v>
      </c>
      <c r="AX66" s="75">
        <f t="shared" ca="1" si="83"/>
        <v>0</v>
      </c>
      <c r="AY66" s="100">
        <f t="shared" ca="1" si="84"/>
        <v>0</v>
      </c>
      <c r="AZ66" s="99">
        <f t="shared" ca="1" si="85"/>
        <v>0</v>
      </c>
      <c r="BA66" s="99">
        <f t="shared" ca="1" si="86"/>
        <v>0</v>
      </c>
      <c r="BB66" s="99">
        <f t="shared" ca="1" si="87"/>
        <v>0</v>
      </c>
      <c r="BC66" s="101">
        <f t="shared" ca="1" si="52"/>
        <v>0</v>
      </c>
      <c r="BD66" s="101">
        <f t="shared" ca="1" si="53"/>
        <v>0</v>
      </c>
      <c r="BE66" s="101">
        <f t="shared" ca="1" si="54"/>
        <v>0</v>
      </c>
      <c r="BG66" s="78">
        <f t="shared" ca="1" si="88"/>
        <v>0</v>
      </c>
      <c r="BH66" s="288" t="e">
        <f t="shared" ca="1" si="55"/>
        <v>#DIV/0!</v>
      </c>
      <c r="BI66" s="75">
        <f t="shared" ca="1" si="89"/>
        <v>0</v>
      </c>
      <c r="BJ66" s="100">
        <f t="shared" ca="1" si="90"/>
        <v>0</v>
      </c>
      <c r="BK66" s="99">
        <f t="shared" ca="1" si="91"/>
        <v>0</v>
      </c>
      <c r="BL66" s="99">
        <f t="shared" ca="1" si="92"/>
        <v>0</v>
      </c>
      <c r="BM66" s="99">
        <f t="shared" ca="1" si="93"/>
        <v>0</v>
      </c>
      <c r="BN66" s="101">
        <f t="shared" ca="1" si="56"/>
        <v>0</v>
      </c>
      <c r="BO66" s="101">
        <f t="shared" ca="1" si="57"/>
        <v>0</v>
      </c>
      <c r="BP66" s="101">
        <f t="shared" ca="1" si="58"/>
        <v>0</v>
      </c>
      <c r="BR66" s="78">
        <f t="shared" ca="1" si="94"/>
        <v>0</v>
      </c>
      <c r="BS66" s="288" t="e">
        <f t="shared" ca="1" si="59"/>
        <v>#DIV/0!</v>
      </c>
      <c r="BT66" s="75">
        <f t="shared" ca="1" si="95"/>
        <v>0</v>
      </c>
      <c r="BU66" s="100">
        <f t="shared" ca="1" si="96"/>
        <v>0</v>
      </c>
      <c r="BV66" s="99">
        <f t="shared" ca="1" si="97"/>
        <v>0</v>
      </c>
      <c r="BW66" s="99">
        <f t="shared" ca="1" si="98"/>
        <v>0</v>
      </c>
      <c r="BX66" s="99">
        <f t="shared" ca="1" si="99"/>
        <v>0</v>
      </c>
      <c r="BY66" s="101">
        <f t="shared" ca="1" si="60"/>
        <v>0</v>
      </c>
      <c r="BZ66" s="101">
        <f t="shared" ca="1" si="61"/>
        <v>0</v>
      </c>
      <c r="CA66" s="101">
        <f t="shared" ca="1" si="62"/>
        <v>0</v>
      </c>
    </row>
    <row r="67" spans="1:79" x14ac:dyDescent="0.25">
      <c r="A67" s="94">
        <f t="shared" si="43"/>
        <v>38384</v>
      </c>
      <c r="B67" s="95">
        <f t="shared" ca="1" si="44"/>
        <v>3.351</v>
      </c>
      <c r="C67" s="77">
        <f t="shared" ca="1" si="45"/>
        <v>6.8287755808693909E-2</v>
      </c>
      <c r="D67" s="95">
        <f t="shared" ca="1" si="0"/>
        <v>0</v>
      </c>
      <c r="E67" s="97">
        <f t="shared" ca="1" si="63"/>
        <v>1115</v>
      </c>
      <c r="F67" s="77" t="e">
        <f t="shared" ca="1" si="64"/>
        <v>#DIV/0!</v>
      </c>
      <c r="G67" s="77" t="e">
        <f ca="1">IF(B$16=1,_xll.xCalcSkew(A67,H67-AL67,b)/100,0)</f>
        <v>#DIV/0!</v>
      </c>
      <c r="H67" s="96">
        <f t="shared" ca="1" si="65"/>
        <v>2.44</v>
      </c>
      <c r="J67" s="95">
        <f t="shared" ca="1" si="4"/>
        <v>0</v>
      </c>
      <c r="K67" s="97">
        <f t="shared" ca="1" si="66"/>
        <v>1115</v>
      </c>
      <c r="L67" s="172" t="e">
        <f t="shared" ca="1" si="67"/>
        <v>#DIV/0!</v>
      </c>
      <c r="M67" s="77" t="e">
        <f ca="1">IF(D$16=1,_xll.xCalcSkew($A67,N67-AW67,b)/100,0)</f>
        <v>#DIV/0!</v>
      </c>
      <c r="N67" s="96">
        <f t="shared" ca="1" si="68"/>
        <v>2.44</v>
      </c>
      <c r="P67" s="95">
        <f t="shared" ca="1" si="8"/>
        <v>0</v>
      </c>
      <c r="Q67" s="97">
        <f t="shared" ca="1" si="69"/>
        <v>1115</v>
      </c>
      <c r="R67" s="172" t="e">
        <f t="shared" ca="1" si="70"/>
        <v>#DIV/0!</v>
      </c>
      <c r="S67" s="77" t="e">
        <f ca="1">IF(F$16=1,_xll.xCalcSkew($A67,T67-BH67,b)/100,0)</f>
        <v>#DIV/0!</v>
      </c>
      <c r="T67" s="96">
        <f t="shared" ca="1" si="71"/>
        <v>2.44</v>
      </c>
      <c r="V67" s="95">
        <f t="shared" ca="1" si="12"/>
        <v>0</v>
      </c>
      <c r="W67" s="97">
        <f t="shared" ca="1" si="72"/>
        <v>1115</v>
      </c>
      <c r="X67" s="77" t="e">
        <f t="shared" ca="1" si="73"/>
        <v>#DIV/0!</v>
      </c>
      <c r="Y67" s="77" t="e">
        <f ca="1">IF(H$16=1,_xll.xCalcSkew($A67,Z67-BS67,b)/100,0)</f>
        <v>#DIV/0!</v>
      </c>
      <c r="Z67" s="96">
        <f t="shared" ca="1" si="74"/>
        <v>2.44</v>
      </c>
      <c r="AC67" s="97">
        <f t="shared" ca="1" si="16"/>
        <v>1116</v>
      </c>
      <c r="AD67" s="97">
        <f t="shared" ca="1" si="17"/>
        <v>1115</v>
      </c>
      <c r="AE67" s="77">
        <f t="shared" ca="1" si="46"/>
        <v>4.26576899474638E-2</v>
      </c>
      <c r="AF67" s="152">
        <f t="shared" si="75"/>
        <v>28</v>
      </c>
      <c r="AG67" s="99"/>
      <c r="AH67" s="99"/>
      <c r="AI67" s="99"/>
      <c r="AJ67" s="99"/>
      <c r="AK67" s="78">
        <f t="shared" ca="1" si="76"/>
        <v>0</v>
      </c>
      <c r="AL67" s="288" t="e">
        <f t="shared" ca="1" si="47"/>
        <v>#DIV/0!</v>
      </c>
      <c r="AM67" s="75">
        <f t="shared" ca="1" si="77"/>
        <v>0</v>
      </c>
      <c r="AN67" s="100">
        <f t="shared" ca="1" si="78"/>
        <v>0</v>
      </c>
      <c r="AO67" s="99">
        <f t="shared" ca="1" si="79"/>
        <v>0</v>
      </c>
      <c r="AP67" s="99">
        <f t="shared" ca="1" si="80"/>
        <v>0</v>
      </c>
      <c r="AQ67" s="99">
        <f t="shared" ca="1" si="81"/>
        <v>0</v>
      </c>
      <c r="AR67" s="101">
        <f t="shared" ca="1" si="48"/>
        <v>0</v>
      </c>
      <c r="AS67" s="101">
        <f t="shared" ca="1" si="49"/>
        <v>0</v>
      </c>
      <c r="AT67" s="101">
        <f t="shared" ca="1" si="50"/>
        <v>0</v>
      </c>
      <c r="AV67" s="78">
        <f t="shared" ca="1" si="82"/>
        <v>0</v>
      </c>
      <c r="AW67" s="288" t="e">
        <f t="shared" ca="1" si="51"/>
        <v>#DIV/0!</v>
      </c>
      <c r="AX67" s="75">
        <f t="shared" ca="1" si="83"/>
        <v>0</v>
      </c>
      <c r="AY67" s="100">
        <f t="shared" ca="1" si="84"/>
        <v>0</v>
      </c>
      <c r="AZ67" s="99">
        <f t="shared" ca="1" si="85"/>
        <v>0</v>
      </c>
      <c r="BA67" s="99">
        <f t="shared" ca="1" si="86"/>
        <v>0</v>
      </c>
      <c r="BB67" s="99">
        <f t="shared" ca="1" si="87"/>
        <v>0</v>
      </c>
      <c r="BC67" s="101">
        <f t="shared" ca="1" si="52"/>
        <v>0</v>
      </c>
      <c r="BD67" s="101">
        <f t="shared" ca="1" si="53"/>
        <v>0</v>
      </c>
      <c r="BE67" s="101">
        <f t="shared" ca="1" si="54"/>
        <v>0</v>
      </c>
      <c r="BG67" s="78">
        <f t="shared" ca="1" si="88"/>
        <v>0</v>
      </c>
      <c r="BH67" s="288" t="e">
        <f t="shared" ca="1" si="55"/>
        <v>#DIV/0!</v>
      </c>
      <c r="BI67" s="75">
        <f t="shared" ca="1" si="89"/>
        <v>0</v>
      </c>
      <c r="BJ67" s="100">
        <f t="shared" ca="1" si="90"/>
        <v>0</v>
      </c>
      <c r="BK67" s="99">
        <f t="shared" ca="1" si="91"/>
        <v>0</v>
      </c>
      <c r="BL67" s="99">
        <f t="shared" ca="1" si="92"/>
        <v>0</v>
      </c>
      <c r="BM67" s="99">
        <f t="shared" ca="1" si="93"/>
        <v>0</v>
      </c>
      <c r="BN67" s="101">
        <f t="shared" ca="1" si="56"/>
        <v>0</v>
      </c>
      <c r="BO67" s="101">
        <f t="shared" ca="1" si="57"/>
        <v>0</v>
      </c>
      <c r="BP67" s="101">
        <f t="shared" ca="1" si="58"/>
        <v>0</v>
      </c>
      <c r="BR67" s="78">
        <f t="shared" ca="1" si="94"/>
        <v>0</v>
      </c>
      <c r="BS67" s="288" t="e">
        <f t="shared" ca="1" si="59"/>
        <v>#DIV/0!</v>
      </c>
      <c r="BT67" s="75">
        <f t="shared" ca="1" si="95"/>
        <v>0</v>
      </c>
      <c r="BU67" s="100">
        <f t="shared" ca="1" si="96"/>
        <v>0</v>
      </c>
      <c r="BV67" s="99">
        <f t="shared" ca="1" si="97"/>
        <v>0</v>
      </c>
      <c r="BW67" s="99">
        <f t="shared" ca="1" si="98"/>
        <v>0</v>
      </c>
      <c r="BX67" s="99">
        <f t="shared" ca="1" si="99"/>
        <v>0</v>
      </c>
      <c r="BY67" s="101">
        <f t="shared" ca="1" si="60"/>
        <v>0</v>
      </c>
      <c r="BZ67" s="101">
        <f t="shared" ca="1" si="61"/>
        <v>0</v>
      </c>
      <c r="CA67" s="101">
        <f t="shared" ca="1" si="62"/>
        <v>0</v>
      </c>
    </row>
    <row r="68" spans="1:79" x14ac:dyDescent="0.25">
      <c r="A68" s="94">
        <f t="shared" si="43"/>
        <v>38412</v>
      </c>
      <c r="B68" s="95">
        <f t="shared" ca="1" si="44"/>
        <v>3.3</v>
      </c>
      <c r="C68" s="77">
        <f t="shared" ca="1" si="45"/>
        <v>6.8829051159658927E-2</v>
      </c>
      <c r="D68" s="95">
        <f t="shared" ca="1" si="0"/>
        <v>0</v>
      </c>
      <c r="E68" s="97">
        <f t="shared" ca="1" si="63"/>
        <v>1143</v>
      </c>
      <c r="F68" s="77" t="e">
        <f t="shared" ca="1" si="64"/>
        <v>#DIV/0!</v>
      </c>
      <c r="G68" s="77" t="e">
        <f ca="1">IF(B$16=1,_xll.xCalcSkew(A68,H68-AL68,b)/100,0)</f>
        <v>#DIV/0!</v>
      </c>
      <c r="H68" s="96">
        <f t="shared" ca="1" si="65"/>
        <v>2.44</v>
      </c>
      <c r="J68" s="95">
        <f t="shared" ca="1" si="4"/>
        <v>0</v>
      </c>
      <c r="K68" s="97">
        <f t="shared" ca="1" si="66"/>
        <v>1143</v>
      </c>
      <c r="L68" s="172" t="e">
        <f t="shared" ca="1" si="67"/>
        <v>#DIV/0!</v>
      </c>
      <c r="M68" s="77" t="e">
        <f ca="1">IF(D$16=1,_xll.xCalcSkew($A68,N68-AW68,b)/100,0)</f>
        <v>#DIV/0!</v>
      </c>
      <c r="N68" s="96">
        <f t="shared" ca="1" si="68"/>
        <v>2.44</v>
      </c>
      <c r="P68" s="95">
        <f t="shared" ca="1" si="8"/>
        <v>0</v>
      </c>
      <c r="Q68" s="97">
        <f t="shared" ca="1" si="69"/>
        <v>1143</v>
      </c>
      <c r="R68" s="172" t="e">
        <f t="shared" ca="1" si="70"/>
        <v>#DIV/0!</v>
      </c>
      <c r="S68" s="77" t="e">
        <f ca="1">IF(F$16=1,_xll.xCalcSkew($A68,T68-BH68,b)/100,0)</f>
        <v>#DIV/0!</v>
      </c>
      <c r="T68" s="96">
        <f t="shared" ca="1" si="71"/>
        <v>2.44</v>
      </c>
      <c r="V68" s="95">
        <f t="shared" ca="1" si="12"/>
        <v>0</v>
      </c>
      <c r="W68" s="97">
        <f t="shared" ca="1" si="72"/>
        <v>1143</v>
      </c>
      <c r="X68" s="77" t="e">
        <f t="shared" ca="1" si="73"/>
        <v>#DIV/0!</v>
      </c>
      <c r="Y68" s="77" t="e">
        <f ca="1">IF(H$16=1,_xll.xCalcSkew($A68,Z68-BS68,b)/100,0)</f>
        <v>#DIV/0!</v>
      </c>
      <c r="Z68" s="96">
        <f t="shared" ca="1" si="74"/>
        <v>2.44</v>
      </c>
      <c r="AC68" s="97">
        <f t="shared" ca="1" si="16"/>
        <v>1144</v>
      </c>
      <c r="AD68" s="97">
        <f t="shared" ca="1" si="17"/>
        <v>1143</v>
      </c>
      <c r="AE68" s="77">
        <f t="shared" ca="1" si="46"/>
        <v>4.3189005462617398E-2</v>
      </c>
      <c r="AF68" s="152">
        <f t="shared" si="75"/>
        <v>31</v>
      </c>
      <c r="AG68" s="99"/>
      <c r="AH68" s="99"/>
      <c r="AI68" s="99"/>
      <c r="AJ68" s="99"/>
      <c r="AK68" s="78">
        <f t="shared" ca="1" si="76"/>
        <v>0</v>
      </c>
      <c r="AL68" s="288" t="e">
        <f t="shared" ca="1" si="47"/>
        <v>#DIV/0!</v>
      </c>
      <c r="AM68" s="75">
        <f t="shared" ca="1" si="77"/>
        <v>0</v>
      </c>
      <c r="AN68" s="100">
        <f t="shared" ca="1" si="78"/>
        <v>0</v>
      </c>
      <c r="AO68" s="99">
        <f t="shared" ca="1" si="79"/>
        <v>0</v>
      </c>
      <c r="AP68" s="99">
        <f t="shared" ca="1" si="80"/>
        <v>0</v>
      </c>
      <c r="AQ68" s="99">
        <f t="shared" ca="1" si="81"/>
        <v>0</v>
      </c>
      <c r="AR68" s="101">
        <f t="shared" ca="1" si="48"/>
        <v>0</v>
      </c>
      <c r="AS68" s="101">
        <f t="shared" ca="1" si="49"/>
        <v>0</v>
      </c>
      <c r="AT68" s="101">
        <f t="shared" ca="1" si="50"/>
        <v>0</v>
      </c>
      <c r="AV68" s="78">
        <f t="shared" ca="1" si="82"/>
        <v>0</v>
      </c>
      <c r="AW68" s="288" t="e">
        <f t="shared" ca="1" si="51"/>
        <v>#DIV/0!</v>
      </c>
      <c r="AX68" s="75">
        <f t="shared" ca="1" si="83"/>
        <v>0</v>
      </c>
      <c r="AY68" s="100">
        <f t="shared" ca="1" si="84"/>
        <v>0</v>
      </c>
      <c r="AZ68" s="99">
        <f t="shared" ca="1" si="85"/>
        <v>0</v>
      </c>
      <c r="BA68" s="99">
        <f t="shared" ca="1" si="86"/>
        <v>0</v>
      </c>
      <c r="BB68" s="99">
        <f t="shared" ca="1" si="87"/>
        <v>0</v>
      </c>
      <c r="BC68" s="101">
        <f t="shared" ca="1" si="52"/>
        <v>0</v>
      </c>
      <c r="BD68" s="101">
        <f t="shared" ca="1" si="53"/>
        <v>0</v>
      </c>
      <c r="BE68" s="101">
        <f t="shared" ca="1" si="54"/>
        <v>0</v>
      </c>
      <c r="BG68" s="78">
        <f t="shared" ca="1" si="88"/>
        <v>0</v>
      </c>
      <c r="BH68" s="288" t="e">
        <f t="shared" ca="1" si="55"/>
        <v>#DIV/0!</v>
      </c>
      <c r="BI68" s="75">
        <f t="shared" ca="1" si="89"/>
        <v>0</v>
      </c>
      <c r="BJ68" s="100">
        <f t="shared" ca="1" si="90"/>
        <v>0</v>
      </c>
      <c r="BK68" s="99">
        <f t="shared" ca="1" si="91"/>
        <v>0</v>
      </c>
      <c r="BL68" s="99">
        <f t="shared" ca="1" si="92"/>
        <v>0</v>
      </c>
      <c r="BM68" s="99">
        <f t="shared" ca="1" si="93"/>
        <v>0</v>
      </c>
      <c r="BN68" s="101">
        <f t="shared" ca="1" si="56"/>
        <v>0</v>
      </c>
      <c r="BO68" s="101">
        <f t="shared" ca="1" si="57"/>
        <v>0</v>
      </c>
      <c r="BP68" s="101">
        <f t="shared" ca="1" si="58"/>
        <v>0</v>
      </c>
      <c r="BR68" s="78">
        <f t="shared" ca="1" si="94"/>
        <v>0</v>
      </c>
      <c r="BS68" s="288" t="e">
        <f t="shared" ca="1" si="59"/>
        <v>#DIV/0!</v>
      </c>
      <c r="BT68" s="75">
        <f t="shared" ca="1" si="95"/>
        <v>0</v>
      </c>
      <c r="BU68" s="100">
        <f t="shared" ca="1" si="96"/>
        <v>0</v>
      </c>
      <c r="BV68" s="99">
        <f t="shared" ca="1" si="97"/>
        <v>0</v>
      </c>
      <c r="BW68" s="99">
        <f t="shared" ca="1" si="98"/>
        <v>0</v>
      </c>
      <c r="BX68" s="99">
        <f t="shared" ca="1" si="99"/>
        <v>0</v>
      </c>
      <c r="BY68" s="101">
        <f t="shared" ca="1" si="60"/>
        <v>0</v>
      </c>
      <c r="BZ68" s="101">
        <f t="shared" ca="1" si="61"/>
        <v>0</v>
      </c>
      <c r="CA68" s="101">
        <f t="shared" ca="1" si="62"/>
        <v>0</v>
      </c>
    </row>
    <row r="69" spans="1:79" x14ac:dyDescent="0.25">
      <c r="A69" s="94">
        <f t="shared" si="43"/>
        <v>38443</v>
      </c>
      <c r="B69" s="95">
        <f t="shared" ca="1" si="44"/>
        <v>3.081</v>
      </c>
      <c r="C69" s="77">
        <f t="shared" ca="1" si="45"/>
        <v>7.3086317232450029E-2</v>
      </c>
      <c r="D69" s="95">
        <f t="shared" ca="1" si="0"/>
        <v>0</v>
      </c>
      <c r="E69" s="97">
        <f t="shared" ca="1" si="63"/>
        <v>1176</v>
      </c>
      <c r="F69" s="77" t="e">
        <f t="shared" ca="1" si="64"/>
        <v>#DIV/0!</v>
      </c>
      <c r="G69" s="77" t="e">
        <f ca="1">IF(B$16=1,_xll.xCalcSkew(A69,H69-AL69,b)/100,0)</f>
        <v>#DIV/0!</v>
      </c>
      <c r="H69" s="96">
        <f t="shared" ca="1" si="65"/>
        <v>2.44</v>
      </c>
      <c r="J69" s="95">
        <f t="shared" ca="1" si="4"/>
        <v>0</v>
      </c>
      <c r="K69" s="97">
        <f t="shared" ca="1" si="66"/>
        <v>1176</v>
      </c>
      <c r="L69" s="172" t="e">
        <f t="shared" ca="1" si="67"/>
        <v>#DIV/0!</v>
      </c>
      <c r="M69" s="77" t="e">
        <f ca="1">IF(D$16=1,_xll.xCalcSkew($A69,N69-AW69,b)/100,0)</f>
        <v>#DIV/0!</v>
      </c>
      <c r="N69" s="96">
        <f t="shared" ca="1" si="68"/>
        <v>2.44</v>
      </c>
      <c r="P69" s="95">
        <f t="shared" ca="1" si="8"/>
        <v>0</v>
      </c>
      <c r="Q69" s="97">
        <f t="shared" ca="1" si="69"/>
        <v>1176</v>
      </c>
      <c r="R69" s="172" t="e">
        <f t="shared" ca="1" si="70"/>
        <v>#DIV/0!</v>
      </c>
      <c r="S69" s="77" t="e">
        <f ca="1">IF(F$16=1,_xll.xCalcSkew($A69,T69-BH69,b)/100,0)</f>
        <v>#DIV/0!</v>
      </c>
      <c r="T69" s="96">
        <f t="shared" ca="1" si="71"/>
        <v>2.44</v>
      </c>
      <c r="V69" s="95">
        <f t="shared" ca="1" si="12"/>
        <v>0</v>
      </c>
      <c r="W69" s="97">
        <f t="shared" ca="1" si="72"/>
        <v>1176</v>
      </c>
      <c r="X69" s="77" t="e">
        <f t="shared" ca="1" si="73"/>
        <v>#DIV/0!</v>
      </c>
      <c r="Y69" s="77" t="e">
        <f ca="1">IF(H$16=1,_xll.xCalcSkew($A69,Z69-BS69,b)/100,0)</f>
        <v>#DIV/0!</v>
      </c>
      <c r="Z69" s="96">
        <f t="shared" ca="1" si="74"/>
        <v>2.44</v>
      </c>
      <c r="AC69" s="97">
        <f t="shared" ca="1" si="16"/>
        <v>1177</v>
      </c>
      <c r="AD69" s="97">
        <f t="shared" ca="1" si="17"/>
        <v>1176</v>
      </c>
      <c r="AE69" s="77">
        <f t="shared" ca="1" si="46"/>
        <v>4.3668903428556699E-2</v>
      </c>
      <c r="AF69" s="152">
        <f t="shared" si="75"/>
        <v>30</v>
      </c>
      <c r="AG69" s="99"/>
      <c r="AH69" s="99"/>
      <c r="AI69" s="99"/>
      <c r="AJ69" s="99"/>
      <c r="AK69" s="78">
        <f t="shared" ca="1" si="76"/>
        <v>0</v>
      </c>
      <c r="AL69" s="288" t="e">
        <f t="shared" ca="1" si="47"/>
        <v>#DIV/0!</v>
      </c>
      <c r="AM69" s="75">
        <f t="shared" ca="1" si="77"/>
        <v>0</v>
      </c>
      <c r="AN69" s="100">
        <f t="shared" ca="1" si="78"/>
        <v>0</v>
      </c>
      <c r="AO69" s="99">
        <f t="shared" ca="1" si="79"/>
        <v>0</v>
      </c>
      <c r="AP69" s="99">
        <f t="shared" ca="1" si="80"/>
        <v>0</v>
      </c>
      <c r="AQ69" s="99">
        <f t="shared" ca="1" si="81"/>
        <v>0</v>
      </c>
      <c r="AR69" s="101">
        <f t="shared" ca="1" si="48"/>
        <v>0</v>
      </c>
      <c r="AS69" s="101">
        <f t="shared" ca="1" si="49"/>
        <v>0</v>
      </c>
      <c r="AT69" s="101">
        <f t="shared" ca="1" si="50"/>
        <v>0</v>
      </c>
      <c r="AV69" s="78">
        <f t="shared" ca="1" si="82"/>
        <v>0</v>
      </c>
      <c r="AW69" s="288" t="e">
        <f t="shared" ca="1" si="51"/>
        <v>#DIV/0!</v>
      </c>
      <c r="AX69" s="75">
        <f t="shared" ca="1" si="83"/>
        <v>0</v>
      </c>
      <c r="AY69" s="100">
        <f t="shared" ca="1" si="84"/>
        <v>0</v>
      </c>
      <c r="AZ69" s="99">
        <f t="shared" ca="1" si="85"/>
        <v>0</v>
      </c>
      <c r="BA69" s="99">
        <f t="shared" ca="1" si="86"/>
        <v>0</v>
      </c>
      <c r="BB69" s="99">
        <f t="shared" ca="1" si="87"/>
        <v>0</v>
      </c>
      <c r="BC69" s="101">
        <f t="shared" ca="1" si="52"/>
        <v>0</v>
      </c>
      <c r="BD69" s="101">
        <f t="shared" ca="1" si="53"/>
        <v>0</v>
      </c>
      <c r="BE69" s="101">
        <f t="shared" ca="1" si="54"/>
        <v>0</v>
      </c>
      <c r="BG69" s="78">
        <f t="shared" ca="1" si="88"/>
        <v>0</v>
      </c>
      <c r="BH69" s="288" t="e">
        <f t="shared" ca="1" si="55"/>
        <v>#DIV/0!</v>
      </c>
      <c r="BI69" s="75">
        <f t="shared" ca="1" si="89"/>
        <v>0</v>
      </c>
      <c r="BJ69" s="100">
        <f t="shared" ca="1" si="90"/>
        <v>0</v>
      </c>
      <c r="BK69" s="99">
        <f t="shared" ca="1" si="91"/>
        <v>0</v>
      </c>
      <c r="BL69" s="99">
        <f t="shared" ca="1" si="92"/>
        <v>0</v>
      </c>
      <c r="BM69" s="99">
        <f t="shared" ca="1" si="93"/>
        <v>0</v>
      </c>
      <c r="BN69" s="101">
        <f t="shared" ca="1" si="56"/>
        <v>0</v>
      </c>
      <c r="BO69" s="101">
        <f t="shared" ca="1" si="57"/>
        <v>0</v>
      </c>
      <c r="BP69" s="101">
        <f t="shared" ca="1" si="58"/>
        <v>0</v>
      </c>
      <c r="BR69" s="78">
        <f t="shared" ca="1" si="94"/>
        <v>0</v>
      </c>
      <c r="BS69" s="288" t="e">
        <f t="shared" ca="1" si="59"/>
        <v>#DIV/0!</v>
      </c>
      <c r="BT69" s="75">
        <f t="shared" ca="1" si="95"/>
        <v>0</v>
      </c>
      <c r="BU69" s="100">
        <f t="shared" ca="1" si="96"/>
        <v>0</v>
      </c>
      <c r="BV69" s="99">
        <f t="shared" ca="1" si="97"/>
        <v>0</v>
      </c>
      <c r="BW69" s="99">
        <f t="shared" ca="1" si="98"/>
        <v>0</v>
      </c>
      <c r="BX69" s="99">
        <f t="shared" ca="1" si="99"/>
        <v>0</v>
      </c>
      <c r="BY69" s="101">
        <f t="shared" ca="1" si="60"/>
        <v>0</v>
      </c>
      <c r="BZ69" s="101">
        <f t="shared" ca="1" si="61"/>
        <v>0</v>
      </c>
      <c r="CA69" s="101">
        <f t="shared" ca="1" si="62"/>
        <v>0</v>
      </c>
    </row>
    <row r="70" spans="1:79" x14ac:dyDescent="0.25">
      <c r="A70" s="94">
        <f t="shared" si="43"/>
        <v>38473</v>
      </c>
      <c r="B70" s="95">
        <f t="shared" ca="1" si="44"/>
        <v>3.0839999999999996</v>
      </c>
      <c r="C70" s="77">
        <f t="shared" ca="1" si="45"/>
        <v>7.2501603308309764E-2</v>
      </c>
      <c r="D70" s="95">
        <f t="shared" ca="1" si="0"/>
        <v>0</v>
      </c>
      <c r="E70" s="97">
        <f t="shared" ca="1" si="63"/>
        <v>1205</v>
      </c>
      <c r="F70" s="77" t="e">
        <f t="shared" ca="1" si="64"/>
        <v>#DIV/0!</v>
      </c>
      <c r="G70" s="77" t="e">
        <f ca="1">IF(B$16=1,_xll.xCalcSkew(A70,H70-AL70,b)/100,0)</f>
        <v>#DIV/0!</v>
      </c>
      <c r="H70" s="96">
        <f t="shared" ca="1" si="65"/>
        <v>2.44</v>
      </c>
      <c r="J70" s="95">
        <f t="shared" ca="1" si="4"/>
        <v>0</v>
      </c>
      <c r="K70" s="97">
        <f t="shared" ca="1" si="66"/>
        <v>1205</v>
      </c>
      <c r="L70" s="172" t="e">
        <f t="shared" ca="1" si="67"/>
        <v>#DIV/0!</v>
      </c>
      <c r="M70" s="77" t="e">
        <f ca="1">IF(D$16=1,_xll.xCalcSkew($A70,N70-AW70,b)/100,0)</f>
        <v>#DIV/0!</v>
      </c>
      <c r="N70" s="96">
        <f t="shared" ca="1" si="68"/>
        <v>2.44</v>
      </c>
      <c r="P70" s="95">
        <f t="shared" ca="1" si="8"/>
        <v>0</v>
      </c>
      <c r="Q70" s="97">
        <f t="shared" ca="1" si="69"/>
        <v>1205</v>
      </c>
      <c r="R70" s="172" t="e">
        <f t="shared" ca="1" si="70"/>
        <v>#DIV/0!</v>
      </c>
      <c r="S70" s="77" t="e">
        <f ca="1">IF(F$16=1,_xll.xCalcSkew($A70,T70-BH70,b)/100,0)</f>
        <v>#DIV/0!</v>
      </c>
      <c r="T70" s="96">
        <f t="shared" ca="1" si="71"/>
        <v>2.44</v>
      </c>
      <c r="V70" s="95">
        <f t="shared" ca="1" si="12"/>
        <v>0</v>
      </c>
      <c r="W70" s="97">
        <f t="shared" ca="1" si="72"/>
        <v>1205</v>
      </c>
      <c r="X70" s="77" t="e">
        <f t="shared" ca="1" si="73"/>
        <v>#DIV/0!</v>
      </c>
      <c r="Y70" s="77" t="e">
        <f ca="1">IF(H$16=1,_xll.xCalcSkew($A70,Z70-BS70,b)/100,0)</f>
        <v>#DIV/0!</v>
      </c>
      <c r="Z70" s="96">
        <f t="shared" ca="1" si="74"/>
        <v>2.44</v>
      </c>
      <c r="AC70" s="97">
        <f t="shared" ca="1" si="16"/>
        <v>1206</v>
      </c>
      <c r="AD70" s="97">
        <f t="shared" ca="1" si="17"/>
        <v>1205</v>
      </c>
      <c r="AE70" s="77">
        <f t="shared" ca="1" si="46"/>
        <v>4.4162985915453798E-2</v>
      </c>
      <c r="AF70" s="152">
        <f t="shared" si="75"/>
        <v>31</v>
      </c>
      <c r="AG70" s="99"/>
      <c r="AH70" s="99"/>
      <c r="AI70" s="99"/>
      <c r="AJ70" s="99"/>
      <c r="AK70" s="78">
        <f t="shared" ca="1" si="76"/>
        <v>0</v>
      </c>
      <c r="AL70" s="288" t="e">
        <f t="shared" ca="1" si="47"/>
        <v>#DIV/0!</v>
      </c>
      <c r="AM70" s="75">
        <f t="shared" ca="1" si="77"/>
        <v>0</v>
      </c>
      <c r="AN70" s="100">
        <f t="shared" ca="1" si="78"/>
        <v>0</v>
      </c>
      <c r="AO70" s="99">
        <f t="shared" ca="1" si="79"/>
        <v>0</v>
      </c>
      <c r="AP70" s="99">
        <f t="shared" ca="1" si="80"/>
        <v>0</v>
      </c>
      <c r="AQ70" s="99">
        <f t="shared" ca="1" si="81"/>
        <v>0</v>
      </c>
      <c r="AR70" s="101">
        <f t="shared" ca="1" si="48"/>
        <v>0</v>
      </c>
      <c r="AS70" s="101">
        <f t="shared" ca="1" si="49"/>
        <v>0</v>
      </c>
      <c r="AT70" s="101">
        <f t="shared" ca="1" si="50"/>
        <v>0</v>
      </c>
      <c r="AV70" s="78">
        <f t="shared" ca="1" si="82"/>
        <v>0</v>
      </c>
      <c r="AW70" s="288" t="e">
        <f t="shared" ca="1" si="51"/>
        <v>#DIV/0!</v>
      </c>
      <c r="AX70" s="75">
        <f t="shared" ca="1" si="83"/>
        <v>0</v>
      </c>
      <c r="AY70" s="100">
        <f t="shared" ca="1" si="84"/>
        <v>0</v>
      </c>
      <c r="AZ70" s="99">
        <f t="shared" ca="1" si="85"/>
        <v>0</v>
      </c>
      <c r="BA70" s="99">
        <f t="shared" ca="1" si="86"/>
        <v>0</v>
      </c>
      <c r="BB70" s="99">
        <f t="shared" ca="1" si="87"/>
        <v>0</v>
      </c>
      <c r="BC70" s="101">
        <f t="shared" ca="1" si="52"/>
        <v>0</v>
      </c>
      <c r="BD70" s="101">
        <f t="shared" ca="1" si="53"/>
        <v>0</v>
      </c>
      <c r="BE70" s="101">
        <f t="shared" ca="1" si="54"/>
        <v>0</v>
      </c>
      <c r="BG70" s="78">
        <f t="shared" ca="1" si="88"/>
        <v>0</v>
      </c>
      <c r="BH70" s="288" t="e">
        <f t="shared" ca="1" si="55"/>
        <v>#DIV/0!</v>
      </c>
      <c r="BI70" s="75">
        <f t="shared" ca="1" si="89"/>
        <v>0</v>
      </c>
      <c r="BJ70" s="100">
        <f t="shared" ca="1" si="90"/>
        <v>0</v>
      </c>
      <c r="BK70" s="99">
        <f t="shared" ca="1" si="91"/>
        <v>0</v>
      </c>
      <c r="BL70" s="99">
        <f t="shared" ca="1" si="92"/>
        <v>0</v>
      </c>
      <c r="BM70" s="99">
        <f t="shared" ca="1" si="93"/>
        <v>0</v>
      </c>
      <c r="BN70" s="101">
        <f t="shared" ca="1" si="56"/>
        <v>0</v>
      </c>
      <c r="BO70" s="101">
        <f t="shared" ca="1" si="57"/>
        <v>0</v>
      </c>
      <c r="BP70" s="101">
        <f t="shared" ca="1" si="58"/>
        <v>0</v>
      </c>
      <c r="BR70" s="78">
        <f t="shared" ca="1" si="94"/>
        <v>0</v>
      </c>
      <c r="BS70" s="288" t="e">
        <f t="shared" ca="1" si="59"/>
        <v>#DIV/0!</v>
      </c>
      <c r="BT70" s="75">
        <f t="shared" ca="1" si="95"/>
        <v>0</v>
      </c>
      <c r="BU70" s="100">
        <f t="shared" ca="1" si="96"/>
        <v>0</v>
      </c>
      <c r="BV70" s="99">
        <f t="shared" ca="1" si="97"/>
        <v>0</v>
      </c>
      <c r="BW70" s="99">
        <f t="shared" ca="1" si="98"/>
        <v>0</v>
      </c>
      <c r="BX70" s="99">
        <f t="shared" ca="1" si="99"/>
        <v>0</v>
      </c>
      <c r="BY70" s="101">
        <f t="shared" ca="1" si="60"/>
        <v>0</v>
      </c>
      <c r="BZ70" s="101">
        <f t="shared" ca="1" si="61"/>
        <v>0</v>
      </c>
      <c r="CA70" s="101">
        <f t="shared" ca="1" si="62"/>
        <v>0</v>
      </c>
    </row>
    <row r="71" spans="1:79" x14ac:dyDescent="0.25">
      <c r="A71" s="94">
        <f t="shared" si="43"/>
        <v>38504</v>
      </c>
      <c r="B71" s="95">
        <f t="shared" ca="1" si="44"/>
        <v>3.1239999999999997</v>
      </c>
      <c r="C71" s="77">
        <f t="shared" ca="1" si="45"/>
        <v>7.108257671674871E-2</v>
      </c>
      <c r="D71" s="95">
        <f t="shared" ca="1" si="0"/>
        <v>0</v>
      </c>
      <c r="E71" s="97">
        <f t="shared" ca="1" si="63"/>
        <v>1234</v>
      </c>
      <c r="F71" s="77" t="e">
        <f t="shared" ca="1" si="64"/>
        <v>#DIV/0!</v>
      </c>
      <c r="G71" s="77" t="e">
        <f ca="1">IF(B$16=1,_xll.xCalcSkew(A71,H71-AL71,b)/100,0)</f>
        <v>#DIV/0!</v>
      </c>
      <c r="H71" s="96">
        <f t="shared" ca="1" si="65"/>
        <v>2.44</v>
      </c>
      <c r="J71" s="95">
        <f t="shared" ca="1" si="4"/>
        <v>0</v>
      </c>
      <c r="K71" s="97">
        <f t="shared" ca="1" si="66"/>
        <v>1234</v>
      </c>
      <c r="L71" s="172" t="e">
        <f t="shared" ca="1" si="67"/>
        <v>#DIV/0!</v>
      </c>
      <c r="M71" s="77" t="e">
        <f ca="1">IF(D$16=1,_xll.xCalcSkew($A71,N71-AW71,b)/100,0)</f>
        <v>#DIV/0!</v>
      </c>
      <c r="N71" s="96">
        <f t="shared" ca="1" si="68"/>
        <v>2.44</v>
      </c>
      <c r="P71" s="95">
        <f t="shared" ca="1" si="8"/>
        <v>0</v>
      </c>
      <c r="Q71" s="97">
        <f t="shared" ca="1" si="69"/>
        <v>1234</v>
      </c>
      <c r="R71" s="172" t="e">
        <f t="shared" ca="1" si="70"/>
        <v>#DIV/0!</v>
      </c>
      <c r="S71" s="77" t="e">
        <f ca="1">IF(F$16=1,_xll.xCalcSkew($A71,T71-BH71,b)/100,0)</f>
        <v>#DIV/0!</v>
      </c>
      <c r="T71" s="96">
        <f t="shared" ca="1" si="71"/>
        <v>2.44</v>
      </c>
      <c r="V71" s="95">
        <f t="shared" ca="1" si="12"/>
        <v>0</v>
      </c>
      <c r="W71" s="97">
        <f t="shared" ca="1" si="72"/>
        <v>1234</v>
      </c>
      <c r="X71" s="77" t="e">
        <f t="shared" ca="1" si="73"/>
        <v>#DIV/0!</v>
      </c>
      <c r="Y71" s="77" t="e">
        <f ca="1">IF(H$16=1,_xll.xCalcSkew($A71,Z71-BS71,b)/100,0)</f>
        <v>#DIV/0!</v>
      </c>
      <c r="Z71" s="96">
        <f t="shared" ca="1" si="74"/>
        <v>2.44</v>
      </c>
      <c r="AC71" s="97">
        <f t="shared" ca="1" si="16"/>
        <v>1235</v>
      </c>
      <c r="AD71" s="97">
        <f t="shared" ca="1" si="17"/>
        <v>1234</v>
      </c>
      <c r="AE71" s="77">
        <f t="shared" ca="1" si="46"/>
        <v>4.4608713967775299E-2</v>
      </c>
      <c r="AF71" s="152">
        <f t="shared" si="75"/>
        <v>30</v>
      </c>
      <c r="AG71" s="99"/>
      <c r="AH71" s="99"/>
      <c r="AI71" s="99"/>
      <c r="AJ71" s="99"/>
      <c r="AK71" s="78">
        <f t="shared" ca="1" si="76"/>
        <v>0</v>
      </c>
      <c r="AL71" s="288" t="e">
        <f t="shared" ca="1" si="47"/>
        <v>#DIV/0!</v>
      </c>
      <c r="AM71" s="75">
        <f t="shared" ca="1" si="77"/>
        <v>0</v>
      </c>
      <c r="AN71" s="100">
        <f t="shared" ca="1" si="78"/>
        <v>0</v>
      </c>
      <c r="AO71" s="99">
        <f t="shared" ca="1" si="79"/>
        <v>0</v>
      </c>
      <c r="AP71" s="99">
        <f t="shared" ca="1" si="80"/>
        <v>0</v>
      </c>
      <c r="AQ71" s="99">
        <f t="shared" ca="1" si="81"/>
        <v>0</v>
      </c>
      <c r="AR71" s="101">
        <f t="shared" ca="1" si="48"/>
        <v>0</v>
      </c>
      <c r="AS71" s="101">
        <f t="shared" ca="1" si="49"/>
        <v>0</v>
      </c>
      <c r="AT71" s="101">
        <f t="shared" ca="1" si="50"/>
        <v>0</v>
      </c>
      <c r="AV71" s="78">
        <f t="shared" ca="1" si="82"/>
        <v>0</v>
      </c>
      <c r="AW71" s="288" t="e">
        <f t="shared" ca="1" si="51"/>
        <v>#DIV/0!</v>
      </c>
      <c r="AX71" s="75">
        <f t="shared" ca="1" si="83"/>
        <v>0</v>
      </c>
      <c r="AY71" s="100">
        <f t="shared" ca="1" si="84"/>
        <v>0</v>
      </c>
      <c r="AZ71" s="99">
        <f t="shared" ca="1" si="85"/>
        <v>0</v>
      </c>
      <c r="BA71" s="99">
        <f t="shared" ca="1" si="86"/>
        <v>0</v>
      </c>
      <c r="BB71" s="99">
        <f t="shared" ca="1" si="87"/>
        <v>0</v>
      </c>
      <c r="BC71" s="101">
        <f t="shared" ca="1" si="52"/>
        <v>0</v>
      </c>
      <c r="BD71" s="101">
        <f t="shared" ca="1" si="53"/>
        <v>0</v>
      </c>
      <c r="BE71" s="101">
        <f t="shared" ca="1" si="54"/>
        <v>0</v>
      </c>
      <c r="BG71" s="78">
        <f t="shared" ca="1" si="88"/>
        <v>0</v>
      </c>
      <c r="BH71" s="288" t="e">
        <f t="shared" ca="1" si="55"/>
        <v>#DIV/0!</v>
      </c>
      <c r="BI71" s="75">
        <f t="shared" ca="1" si="89"/>
        <v>0</v>
      </c>
      <c r="BJ71" s="100">
        <f t="shared" ca="1" si="90"/>
        <v>0</v>
      </c>
      <c r="BK71" s="99">
        <f t="shared" ca="1" si="91"/>
        <v>0</v>
      </c>
      <c r="BL71" s="99">
        <f t="shared" ca="1" si="92"/>
        <v>0</v>
      </c>
      <c r="BM71" s="99">
        <f t="shared" ca="1" si="93"/>
        <v>0</v>
      </c>
      <c r="BN71" s="101">
        <f t="shared" ca="1" si="56"/>
        <v>0</v>
      </c>
      <c r="BO71" s="101">
        <f t="shared" ca="1" si="57"/>
        <v>0</v>
      </c>
      <c r="BP71" s="101">
        <f t="shared" ca="1" si="58"/>
        <v>0</v>
      </c>
      <c r="BR71" s="78">
        <f t="shared" ca="1" si="94"/>
        <v>0</v>
      </c>
      <c r="BS71" s="288" t="e">
        <f t="shared" ca="1" si="59"/>
        <v>#DIV/0!</v>
      </c>
      <c r="BT71" s="75">
        <f t="shared" ca="1" si="95"/>
        <v>0</v>
      </c>
      <c r="BU71" s="100">
        <f t="shared" ca="1" si="96"/>
        <v>0</v>
      </c>
      <c r="BV71" s="99">
        <f t="shared" ca="1" si="97"/>
        <v>0</v>
      </c>
      <c r="BW71" s="99">
        <f t="shared" ca="1" si="98"/>
        <v>0</v>
      </c>
      <c r="BX71" s="99">
        <f t="shared" ca="1" si="99"/>
        <v>0</v>
      </c>
      <c r="BY71" s="101">
        <f t="shared" ca="1" si="60"/>
        <v>0</v>
      </c>
      <c r="BZ71" s="101">
        <f t="shared" ca="1" si="61"/>
        <v>0</v>
      </c>
      <c r="CA71" s="101">
        <f t="shared" ca="1" si="62"/>
        <v>0</v>
      </c>
    </row>
    <row r="72" spans="1:79" x14ac:dyDescent="0.25">
      <c r="A72" s="94">
        <f t="shared" si="43"/>
        <v>38534</v>
      </c>
      <c r="B72" s="95">
        <f t="shared" ca="1" si="44"/>
        <v>3.1639999999999997</v>
      </c>
      <c r="C72" s="77">
        <f t="shared" ca="1" si="45"/>
        <v>6.9653729627426747E-2</v>
      </c>
      <c r="D72" s="95">
        <f t="shared" ca="1" si="0"/>
        <v>0</v>
      </c>
      <c r="E72" s="97">
        <f t="shared" ca="1" si="63"/>
        <v>1267</v>
      </c>
      <c r="F72" s="77" t="e">
        <f t="shared" ca="1" si="64"/>
        <v>#DIV/0!</v>
      </c>
      <c r="G72" s="77" t="e">
        <f ca="1">IF(B$16=1,_xll.xCalcSkew(A72,H72-AL72,b)/100,0)</f>
        <v>#DIV/0!</v>
      </c>
      <c r="H72" s="96">
        <f t="shared" ca="1" si="65"/>
        <v>2.44</v>
      </c>
      <c r="J72" s="95">
        <f t="shared" ca="1" si="4"/>
        <v>0</v>
      </c>
      <c r="K72" s="97">
        <f t="shared" ca="1" si="66"/>
        <v>1267</v>
      </c>
      <c r="L72" s="172" t="e">
        <f t="shared" ca="1" si="67"/>
        <v>#DIV/0!</v>
      </c>
      <c r="M72" s="77" t="e">
        <f ca="1">IF(D$16=1,_xll.xCalcSkew($A72,N72-AW72,b)/100,0)</f>
        <v>#DIV/0!</v>
      </c>
      <c r="N72" s="96">
        <f t="shared" ca="1" si="68"/>
        <v>2.44</v>
      </c>
      <c r="P72" s="95">
        <f t="shared" ca="1" si="8"/>
        <v>0</v>
      </c>
      <c r="Q72" s="97">
        <f t="shared" ca="1" si="69"/>
        <v>1267</v>
      </c>
      <c r="R72" s="172" t="e">
        <f t="shared" ca="1" si="70"/>
        <v>#DIV/0!</v>
      </c>
      <c r="S72" s="77" t="e">
        <f ca="1">IF(F$16=1,_xll.xCalcSkew($A72,T72-BH72,b)/100,0)</f>
        <v>#DIV/0!</v>
      </c>
      <c r="T72" s="96">
        <f t="shared" ca="1" si="71"/>
        <v>2.44</v>
      </c>
      <c r="V72" s="95">
        <f t="shared" ca="1" si="12"/>
        <v>0</v>
      </c>
      <c r="W72" s="97">
        <f t="shared" ca="1" si="72"/>
        <v>1267</v>
      </c>
      <c r="X72" s="77" t="e">
        <f t="shared" ca="1" si="73"/>
        <v>#DIV/0!</v>
      </c>
      <c r="Y72" s="77" t="e">
        <f ca="1">IF(H$16=1,_xll.xCalcSkew($A72,Z72-BS72,b)/100,0)</f>
        <v>#DIV/0!</v>
      </c>
      <c r="Z72" s="96">
        <f t="shared" ca="1" si="74"/>
        <v>2.44</v>
      </c>
      <c r="AC72" s="97">
        <f t="shared" ca="1" si="16"/>
        <v>1268</v>
      </c>
      <c r="AD72" s="97">
        <f t="shared" ca="1" si="17"/>
        <v>1267</v>
      </c>
      <c r="AE72" s="77">
        <f t="shared" ca="1" si="46"/>
        <v>4.5069299691712597E-2</v>
      </c>
      <c r="AF72" s="152">
        <f t="shared" si="75"/>
        <v>31</v>
      </c>
      <c r="AG72" s="99"/>
      <c r="AH72" s="99"/>
      <c r="AI72" s="99"/>
      <c r="AJ72" s="99"/>
      <c r="AK72" s="78">
        <f t="shared" ca="1" si="76"/>
        <v>0</v>
      </c>
      <c r="AL72" s="288" t="e">
        <f t="shared" ca="1" si="47"/>
        <v>#DIV/0!</v>
      </c>
      <c r="AM72" s="75">
        <f t="shared" ca="1" si="77"/>
        <v>0</v>
      </c>
      <c r="AN72" s="100">
        <f t="shared" ca="1" si="78"/>
        <v>0</v>
      </c>
      <c r="AO72" s="99">
        <f t="shared" ca="1" si="79"/>
        <v>0</v>
      </c>
      <c r="AP72" s="99">
        <f t="shared" ca="1" si="80"/>
        <v>0</v>
      </c>
      <c r="AQ72" s="99">
        <f t="shared" ca="1" si="81"/>
        <v>0</v>
      </c>
      <c r="AR72" s="101">
        <f t="shared" ca="1" si="48"/>
        <v>0</v>
      </c>
      <c r="AS72" s="101">
        <f t="shared" ca="1" si="49"/>
        <v>0</v>
      </c>
      <c r="AT72" s="101">
        <f t="shared" ca="1" si="50"/>
        <v>0</v>
      </c>
      <c r="AV72" s="78">
        <f t="shared" ca="1" si="82"/>
        <v>0</v>
      </c>
      <c r="AW72" s="288" t="e">
        <f t="shared" ca="1" si="51"/>
        <v>#DIV/0!</v>
      </c>
      <c r="AX72" s="75">
        <f t="shared" ca="1" si="83"/>
        <v>0</v>
      </c>
      <c r="AY72" s="100">
        <f t="shared" ca="1" si="84"/>
        <v>0</v>
      </c>
      <c r="AZ72" s="99">
        <f t="shared" ca="1" si="85"/>
        <v>0</v>
      </c>
      <c r="BA72" s="99">
        <f t="shared" ca="1" si="86"/>
        <v>0</v>
      </c>
      <c r="BB72" s="99">
        <f t="shared" ca="1" si="87"/>
        <v>0</v>
      </c>
      <c r="BC72" s="101">
        <f t="shared" ca="1" si="52"/>
        <v>0</v>
      </c>
      <c r="BD72" s="101">
        <f t="shared" ca="1" si="53"/>
        <v>0</v>
      </c>
      <c r="BE72" s="101">
        <f t="shared" ca="1" si="54"/>
        <v>0</v>
      </c>
      <c r="BG72" s="78">
        <f t="shared" ca="1" si="88"/>
        <v>0</v>
      </c>
      <c r="BH72" s="288" t="e">
        <f t="shared" ca="1" si="55"/>
        <v>#DIV/0!</v>
      </c>
      <c r="BI72" s="75">
        <f t="shared" ca="1" si="89"/>
        <v>0</v>
      </c>
      <c r="BJ72" s="100">
        <f t="shared" ca="1" si="90"/>
        <v>0</v>
      </c>
      <c r="BK72" s="99">
        <f t="shared" ca="1" si="91"/>
        <v>0</v>
      </c>
      <c r="BL72" s="99">
        <f t="shared" ca="1" si="92"/>
        <v>0</v>
      </c>
      <c r="BM72" s="99">
        <f t="shared" ca="1" si="93"/>
        <v>0</v>
      </c>
      <c r="BN72" s="101">
        <f t="shared" ca="1" si="56"/>
        <v>0</v>
      </c>
      <c r="BO72" s="101">
        <f t="shared" ca="1" si="57"/>
        <v>0</v>
      </c>
      <c r="BP72" s="101">
        <f t="shared" ca="1" si="58"/>
        <v>0</v>
      </c>
      <c r="BR72" s="78">
        <f t="shared" ca="1" si="94"/>
        <v>0</v>
      </c>
      <c r="BS72" s="288" t="e">
        <f t="shared" ca="1" si="59"/>
        <v>#DIV/0!</v>
      </c>
      <c r="BT72" s="75">
        <f t="shared" ca="1" si="95"/>
        <v>0</v>
      </c>
      <c r="BU72" s="100">
        <f t="shared" ca="1" si="96"/>
        <v>0</v>
      </c>
      <c r="BV72" s="99">
        <f t="shared" ca="1" si="97"/>
        <v>0</v>
      </c>
      <c r="BW72" s="99">
        <f t="shared" ca="1" si="98"/>
        <v>0</v>
      </c>
      <c r="BX72" s="99">
        <f t="shared" ca="1" si="99"/>
        <v>0</v>
      </c>
      <c r="BY72" s="101">
        <f t="shared" ca="1" si="60"/>
        <v>0</v>
      </c>
      <c r="BZ72" s="101">
        <f t="shared" ca="1" si="61"/>
        <v>0</v>
      </c>
      <c r="CA72" s="101">
        <f t="shared" ca="1" si="62"/>
        <v>0</v>
      </c>
    </row>
    <row r="73" spans="1:79" x14ac:dyDescent="0.25">
      <c r="A73" s="94">
        <f t="shared" si="43"/>
        <v>38565</v>
      </c>
      <c r="B73" s="95">
        <f t="shared" ca="1" si="44"/>
        <v>3.214</v>
      </c>
      <c r="C73" s="77">
        <f t="shared" ca="1" si="45"/>
        <v>6.8143406778851598E-2</v>
      </c>
      <c r="D73" s="95">
        <f t="shared" ca="1" si="0"/>
        <v>0</v>
      </c>
      <c r="E73" s="97">
        <f t="shared" ca="1" si="63"/>
        <v>1296</v>
      </c>
      <c r="F73" s="77" t="e">
        <f t="shared" ca="1" si="64"/>
        <v>#DIV/0!</v>
      </c>
      <c r="G73" s="77" t="e">
        <f ca="1">IF(B$16=1,_xll.xCalcSkew(A73,H73-AL73,b)/100,0)</f>
        <v>#DIV/0!</v>
      </c>
      <c r="H73" s="96">
        <f t="shared" ca="1" si="65"/>
        <v>2.44</v>
      </c>
      <c r="J73" s="95">
        <f t="shared" ca="1" si="4"/>
        <v>0</v>
      </c>
      <c r="K73" s="97">
        <f t="shared" ca="1" si="66"/>
        <v>1296</v>
      </c>
      <c r="L73" s="172" t="e">
        <f t="shared" ca="1" si="67"/>
        <v>#DIV/0!</v>
      </c>
      <c r="M73" s="77" t="e">
        <f ca="1">IF(D$16=1,_xll.xCalcSkew($A73,N73-AW73,b)/100,0)</f>
        <v>#DIV/0!</v>
      </c>
      <c r="N73" s="96">
        <f t="shared" ca="1" si="68"/>
        <v>2.44</v>
      </c>
      <c r="P73" s="95">
        <f t="shared" ca="1" si="8"/>
        <v>0</v>
      </c>
      <c r="Q73" s="97">
        <f t="shared" ca="1" si="69"/>
        <v>1296</v>
      </c>
      <c r="R73" s="172" t="e">
        <f t="shared" ca="1" si="70"/>
        <v>#DIV/0!</v>
      </c>
      <c r="S73" s="77" t="e">
        <f ca="1">IF(F$16=1,_xll.xCalcSkew($A73,T73-BH73,b)/100,0)</f>
        <v>#DIV/0!</v>
      </c>
      <c r="T73" s="96">
        <f t="shared" ca="1" si="71"/>
        <v>2.44</v>
      </c>
      <c r="V73" s="95">
        <f t="shared" ca="1" si="12"/>
        <v>0</v>
      </c>
      <c r="W73" s="97">
        <f t="shared" ca="1" si="72"/>
        <v>1296</v>
      </c>
      <c r="X73" s="77" t="e">
        <f t="shared" ca="1" si="73"/>
        <v>#DIV/0!</v>
      </c>
      <c r="Y73" s="77" t="e">
        <f ca="1">IF(H$16=1,_xll.xCalcSkew($A73,Z73-BS73,b)/100,0)</f>
        <v>#DIV/0!</v>
      </c>
      <c r="Z73" s="96">
        <f t="shared" ca="1" si="74"/>
        <v>2.44</v>
      </c>
      <c r="AC73" s="97">
        <f t="shared" ca="1" si="16"/>
        <v>1297</v>
      </c>
      <c r="AD73" s="97">
        <f t="shared" ca="1" si="17"/>
        <v>1296</v>
      </c>
      <c r="AE73" s="77">
        <f t="shared" ca="1" si="46"/>
        <v>4.54931128840683E-2</v>
      </c>
      <c r="AF73" s="152">
        <f t="shared" si="75"/>
        <v>31</v>
      </c>
      <c r="AG73" s="99"/>
      <c r="AH73" s="99"/>
      <c r="AI73" s="99"/>
      <c r="AJ73" s="99"/>
      <c r="AK73" s="78">
        <f t="shared" ca="1" si="76"/>
        <v>0</v>
      </c>
      <c r="AL73" s="288" t="e">
        <f t="shared" ca="1" si="47"/>
        <v>#DIV/0!</v>
      </c>
      <c r="AM73" s="75">
        <f t="shared" ca="1" si="77"/>
        <v>0</v>
      </c>
      <c r="AN73" s="100">
        <f t="shared" ca="1" si="78"/>
        <v>0</v>
      </c>
      <c r="AO73" s="99">
        <f t="shared" ca="1" si="79"/>
        <v>0</v>
      </c>
      <c r="AP73" s="99">
        <f t="shared" ca="1" si="80"/>
        <v>0</v>
      </c>
      <c r="AQ73" s="99">
        <f t="shared" ca="1" si="81"/>
        <v>0</v>
      </c>
      <c r="AR73" s="101">
        <f t="shared" ca="1" si="48"/>
        <v>0</v>
      </c>
      <c r="AS73" s="101">
        <f t="shared" ca="1" si="49"/>
        <v>0</v>
      </c>
      <c r="AT73" s="101">
        <f t="shared" ca="1" si="50"/>
        <v>0</v>
      </c>
      <c r="AV73" s="78">
        <f t="shared" ca="1" si="82"/>
        <v>0</v>
      </c>
      <c r="AW73" s="288" t="e">
        <f t="shared" ca="1" si="51"/>
        <v>#DIV/0!</v>
      </c>
      <c r="AX73" s="75">
        <f t="shared" ca="1" si="83"/>
        <v>0</v>
      </c>
      <c r="AY73" s="100">
        <f t="shared" ca="1" si="84"/>
        <v>0</v>
      </c>
      <c r="AZ73" s="99">
        <f t="shared" ca="1" si="85"/>
        <v>0</v>
      </c>
      <c r="BA73" s="99">
        <f t="shared" ca="1" si="86"/>
        <v>0</v>
      </c>
      <c r="BB73" s="99">
        <f t="shared" ca="1" si="87"/>
        <v>0</v>
      </c>
      <c r="BC73" s="101">
        <f t="shared" ca="1" si="52"/>
        <v>0</v>
      </c>
      <c r="BD73" s="101">
        <f t="shared" ca="1" si="53"/>
        <v>0</v>
      </c>
      <c r="BE73" s="101">
        <f t="shared" ca="1" si="54"/>
        <v>0</v>
      </c>
      <c r="BG73" s="78">
        <f t="shared" ca="1" si="88"/>
        <v>0</v>
      </c>
      <c r="BH73" s="288" t="e">
        <f t="shared" ca="1" si="55"/>
        <v>#DIV/0!</v>
      </c>
      <c r="BI73" s="75">
        <f t="shared" ca="1" si="89"/>
        <v>0</v>
      </c>
      <c r="BJ73" s="100">
        <f t="shared" ca="1" si="90"/>
        <v>0</v>
      </c>
      <c r="BK73" s="99">
        <f t="shared" ca="1" si="91"/>
        <v>0</v>
      </c>
      <c r="BL73" s="99">
        <f t="shared" ca="1" si="92"/>
        <v>0</v>
      </c>
      <c r="BM73" s="99">
        <f t="shared" ca="1" si="93"/>
        <v>0</v>
      </c>
      <c r="BN73" s="101">
        <f t="shared" ca="1" si="56"/>
        <v>0</v>
      </c>
      <c r="BO73" s="101">
        <f t="shared" ca="1" si="57"/>
        <v>0</v>
      </c>
      <c r="BP73" s="101">
        <f t="shared" ca="1" si="58"/>
        <v>0</v>
      </c>
      <c r="BR73" s="78">
        <f t="shared" ca="1" si="94"/>
        <v>0</v>
      </c>
      <c r="BS73" s="288" t="e">
        <f t="shared" ca="1" si="59"/>
        <v>#DIV/0!</v>
      </c>
      <c r="BT73" s="75">
        <f t="shared" ca="1" si="95"/>
        <v>0</v>
      </c>
      <c r="BU73" s="100">
        <f t="shared" ca="1" si="96"/>
        <v>0</v>
      </c>
      <c r="BV73" s="99">
        <f t="shared" ca="1" si="97"/>
        <v>0</v>
      </c>
      <c r="BW73" s="99">
        <f t="shared" ca="1" si="98"/>
        <v>0</v>
      </c>
      <c r="BX73" s="99">
        <f t="shared" ca="1" si="99"/>
        <v>0</v>
      </c>
      <c r="BY73" s="101">
        <f t="shared" ca="1" si="60"/>
        <v>0</v>
      </c>
      <c r="BZ73" s="101">
        <f t="shared" ca="1" si="61"/>
        <v>0</v>
      </c>
      <c r="CA73" s="101">
        <f t="shared" ca="1" si="62"/>
        <v>0</v>
      </c>
    </row>
    <row r="74" spans="1:79" x14ac:dyDescent="0.25">
      <c r="A74" s="94">
        <f t="shared" si="43"/>
        <v>38596</v>
      </c>
      <c r="B74" s="95">
        <f t="shared" ca="1" si="44"/>
        <v>3.1989999999999998</v>
      </c>
      <c r="C74" s="77">
        <f t="shared" ca="1" si="45"/>
        <v>6.8023955034941755E-2</v>
      </c>
      <c r="D74" s="95">
        <f t="shared" ca="1" si="0"/>
        <v>0</v>
      </c>
      <c r="E74" s="97">
        <f t="shared" ca="1" si="63"/>
        <v>1327</v>
      </c>
      <c r="F74" s="77" t="e">
        <f t="shared" ca="1" si="64"/>
        <v>#DIV/0!</v>
      </c>
      <c r="G74" s="77" t="e">
        <f ca="1">IF(B$16=1,_xll.xCalcSkew(A74,H74-AL74,b)/100,0)</f>
        <v>#DIV/0!</v>
      </c>
      <c r="H74" s="96">
        <f t="shared" ca="1" si="65"/>
        <v>2.44</v>
      </c>
      <c r="J74" s="95">
        <f t="shared" ca="1" si="4"/>
        <v>0</v>
      </c>
      <c r="K74" s="97">
        <f t="shared" ca="1" si="66"/>
        <v>1327</v>
      </c>
      <c r="L74" s="172" t="e">
        <f t="shared" ca="1" si="67"/>
        <v>#DIV/0!</v>
      </c>
      <c r="M74" s="77" t="e">
        <f ca="1">IF(D$16=1,_xll.xCalcSkew($A74,N74-AW74,b)/100,0)</f>
        <v>#DIV/0!</v>
      </c>
      <c r="N74" s="96">
        <f t="shared" ca="1" si="68"/>
        <v>2.44</v>
      </c>
      <c r="P74" s="95">
        <f t="shared" ca="1" si="8"/>
        <v>0</v>
      </c>
      <c r="Q74" s="97">
        <f t="shared" ca="1" si="69"/>
        <v>1327</v>
      </c>
      <c r="R74" s="172" t="e">
        <f t="shared" ca="1" si="70"/>
        <v>#DIV/0!</v>
      </c>
      <c r="S74" s="77" t="e">
        <f ca="1">IF(F$16=1,_xll.xCalcSkew($A74,T74-BH74,b)/100,0)</f>
        <v>#DIV/0!</v>
      </c>
      <c r="T74" s="96">
        <f t="shared" ca="1" si="71"/>
        <v>2.44</v>
      </c>
      <c r="V74" s="95">
        <f t="shared" ca="1" si="12"/>
        <v>0</v>
      </c>
      <c r="W74" s="97">
        <f t="shared" ca="1" si="72"/>
        <v>1327</v>
      </c>
      <c r="X74" s="77" t="e">
        <f t="shared" ca="1" si="73"/>
        <v>#DIV/0!</v>
      </c>
      <c r="Y74" s="77" t="e">
        <f ca="1">IF(H$16=1,_xll.xCalcSkew($A74,Z74-BS74,b)/100,0)</f>
        <v>#DIV/0!</v>
      </c>
      <c r="Z74" s="96">
        <f t="shared" ca="1" si="74"/>
        <v>2.44</v>
      </c>
      <c r="AC74" s="97">
        <f t="shared" ca="1" si="16"/>
        <v>1330</v>
      </c>
      <c r="AD74" s="97">
        <f t="shared" ca="1" si="17"/>
        <v>1327</v>
      </c>
      <c r="AE74" s="77">
        <f t="shared" ca="1" si="46"/>
        <v>4.5909969215756997E-2</v>
      </c>
      <c r="AF74" s="152">
        <f t="shared" si="75"/>
        <v>30</v>
      </c>
      <c r="AG74" s="99"/>
      <c r="AH74" s="99"/>
      <c r="AI74" s="99"/>
      <c r="AJ74" s="99"/>
      <c r="AK74" s="78">
        <f t="shared" ca="1" si="76"/>
        <v>0</v>
      </c>
      <c r="AL74" s="288" t="e">
        <f t="shared" ca="1" si="47"/>
        <v>#DIV/0!</v>
      </c>
      <c r="AM74" s="75">
        <f t="shared" ca="1" si="77"/>
        <v>0</v>
      </c>
      <c r="AN74" s="100">
        <f t="shared" ca="1" si="78"/>
        <v>0</v>
      </c>
      <c r="AO74" s="99">
        <f t="shared" ca="1" si="79"/>
        <v>0</v>
      </c>
      <c r="AP74" s="99">
        <f t="shared" ca="1" si="80"/>
        <v>0</v>
      </c>
      <c r="AQ74" s="99">
        <f t="shared" ca="1" si="81"/>
        <v>0</v>
      </c>
      <c r="AR74" s="101">
        <f t="shared" ca="1" si="48"/>
        <v>0</v>
      </c>
      <c r="AS74" s="101">
        <f t="shared" ca="1" si="49"/>
        <v>0</v>
      </c>
      <c r="AT74" s="101">
        <f t="shared" ca="1" si="50"/>
        <v>0</v>
      </c>
      <c r="AV74" s="78">
        <f t="shared" ca="1" si="82"/>
        <v>0</v>
      </c>
      <c r="AW74" s="288" t="e">
        <f t="shared" ca="1" si="51"/>
        <v>#DIV/0!</v>
      </c>
      <c r="AX74" s="75">
        <f t="shared" ca="1" si="83"/>
        <v>0</v>
      </c>
      <c r="AY74" s="100">
        <f t="shared" ca="1" si="84"/>
        <v>0</v>
      </c>
      <c r="AZ74" s="99">
        <f t="shared" ca="1" si="85"/>
        <v>0</v>
      </c>
      <c r="BA74" s="99">
        <f t="shared" ca="1" si="86"/>
        <v>0</v>
      </c>
      <c r="BB74" s="99">
        <f t="shared" ca="1" si="87"/>
        <v>0</v>
      </c>
      <c r="BC74" s="101">
        <f t="shared" ca="1" si="52"/>
        <v>0</v>
      </c>
      <c r="BD74" s="101">
        <f t="shared" ca="1" si="53"/>
        <v>0</v>
      </c>
      <c r="BE74" s="101">
        <f t="shared" ca="1" si="54"/>
        <v>0</v>
      </c>
      <c r="BG74" s="78">
        <f t="shared" ca="1" si="88"/>
        <v>0</v>
      </c>
      <c r="BH74" s="288" t="e">
        <f t="shared" ca="1" si="55"/>
        <v>#DIV/0!</v>
      </c>
      <c r="BI74" s="75">
        <f t="shared" ca="1" si="89"/>
        <v>0</v>
      </c>
      <c r="BJ74" s="100">
        <f t="shared" ca="1" si="90"/>
        <v>0</v>
      </c>
      <c r="BK74" s="99">
        <f t="shared" ca="1" si="91"/>
        <v>0</v>
      </c>
      <c r="BL74" s="99">
        <f t="shared" ca="1" si="92"/>
        <v>0</v>
      </c>
      <c r="BM74" s="99">
        <f t="shared" ca="1" si="93"/>
        <v>0</v>
      </c>
      <c r="BN74" s="101">
        <f t="shared" ca="1" si="56"/>
        <v>0</v>
      </c>
      <c r="BO74" s="101">
        <f t="shared" ca="1" si="57"/>
        <v>0</v>
      </c>
      <c r="BP74" s="101">
        <f t="shared" ca="1" si="58"/>
        <v>0</v>
      </c>
      <c r="BR74" s="78">
        <f t="shared" ca="1" si="94"/>
        <v>0</v>
      </c>
      <c r="BS74" s="288" t="e">
        <f t="shared" ca="1" si="59"/>
        <v>#DIV/0!</v>
      </c>
      <c r="BT74" s="75">
        <f t="shared" ca="1" si="95"/>
        <v>0</v>
      </c>
      <c r="BU74" s="100">
        <f t="shared" ca="1" si="96"/>
        <v>0</v>
      </c>
      <c r="BV74" s="99">
        <f t="shared" ca="1" si="97"/>
        <v>0</v>
      </c>
      <c r="BW74" s="99">
        <f t="shared" ca="1" si="98"/>
        <v>0</v>
      </c>
      <c r="BX74" s="99">
        <f t="shared" ca="1" si="99"/>
        <v>0</v>
      </c>
      <c r="BY74" s="101">
        <f t="shared" ca="1" si="60"/>
        <v>0</v>
      </c>
      <c r="BZ74" s="101">
        <f t="shared" ca="1" si="61"/>
        <v>0</v>
      </c>
      <c r="CA74" s="101">
        <f t="shared" ca="1" si="62"/>
        <v>0</v>
      </c>
    </row>
    <row r="75" spans="1:79" x14ac:dyDescent="0.25">
      <c r="A75" s="94">
        <f t="shared" si="43"/>
        <v>38626</v>
      </c>
      <c r="B75" s="95">
        <f t="shared" ca="1" si="44"/>
        <v>3.214</v>
      </c>
      <c r="C75" s="77">
        <f t="shared" ca="1" si="45"/>
        <v>6.7278265800832016E-2</v>
      </c>
      <c r="D75" s="95">
        <f t="shared" ca="1" si="0"/>
        <v>0</v>
      </c>
      <c r="E75" s="97">
        <f t="shared" ca="1" si="63"/>
        <v>1359</v>
      </c>
      <c r="F75" s="77" t="e">
        <f t="shared" ca="1" si="64"/>
        <v>#DIV/0!</v>
      </c>
      <c r="G75" s="77" t="e">
        <f ca="1">IF(B$16=1,_xll.xCalcSkew(A75,H75-AL75,b)/100,0)</f>
        <v>#DIV/0!</v>
      </c>
      <c r="H75" s="96">
        <f t="shared" ca="1" si="65"/>
        <v>2.44</v>
      </c>
      <c r="J75" s="95">
        <f t="shared" ca="1" si="4"/>
        <v>0</v>
      </c>
      <c r="K75" s="97">
        <f t="shared" ca="1" si="66"/>
        <v>1359</v>
      </c>
      <c r="L75" s="172" t="e">
        <f t="shared" ca="1" si="67"/>
        <v>#DIV/0!</v>
      </c>
      <c r="M75" s="77" t="e">
        <f ca="1">IF(D$16=1,_xll.xCalcSkew($A75,N75-AW75,b)/100,0)</f>
        <v>#DIV/0!</v>
      </c>
      <c r="N75" s="96">
        <f t="shared" ca="1" si="68"/>
        <v>2.44</v>
      </c>
      <c r="P75" s="95">
        <f t="shared" ca="1" si="8"/>
        <v>0</v>
      </c>
      <c r="Q75" s="97">
        <f t="shared" ca="1" si="69"/>
        <v>1359</v>
      </c>
      <c r="R75" s="172" t="e">
        <f t="shared" ca="1" si="70"/>
        <v>#DIV/0!</v>
      </c>
      <c r="S75" s="77" t="e">
        <f ca="1">IF(F$16=1,_xll.xCalcSkew($A75,T75-BH75,b)/100,0)</f>
        <v>#DIV/0!</v>
      </c>
      <c r="T75" s="96">
        <f t="shared" ca="1" si="71"/>
        <v>2.44</v>
      </c>
      <c r="V75" s="95">
        <f t="shared" ca="1" si="12"/>
        <v>0</v>
      </c>
      <c r="W75" s="97">
        <f t="shared" ca="1" si="72"/>
        <v>1359</v>
      </c>
      <c r="X75" s="77" t="e">
        <f t="shared" ca="1" si="73"/>
        <v>#DIV/0!</v>
      </c>
      <c r="Y75" s="77" t="e">
        <f ca="1">IF(H$16=1,_xll.xCalcSkew($A75,Z75-BS75,b)/100,0)</f>
        <v>#DIV/0!</v>
      </c>
      <c r="Z75" s="96">
        <f t="shared" ca="1" si="74"/>
        <v>2.44</v>
      </c>
      <c r="AC75" s="97">
        <f t="shared" ca="1" si="16"/>
        <v>1360</v>
      </c>
      <c r="AD75" s="97">
        <f t="shared" ca="1" si="17"/>
        <v>1359</v>
      </c>
      <c r="AE75" s="77">
        <f t="shared" ca="1" si="46"/>
        <v>4.6326825605579998E-2</v>
      </c>
      <c r="AF75" s="152">
        <f t="shared" si="75"/>
        <v>31</v>
      </c>
      <c r="AI75" s="97"/>
      <c r="AJ75" s="78"/>
      <c r="AK75" s="78">
        <f t="shared" ca="1" si="76"/>
        <v>0</v>
      </c>
      <c r="AL75" s="288" t="e">
        <f t="shared" ca="1" si="47"/>
        <v>#DIV/0!</v>
      </c>
      <c r="AM75" s="75">
        <f t="shared" ca="1" si="77"/>
        <v>0</v>
      </c>
      <c r="AN75" s="100">
        <f t="shared" ca="1" si="78"/>
        <v>0</v>
      </c>
      <c r="AO75" s="99">
        <f t="shared" ca="1" si="79"/>
        <v>0</v>
      </c>
      <c r="AP75" s="99">
        <f t="shared" ca="1" si="80"/>
        <v>0</v>
      </c>
      <c r="AQ75" s="99">
        <f t="shared" ca="1" si="81"/>
        <v>0</v>
      </c>
      <c r="AR75" s="101">
        <f t="shared" ca="1" si="48"/>
        <v>0</v>
      </c>
      <c r="AS75" s="101">
        <f t="shared" ca="1" si="49"/>
        <v>0</v>
      </c>
      <c r="AT75" s="101">
        <f t="shared" ca="1" si="50"/>
        <v>0</v>
      </c>
      <c r="AV75" s="78">
        <f t="shared" ca="1" si="82"/>
        <v>0</v>
      </c>
      <c r="AW75" s="288" t="e">
        <f t="shared" ca="1" si="51"/>
        <v>#DIV/0!</v>
      </c>
      <c r="AX75" s="75">
        <f t="shared" ca="1" si="83"/>
        <v>0</v>
      </c>
      <c r="AY75" s="100">
        <f t="shared" ca="1" si="84"/>
        <v>0</v>
      </c>
      <c r="AZ75" s="99">
        <f t="shared" ca="1" si="85"/>
        <v>0</v>
      </c>
      <c r="BA75" s="99">
        <f t="shared" ca="1" si="86"/>
        <v>0</v>
      </c>
      <c r="BB75" s="99">
        <f t="shared" ca="1" si="87"/>
        <v>0</v>
      </c>
      <c r="BC75" s="101">
        <f t="shared" ca="1" si="52"/>
        <v>0</v>
      </c>
      <c r="BD75" s="101">
        <f t="shared" ca="1" si="53"/>
        <v>0</v>
      </c>
      <c r="BE75" s="101">
        <f t="shared" ca="1" si="54"/>
        <v>0</v>
      </c>
      <c r="BG75" s="78">
        <f t="shared" ca="1" si="88"/>
        <v>0</v>
      </c>
      <c r="BH75" s="288" t="e">
        <f t="shared" ca="1" si="55"/>
        <v>#DIV/0!</v>
      </c>
      <c r="BI75" s="75">
        <f t="shared" ca="1" si="89"/>
        <v>0</v>
      </c>
      <c r="BJ75" s="100">
        <f t="shared" ca="1" si="90"/>
        <v>0</v>
      </c>
      <c r="BK75" s="99">
        <f t="shared" ca="1" si="91"/>
        <v>0</v>
      </c>
      <c r="BL75" s="99">
        <f t="shared" ca="1" si="92"/>
        <v>0</v>
      </c>
      <c r="BM75" s="99">
        <f t="shared" ca="1" si="93"/>
        <v>0</v>
      </c>
      <c r="BN75" s="101">
        <f t="shared" ca="1" si="56"/>
        <v>0</v>
      </c>
      <c r="BO75" s="101">
        <f t="shared" ca="1" si="57"/>
        <v>0</v>
      </c>
      <c r="BP75" s="101">
        <f t="shared" ca="1" si="58"/>
        <v>0</v>
      </c>
      <c r="BR75" s="78">
        <f t="shared" ca="1" si="94"/>
        <v>0</v>
      </c>
      <c r="BS75" s="288" t="e">
        <f t="shared" ca="1" si="59"/>
        <v>#DIV/0!</v>
      </c>
      <c r="BT75" s="75">
        <f t="shared" ca="1" si="95"/>
        <v>0</v>
      </c>
      <c r="BU75" s="100">
        <f t="shared" ca="1" si="96"/>
        <v>0</v>
      </c>
      <c r="BV75" s="99">
        <f t="shared" ca="1" si="97"/>
        <v>0</v>
      </c>
      <c r="BW75" s="99">
        <f t="shared" ca="1" si="98"/>
        <v>0</v>
      </c>
      <c r="BX75" s="99">
        <f t="shared" ca="1" si="99"/>
        <v>0</v>
      </c>
      <c r="BY75" s="101">
        <f t="shared" ca="1" si="60"/>
        <v>0</v>
      </c>
      <c r="BZ75" s="101">
        <f t="shared" ca="1" si="61"/>
        <v>0</v>
      </c>
      <c r="CA75" s="101">
        <f t="shared" ca="1" si="62"/>
        <v>0</v>
      </c>
    </row>
    <row r="76" spans="1:79" x14ac:dyDescent="0.25">
      <c r="A76" s="94">
        <f t="shared" si="43"/>
        <v>38657</v>
      </c>
      <c r="B76" s="95">
        <f t="shared" ca="1" si="44"/>
        <v>3.359</v>
      </c>
      <c r="C76" s="77">
        <f t="shared" ca="1" si="45"/>
        <v>6.4023303991623218E-2</v>
      </c>
      <c r="D76" s="95">
        <f t="shared" ca="1" si="0"/>
        <v>0</v>
      </c>
      <c r="E76" s="97">
        <f t="shared" ca="1" si="63"/>
        <v>1388</v>
      </c>
      <c r="F76" s="77" t="e">
        <f t="shared" ca="1" si="64"/>
        <v>#DIV/0!</v>
      </c>
      <c r="G76" s="77" t="e">
        <f ca="1">IF(B$16=1,_xll.xCalcSkew(A76,H76-AL76,b)/100,0)</f>
        <v>#DIV/0!</v>
      </c>
      <c r="H76" s="96">
        <f t="shared" ca="1" si="65"/>
        <v>2.44</v>
      </c>
      <c r="J76" s="95">
        <f t="shared" ca="1" si="4"/>
        <v>0</v>
      </c>
      <c r="K76" s="97">
        <f t="shared" ca="1" si="66"/>
        <v>1388</v>
      </c>
      <c r="L76" s="172" t="e">
        <f t="shared" ca="1" si="67"/>
        <v>#DIV/0!</v>
      </c>
      <c r="M76" s="77" t="e">
        <f ca="1">IF(D$16=1,_xll.xCalcSkew($A76,N76-AW76,b)/100,0)</f>
        <v>#DIV/0!</v>
      </c>
      <c r="N76" s="96">
        <f t="shared" ca="1" si="68"/>
        <v>2.44</v>
      </c>
      <c r="P76" s="95">
        <f t="shared" ca="1" si="8"/>
        <v>0</v>
      </c>
      <c r="Q76" s="97">
        <f t="shared" ca="1" si="69"/>
        <v>1388</v>
      </c>
      <c r="R76" s="172" t="e">
        <f t="shared" ca="1" si="70"/>
        <v>#DIV/0!</v>
      </c>
      <c r="S76" s="77" t="e">
        <f ca="1">IF(F$16=1,_xll.xCalcSkew($A76,T76-BH76,b)/100,0)</f>
        <v>#DIV/0!</v>
      </c>
      <c r="T76" s="96">
        <f t="shared" ca="1" si="71"/>
        <v>2.44</v>
      </c>
      <c r="V76" s="95">
        <f t="shared" ca="1" si="12"/>
        <v>0</v>
      </c>
      <c r="W76" s="97">
        <f t="shared" ca="1" si="72"/>
        <v>1388</v>
      </c>
      <c r="X76" s="77" t="e">
        <f t="shared" ca="1" si="73"/>
        <v>#DIV/0!</v>
      </c>
      <c r="Y76" s="77" t="e">
        <f ca="1">IF(H$16=1,_xll.xCalcSkew($A76,Z76-BS76,b)/100,0)</f>
        <v>#DIV/0!</v>
      </c>
      <c r="Z76" s="96">
        <f t="shared" ca="1" si="74"/>
        <v>2.44</v>
      </c>
      <c r="AC76" s="97">
        <f t="shared" ca="1" si="16"/>
        <v>1389</v>
      </c>
      <c r="AD76" s="97">
        <f t="shared" ca="1" si="17"/>
        <v>1388</v>
      </c>
      <c r="AE76" s="77">
        <f t="shared" ca="1" si="46"/>
        <v>4.6716549265346498E-2</v>
      </c>
      <c r="AF76" s="152">
        <f t="shared" si="75"/>
        <v>30</v>
      </c>
      <c r="AI76" s="97"/>
      <c r="AJ76" s="78"/>
      <c r="AK76" s="78">
        <f t="shared" ca="1" si="76"/>
        <v>0</v>
      </c>
      <c r="AL76" s="288" t="e">
        <f t="shared" ca="1" si="47"/>
        <v>#DIV/0!</v>
      </c>
      <c r="AM76" s="75">
        <f t="shared" ca="1" si="77"/>
        <v>0</v>
      </c>
      <c r="AN76" s="100">
        <f t="shared" ca="1" si="78"/>
        <v>0</v>
      </c>
      <c r="AO76" s="99">
        <f t="shared" ca="1" si="79"/>
        <v>0</v>
      </c>
      <c r="AP76" s="99">
        <f t="shared" ca="1" si="80"/>
        <v>0</v>
      </c>
      <c r="AQ76" s="99">
        <f t="shared" ca="1" si="81"/>
        <v>0</v>
      </c>
      <c r="AR76" s="101">
        <f t="shared" ca="1" si="48"/>
        <v>0</v>
      </c>
      <c r="AS76" s="101">
        <f t="shared" ca="1" si="49"/>
        <v>0</v>
      </c>
      <c r="AT76" s="101">
        <f t="shared" ca="1" si="50"/>
        <v>0</v>
      </c>
      <c r="AV76" s="78">
        <f t="shared" ca="1" si="82"/>
        <v>0</v>
      </c>
      <c r="AW76" s="288" t="e">
        <f t="shared" ca="1" si="51"/>
        <v>#DIV/0!</v>
      </c>
      <c r="AX76" s="75">
        <f t="shared" ca="1" si="83"/>
        <v>0</v>
      </c>
      <c r="AY76" s="100">
        <f t="shared" ca="1" si="84"/>
        <v>0</v>
      </c>
      <c r="AZ76" s="99">
        <f t="shared" ca="1" si="85"/>
        <v>0</v>
      </c>
      <c r="BA76" s="99">
        <f t="shared" ca="1" si="86"/>
        <v>0</v>
      </c>
      <c r="BB76" s="99">
        <f t="shared" ca="1" si="87"/>
        <v>0</v>
      </c>
      <c r="BC76" s="101">
        <f t="shared" ca="1" si="52"/>
        <v>0</v>
      </c>
      <c r="BD76" s="101">
        <f t="shared" ca="1" si="53"/>
        <v>0</v>
      </c>
      <c r="BE76" s="101">
        <f t="shared" ca="1" si="54"/>
        <v>0</v>
      </c>
      <c r="BG76" s="78">
        <f t="shared" ca="1" si="88"/>
        <v>0</v>
      </c>
      <c r="BH76" s="288" t="e">
        <f t="shared" ca="1" si="55"/>
        <v>#DIV/0!</v>
      </c>
      <c r="BI76" s="75">
        <f t="shared" ca="1" si="89"/>
        <v>0</v>
      </c>
      <c r="BJ76" s="100">
        <f t="shared" ca="1" si="90"/>
        <v>0</v>
      </c>
      <c r="BK76" s="99">
        <f t="shared" ca="1" si="91"/>
        <v>0</v>
      </c>
      <c r="BL76" s="99">
        <f t="shared" ca="1" si="92"/>
        <v>0</v>
      </c>
      <c r="BM76" s="99">
        <f t="shared" ca="1" si="93"/>
        <v>0</v>
      </c>
      <c r="BN76" s="101">
        <f t="shared" ca="1" si="56"/>
        <v>0</v>
      </c>
      <c r="BO76" s="101">
        <f t="shared" ca="1" si="57"/>
        <v>0</v>
      </c>
      <c r="BP76" s="101">
        <f t="shared" ca="1" si="58"/>
        <v>0</v>
      </c>
      <c r="BR76" s="78">
        <f t="shared" ca="1" si="94"/>
        <v>0</v>
      </c>
      <c r="BS76" s="288" t="e">
        <f t="shared" ca="1" si="59"/>
        <v>#DIV/0!</v>
      </c>
      <c r="BT76" s="75">
        <f t="shared" ca="1" si="95"/>
        <v>0</v>
      </c>
      <c r="BU76" s="100">
        <f t="shared" ca="1" si="96"/>
        <v>0</v>
      </c>
      <c r="BV76" s="99">
        <f t="shared" ca="1" si="97"/>
        <v>0</v>
      </c>
      <c r="BW76" s="99">
        <f t="shared" ca="1" si="98"/>
        <v>0</v>
      </c>
      <c r="BX76" s="99">
        <f t="shared" ca="1" si="99"/>
        <v>0</v>
      </c>
      <c r="BY76" s="101">
        <f t="shared" ca="1" si="60"/>
        <v>0</v>
      </c>
      <c r="BZ76" s="101">
        <f t="shared" ca="1" si="61"/>
        <v>0</v>
      </c>
      <c r="CA76" s="101">
        <f t="shared" ca="1" si="62"/>
        <v>0</v>
      </c>
    </row>
    <row r="77" spans="1:79" x14ac:dyDescent="0.25">
      <c r="A77" s="94">
        <f t="shared" si="43"/>
        <v>38687</v>
      </c>
      <c r="B77" s="95">
        <f t="shared" ca="1" si="44"/>
        <v>3.4939999999999998</v>
      </c>
      <c r="C77" s="77">
        <f t="shared" ca="1" si="45"/>
        <v>6.1215065454066894E-2</v>
      </c>
      <c r="D77" s="95">
        <f t="shared" ca="1" si="0"/>
        <v>0</v>
      </c>
      <c r="E77" s="97">
        <f t="shared" ca="1" si="63"/>
        <v>1418</v>
      </c>
      <c r="F77" s="77" t="e">
        <f t="shared" ca="1" si="64"/>
        <v>#DIV/0!</v>
      </c>
      <c r="G77" s="77" t="e">
        <f ca="1">IF(B$16=1,_xll.xCalcSkew(A77,H77-AL77,b)/100,0)</f>
        <v>#DIV/0!</v>
      </c>
      <c r="H77" s="96">
        <f t="shared" ca="1" si="65"/>
        <v>2.44</v>
      </c>
      <c r="J77" s="95">
        <f t="shared" ca="1" si="4"/>
        <v>0</v>
      </c>
      <c r="K77" s="97">
        <f t="shared" ca="1" si="66"/>
        <v>1418</v>
      </c>
      <c r="L77" s="172" t="e">
        <f t="shared" ca="1" si="67"/>
        <v>#DIV/0!</v>
      </c>
      <c r="M77" s="77" t="e">
        <f ca="1">IF(D$16=1,_xll.xCalcSkew($A77,N77-AW77,b)/100,0)</f>
        <v>#DIV/0!</v>
      </c>
      <c r="N77" s="96">
        <f t="shared" ca="1" si="68"/>
        <v>2.44</v>
      </c>
      <c r="P77" s="95">
        <f t="shared" ca="1" si="8"/>
        <v>0</v>
      </c>
      <c r="Q77" s="97">
        <f t="shared" ca="1" si="69"/>
        <v>1418</v>
      </c>
      <c r="R77" s="172" t="e">
        <f t="shared" ca="1" si="70"/>
        <v>#DIV/0!</v>
      </c>
      <c r="S77" s="77" t="e">
        <f ca="1">IF(F$16=1,_xll.xCalcSkew($A77,T77-BH77,b)/100,0)</f>
        <v>#DIV/0!</v>
      </c>
      <c r="T77" s="96">
        <f t="shared" ca="1" si="71"/>
        <v>2.44</v>
      </c>
      <c r="V77" s="95">
        <f t="shared" ca="1" si="12"/>
        <v>0</v>
      </c>
      <c r="W77" s="97">
        <f t="shared" ca="1" si="72"/>
        <v>1418</v>
      </c>
      <c r="X77" s="77" t="e">
        <f t="shared" ca="1" si="73"/>
        <v>#DIV/0!</v>
      </c>
      <c r="Y77" s="77" t="e">
        <f ca="1">IF(H$16=1,_xll.xCalcSkew($A77,Z77-BS77,b)/100,0)</f>
        <v>#DIV/0!</v>
      </c>
      <c r="Z77" s="96">
        <f t="shared" ca="1" si="74"/>
        <v>2.44</v>
      </c>
      <c r="AC77" s="97">
        <f t="shared" ca="1" si="16"/>
        <v>1421</v>
      </c>
      <c r="AD77" s="97">
        <f t="shared" ca="1" si="17"/>
        <v>1418</v>
      </c>
      <c r="AE77" s="77">
        <f t="shared" ca="1" si="46"/>
        <v>4.70928800068173E-2</v>
      </c>
      <c r="AF77" s="152">
        <f t="shared" si="75"/>
        <v>31</v>
      </c>
      <c r="AI77" s="97"/>
      <c r="AJ77" s="78"/>
      <c r="AK77" s="78">
        <f t="shared" ca="1" si="76"/>
        <v>0</v>
      </c>
      <c r="AL77" s="288" t="e">
        <f t="shared" ca="1" si="47"/>
        <v>#DIV/0!</v>
      </c>
      <c r="AM77" s="75">
        <f t="shared" ca="1" si="77"/>
        <v>0</v>
      </c>
      <c r="AN77" s="100">
        <f t="shared" ca="1" si="78"/>
        <v>0</v>
      </c>
      <c r="AO77" s="99">
        <f t="shared" ca="1" si="79"/>
        <v>0</v>
      </c>
      <c r="AP77" s="99">
        <f t="shared" ca="1" si="80"/>
        <v>0</v>
      </c>
      <c r="AQ77" s="99">
        <f t="shared" ca="1" si="81"/>
        <v>0</v>
      </c>
      <c r="AR77" s="101">
        <f t="shared" ca="1" si="48"/>
        <v>0</v>
      </c>
      <c r="AS77" s="101">
        <f t="shared" ca="1" si="49"/>
        <v>0</v>
      </c>
      <c r="AT77" s="101">
        <f t="shared" ca="1" si="50"/>
        <v>0</v>
      </c>
      <c r="AV77" s="78">
        <f t="shared" ca="1" si="82"/>
        <v>0</v>
      </c>
      <c r="AW77" s="288" t="e">
        <f t="shared" ca="1" si="51"/>
        <v>#DIV/0!</v>
      </c>
      <c r="AX77" s="75">
        <f t="shared" ca="1" si="83"/>
        <v>0</v>
      </c>
      <c r="AY77" s="100">
        <f t="shared" ca="1" si="84"/>
        <v>0</v>
      </c>
      <c r="AZ77" s="99">
        <f t="shared" ca="1" si="85"/>
        <v>0</v>
      </c>
      <c r="BA77" s="99">
        <f t="shared" ca="1" si="86"/>
        <v>0</v>
      </c>
      <c r="BB77" s="99">
        <f t="shared" ca="1" si="87"/>
        <v>0</v>
      </c>
      <c r="BC77" s="101">
        <f t="shared" ca="1" si="52"/>
        <v>0</v>
      </c>
      <c r="BD77" s="101">
        <f t="shared" ca="1" si="53"/>
        <v>0</v>
      </c>
      <c r="BE77" s="101">
        <f t="shared" ca="1" si="54"/>
        <v>0</v>
      </c>
      <c r="BG77" s="78">
        <f t="shared" ca="1" si="88"/>
        <v>0</v>
      </c>
      <c r="BH77" s="288" t="e">
        <f t="shared" ca="1" si="55"/>
        <v>#DIV/0!</v>
      </c>
      <c r="BI77" s="75">
        <f t="shared" ca="1" si="89"/>
        <v>0</v>
      </c>
      <c r="BJ77" s="100">
        <f t="shared" ca="1" si="90"/>
        <v>0</v>
      </c>
      <c r="BK77" s="99">
        <f t="shared" ca="1" si="91"/>
        <v>0</v>
      </c>
      <c r="BL77" s="99">
        <f t="shared" ca="1" si="92"/>
        <v>0</v>
      </c>
      <c r="BM77" s="99">
        <f t="shared" ca="1" si="93"/>
        <v>0</v>
      </c>
      <c r="BN77" s="101">
        <f t="shared" ca="1" si="56"/>
        <v>0</v>
      </c>
      <c r="BO77" s="101">
        <f t="shared" ca="1" si="57"/>
        <v>0</v>
      </c>
      <c r="BP77" s="101">
        <f t="shared" ca="1" si="58"/>
        <v>0</v>
      </c>
      <c r="BR77" s="78">
        <f t="shared" ca="1" si="94"/>
        <v>0</v>
      </c>
      <c r="BS77" s="288" t="e">
        <f t="shared" ca="1" si="59"/>
        <v>#DIV/0!</v>
      </c>
      <c r="BT77" s="75">
        <f t="shared" ca="1" si="95"/>
        <v>0</v>
      </c>
      <c r="BU77" s="100">
        <f t="shared" ca="1" si="96"/>
        <v>0</v>
      </c>
      <c r="BV77" s="99">
        <f t="shared" ca="1" si="97"/>
        <v>0</v>
      </c>
      <c r="BW77" s="99">
        <f t="shared" ca="1" si="98"/>
        <v>0</v>
      </c>
      <c r="BX77" s="99">
        <f t="shared" ca="1" si="99"/>
        <v>0</v>
      </c>
      <c r="BY77" s="101">
        <f t="shared" ca="1" si="60"/>
        <v>0</v>
      </c>
      <c r="BZ77" s="101">
        <f t="shared" ca="1" si="61"/>
        <v>0</v>
      </c>
      <c r="CA77" s="101">
        <f t="shared" ca="1" si="62"/>
        <v>0</v>
      </c>
    </row>
    <row r="78" spans="1:79" x14ac:dyDescent="0.25">
      <c r="A78" s="94">
        <f t="shared" si="43"/>
        <v>38718</v>
      </c>
      <c r="B78" s="95">
        <f t="shared" ca="1" si="44"/>
        <v>3.5489999999999999</v>
      </c>
      <c r="C78" s="77">
        <f t="shared" ca="1" si="45"/>
        <v>5.9929318393185847E-2</v>
      </c>
      <c r="D78" s="95">
        <f t="shared" ca="1" si="0"/>
        <v>0</v>
      </c>
      <c r="E78" s="97">
        <f t="shared" ca="1" si="63"/>
        <v>1450</v>
      </c>
      <c r="F78" s="77" t="e">
        <f t="shared" ca="1" si="64"/>
        <v>#DIV/0!</v>
      </c>
      <c r="G78" s="77" t="e">
        <f ca="1">IF(B$16=1,_xll.xCalcSkew(A78,H78-AL78,b)/100,0)</f>
        <v>#DIV/0!</v>
      </c>
      <c r="H78" s="96">
        <f t="shared" ca="1" si="65"/>
        <v>2.44</v>
      </c>
      <c r="J78" s="95">
        <f t="shared" ca="1" si="4"/>
        <v>0</v>
      </c>
      <c r="K78" s="97">
        <f t="shared" ca="1" si="66"/>
        <v>1450</v>
      </c>
      <c r="L78" s="172" t="e">
        <f t="shared" ca="1" si="67"/>
        <v>#DIV/0!</v>
      </c>
      <c r="M78" s="77" t="e">
        <f ca="1">IF(D$16=1,_xll.xCalcSkew($A78,N78-AW78,b)/100,0)</f>
        <v>#DIV/0!</v>
      </c>
      <c r="N78" s="96">
        <f t="shared" ca="1" si="68"/>
        <v>2.44</v>
      </c>
      <c r="P78" s="95">
        <f t="shared" ca="1" si="8"/>
        <v>0</v>
      </c>
      <c r="Q78" s="97">
        <f t="shared" ca="1" si="69"/>
        <v>1450</v>
      </c>
      <c r="R78" s="172" t="e">
        <f t="shared" ca="1" si="70"/>
        <v>#DIV/0!</v>
      </c>
      <c r="S78" s="77" t="e">
        <f ca="1">IF(F$16=1,_xll.xCalcSkew($A78,T78-BH78,b)/100,0)</f>
        <v>#DIV/0!</v>
      </c>
      <c r="T78" s="96">
        <f t="shared" ca="1" si="71"/>
        <v>2.44</v>
      </c>
      <c r="V78" s="95">
        <f t="shared" ca="1" si="12"/>
        <v>0</v>
      </c>
      <c r="W78" s="97">
        <f t="shared" ca="1" si="72"/>
        <v>1450</v>
      </c>
      <c r="X78" s="77" t="e">
        <f t="shared" ca="1" si="73"/>
        <v>#DIV/0!</v>
      </c>
      <c r="Y78" s="77" t="e">
        <f ca="1">IF(H$16=1,_xll.xCalcSkew($A78,Z78-BS78,b)/100,0)</f>
        <v>#DIV/0!</v>
      </c>
      <c r="Z78" s="96">
        <f t="shared" ca="1" si="74"/>
        <v>2.44</v>
      </c>
      <c r="AC78" s="97">
        <f t="shared" ca="1" si="16"/>
        <v>1451</v>
      </c>
      <c r="AD78" s="97">
        <f t="shared" ca="1" si="17"/>
        <v>1450</v>
      </c>
      <c r="AE78" s="77">
        <f t="shared" ca="1" si="46"/>
        <v>4.7457071092037201E-2</v>
      </c>
      <c r="AF78" s="152">
        <f t="shared" si="75"/>
        <v>31</v>
      </c>
      <c r="AI78" s="97"/>
      <c r="AJ78" s="78"/>
      <c r="AK78" s="78">
        <f t="shared" ca="1" si="76"/>
        <v>0</v>
      </c>
      <c r="AL78" s="288" t="e">
        <f t="shared" ca="1" si="47"/>
        <v>#DIV/0!</v>
      </c>
      <c r="AM78" s="75">
        <f t="shared" ca="1" si="77"/>
        <v>0</v>
      </c>
      <c r="AN78" s="100">
        <f t="shared" ca="1" si="78"/>
        <v>0</v>
      </c>
      <c r="AO78" s="99">
        <f t="shared" ca="1" si="79"/>
        <v>0</v>
      </c>
      <c r="AP78" s="99">
        <f t="shared" ca="1" si="80"/>
        <v>0</v>
      </c>
      <c r="AQ78" s="99">
        <f t="shared" ca="1" si="81"/>
        <v>0</v>
      </c>
      <c r="AR78" s="101">
        <f t="shared" ca="1" si="48"/>
        <v>0</v>
      </c>
      <c r="AS78" s="101">
        <f t="shared" ca="1" si="49"/>
        <v>0</v>
      </c>
      <c r="AT78" s="101">
        <f t="shared" ca="1" si="50"/>
        <v>0</v>
      </c>
      <c r="AV78" s="78">
        <f t="shared" ca="1" si="82"/>
        <v>0</v>
      </c>
      <c r="AW78" s="288" t="e">
        <f t="shared" ca="1" si="51"/>
        <v>#DIV/0!</v>
      </c>
      <c r="AX78" s="75">
        <f t="shared" ca="1" si="83"/>
        <v>0</v>
      </c>
      <c r="AY78" s="100">
        <f t="shared" ca="1" si="84"/>
        <v>0</v>
      </c>
      <c r="AZ78" s="99">
        <f t="shared" ca="1" si="85"/>
        <v>0</v>
      </c>
      <c r="BA78" s="99">
        <f t="shared" ca="1" si="86"/>
        <v>0</v>
      </c>
      <c r="BB78" s="99">
        <f t="shared" ca="1" si="87"/>
        <v>0</v>
      </c>
      <c r="BC78" s="101">
        <f t="shared" ca="1" si="52"/>
        <v>0</v>
      </c>
      <c r="BD78" s="101">
        <f t="shared" ca="1" si="53"/>
        <v>0</v>
      </c>
      <c r="BE78" s="101">
        <f t="shared" ca="1" si="54"/>
        <v>0</v>
      </c>
      <c r="BG78" s="78">
        <f t="shared" ca="1" si="88"/>
        <v>0</v>
      </c>
      <c r="BH78" s="288" t="e">
        <f t="shared" ca="1" si="55"/>
        <v>#DIV/0!</v>
      </c>
      <c r="BI78" s="75">
        <f t="shared" ca="1" si="89"/>
        <v>0</v>
      </c>
      <c r="BJ78" s="100">
        <f t="shared" ca="1" si="90"/>
        <v>0</v>
      </c>
      <c r="BK78" s="99">
        <f t="shared" ca="1" si="91"/>
        <v>0</v>
      </c>
      <c r="BL78" s="99">
        <f t="shared" ca="1" si="92"/>
        <v>0</v>
      </c>
      <c r="BM78" s="99">
        <f t="shared" ca="1" si="93"/>
        <v>0</v>
      </c>
      <c r="BN78" s="101">
        <f t="shared" ca="1" si="56"/>
        <v>0</v>
      </c>
      <c r="BO78" s="101">
        <f t="shared" ca="1" si="57"/>
        <v>0</v>
      </c>
      <c r="BP78" s="101">
        <f t="shared" ca="1" si="58"/>
        <v>0</v>
      </c>
      <c r="BR78" s="78">
        <f t="shared" ca="1" si="94"/>
        <v>0</v>
      </c>
      <c r="BS78" s="288" t="e">
        <f t="shared" ca="1" si="59"/>
        <v>#DIV/0!</v>
      </c>
      <c r="BT78" s="75">
        <f t="shared" ca="1" si="95"/>
        <v>0</v>
      </c>
      <c r="BU78" s="100">
        <f t="shared" ca="1" si="96"/>
        <v>0</v>
      </c>
      <c r="BV78" s="99">
        <f t="shared" ca="1" si="97"/>
        <v>0</v>
      </c>
      <c r="BW78" s="99">
        <f t="shared" ca="1" si="98"/>
        <v>0</v>
      </c>
      <c r="BX78" s="99">
        <f t="shared" ca="1" si="99"/>
        <v>0</v>
      </c>
      <c r="BY78" s="101">
        <f t="shared" ca="1" si="60"/>
        <v>0</v>
      </c>
      <c r="BZ78" s="101">
        <f t="shared" ca="1" si="61"/>
        <v>0</v>
      </c>
      <c r="CA78" s="101">
        <f t="shared" ca="1" si="62"/>
        <v>0</v>
      </c>
    </row>
    <row r="79" spans="1:79" x14ac:dyDescent="0.25">
      <c r="A79" s="94">
        <f t="shared" si="43"/>
        <v>38749</v>
      </c>
      <c r="B79" s="95">
        <f t="shared" ca="1" si="44"/>
        <v>3.4009999999999998</v>
      </c>
      <c r="C79" s="77">
        <f t="shared" ca="1" si="45"/>
        <v>6.2233544135687976E-2</v>
      </c>
      <c r="D79" s="95">
        <f t="shared" ca="1" si="0"/>
        <v>0</v>
      </c>
      <c r="E79" s="97">
        <f t="shared" ca="1" si="63"/>
        <v>1480</v>
      </c>
      <c r="F79" s="77" t="e">
        <f t="shared" ca="1" si="64"/>
        <v>#DIV/0!</v>
      </c>
      <c r="G79" s="77" t="e">
        <f ca="1">IF(B$16=1,_xll.xCalcSkew(A79,H79-AL79,b)/100,0)</f>
        <v>#DIV/0!</v>
      </c>
      <c r="H79" s="96">
        <f t="shared" ca="1" si="65"/>
        <v>2.44</v>
      </c>
      <c r="J79" s="95">
        <f t="shared" ca="1" si="4"/>
        <v>0</v>
      </c>
      <c r="K79" s="97">
        <f t="shared" ca="1" si="66"/>
        <v>1480</v>
      </c>
      <c r="L79" s="172" t="e">
        <f t="shared" ca="1" si="67"/>
        <v>#DIV/0!</v>
      </c>
      <c r="M79" s="77" t="e">
        <f ca="1">IF(D$16=1,_xll.xCalcSkew($A79,N79-AW79,b)/100,0)</f>
        <v>#DIV/0!</v>
      </c>
      <c r="N79" s="96">
        <f t="shared" ca="1" si="68"/>
        <v>2.44</v>
      </c>
      <c r="P79" s="95">
        <f t="shared" ca="1" si="8"/>
        <v>0</v>
      </c>
      <c r="Q79" s="97">
        <f t="shared" ca="1" si="69"/>
        <v>1480</v>
      </c>
      <c r="R79" s="172" t="e">
        <f t="shared" ca="1" si="70"/>
        <v>#DIV/0!</v>
      </c>
      <c r="S79" s="77" t="e">
        <f ca="1">IF(F$16=1,_xll.xCalcSkew($A79,T79-BH79,b)/100,0)</f>
        <v>#DIV/0!</v>
      </c>
      <c r="T79" s="96">
        <f t="shared" ca="1" si="71"/>
        <v>2.44</v>
      </c>
      <c r="V79" s="95">
        <f t="shared" ca="1" si="12"/>
        <v>0</v>
      </c>
      <c r="W79" s="97">
        <f t="shared" ca="1" si="72"/>
        <v>1480</v>
      </c>
      <c r="X79" s="77" t="e">
        <f t="shared" ca="1" si="73"/>
        <v>#DIV/0!</v>
      </c>
      <c r="Y79" s="77" t="e">
        <f ca="1">IF(H$16=1,_xll.xCalcSkew($A79,Z79-BS79,b)/100,0)</f>
        <v>#DIV/0!</v>
      </c>
      <c r="Z79" s="96">
        <f t="shared" ca="1" si="74"/>
        <v>2.44</v>
      </c>
      <c r="AC79" s="97">
        <f t="shared" ca="1" si="16"/>
        <v>1481</v>
      </c>
      <c r="AD79" s="97">
        <f t="shared" ca="1" si="17"/>
        <v>1480</v>
      </c>
      <c r="AE79" s="77">
        <f t="shared" ca="1" si="46"/>
        <v>4.7810067825002203E-2</v>
      </c>
      <c r="AF79" s="152">
        <f t="shared" si="75"/>
        <v>28</v>
      </c>
      <c r="AI79" s="97"/>
      <c r="AJ79" s="78"/>
      <c r="AK79" s="78">
        <f t="shared" ca="1" si="76"/>
        <v>0</v>
      </c>
      <c r="AL79" s="288" t="e">
        <f t="shared" ca="1" si="47"/>
        <v>#DIV/0!</v>
      </c>
      <c r="AM79" s="75">
        <f t="shared" ca="1" si="77"/>
        <v>0</v>
      </c>
      <c r="AN79" s="100">
        <f t="shared" ca="1" si="78"/>
        <v>0</v>
      </c>
      <c r="AO79" s="99">
        <f t="shared" ca="1" si="79"/>
        <v>0</v>
      </c>
      <c r="AP79" s="99">
        <f t="shared" ca="1" si="80"/>
        <v>0</v>
      </c>
      <c r="AQ79" s="99">
        <f t="shared" ca="1" si="81"/>
        <v>0</v>
      </c>
      <c r="AR79" s="101">
        <f t="shared" ca="1" si="48"/>
        <v>0</v>
      </c>
      <c r="AS79" s="101">
        <f t="shared" ca="1" si="49"/>
        <v>0</v>
      </c>
      <c r="AT79" s="101">
        <f t="shared" ca="1" si="50"/>
        <v>0</v>
      </c>
      <c r="AV79" s="78">
        <f t="shared" ca="1" si="82"/>
        <v>0</v>
      </c>
      <c r="AW79" s="288" t="e">
        <f t="shared" ca="1" si="51"/>
        <v>#DIV/0!</v>
      </c>
      <c r="AX79" s="75">
        <f t="shared" ca="1" si="83"/>
        <v>0</v>
      </c>
      <c r="AY79" s="100">
        <f t="shared" ca="1" si="84"/>
        <v>0</v>
      </c>
      <c r="AZ79" s="99">
        <f t="shared" ca="1" si="85"/>
        <v>0</v>
      </c>
      <c r="BA79" s="99">
        <f t="shared" ca="1" si="86"/>
        <v>0</v>
      </c>
      <c r="BB79" s="99">
        <f t="shared" ca="1" si="87"/>
        <v>0</v>
      </c>
      <c r="BC79" s="101">
        <f t="shared" ca="1" si="52"/>
        <v>0</v>
      </c>
      <c r="BD79" s="101">
        <f t="shared" ca="1" si="53"/>
        <v>0</v>
      </c>
      <c r="BE79" s="101">
        <f t="shared" ca="1" si="54"/>
        <v>0</v>
      </c>
      <c r="BG79" s="78">
        <f t="shared" ca="1" si="88"/>
        <v>0</v>
      </c>
      <c r="BH79" s="288" t="e">
        <f t="shared" ca="1" si="55"/>
        <v>#DIV/0!</v>
      </c>
      <c r="BI79" s="75">
        <f t="shared" ca="1" si="89"/>
        <v>0</v>
      </c>
      <c r="BJ79" s="100">
        <f t="shared" ca="1" si="90"/>
        <v>0</v>
      </c>
      <c r="BK79" s="99">
        <f t="shared" ca="1" si="91"/>
        <v>0</v>
      </c>
      <c r="BL79" s="99">
        <f t="shared" ca="1" si="92"/>
        <v>0</v>
      </c>
      <c r="BM79" s="99">
        <f t="shared" ca="1" si="93"/>
        <v>0</v>
      </c>
      <c r="BN79" s="101">
        <f t="shared" ca="1" si="56"/>
        <v>0</v>
      </c>
      <c r="BO79" s="101">
        <f t="shared" ca="1" si="57"/>
        <v>0</v>
      </c>
      <c r="BP79" s="101">
        <f t="shared" ca="1" si="58"/>
        <v>0</v>
      </c>
      <c r="BR79" s="78">
        <f t="shared" ca="1" si="94"/>
        <v>0</v>
      </c>
      <c r="BS79" s="288" t="e">
        <f t="shared" ca="1" si="59"/>
        <v>#DIV/0!</v>
      </c>
      <c r="BT79" s="75">
        <f t="shared" ca="1" si="95"/>
        <v>0</v>
      </c>
      <c r="BU79" s="100">
        <f t="shared" ca="1" si="96"/>
        <v>0</v>
      </c>
      <c r="BV79" s="99">
        <f t="shared" ca="1" si="97"/>
        <v>0</v>
      </c>
      <c r="BW79" s="99">
        <f t="shared" ca="1" si="98"/>
        <v>0</v>
      </c>
      <c r="BX79" s="99">
        <f t="shared" ca="1" si="99"/>
        <v>0</v>
      </c>
      <c r="BY79" s="101">
        <f t="shared" ca="1" si="60"/>
        <v>0</v>
      </c>
      <c r="BZ79" s="101">
        <f t="shared" ca="1" si="61"/>
        <v>0</v>
      </c>
      <c r="CA79" s="101">
        <f t="shared" ca="1" si="62"/>
        <v>0</v>
      </c>
    </row>
    <row r="80" spans="1:79" x14ac:dyDescent="0.25">
      <c r="A80" s="94">
        <f t="shared" si="43"/>
        <v>38777</v>
      </c>
      <c r="B80" s="95">
        <f t="shared" ca="1" si="44"/>
        <v>3.3499999999999996</v>
      </c>
      <c r="C80" s="77">
        <f t="shared" ca="1" si="45"/>
        <v>6.2904885165444471E-2</v>
      </c>
      <c r="D80" s="95">
        <f t="shared" ca="1" si="0"/>
        <v>0</v>
      </c>
      <c r="E80" s="97">
        <f t="shared" ca="1" si="63"/>
        <v>1508</v>
      </c>
      <c r="F80" s="77" t="e">
        <f t="shared" ca="1" si="64"/>
        <v>#DIV/0!</v>
      </c>
      <c r="G80" s="77" t="e">
        <f ca="1">IF(B$16=1,_xll.xCalcSkew(A80,H80-AL80,b)/100,0)</f>
        <v>#DIV/0!</v>
      </c>
      <c r="H80" s="96">
        <f t="shared" ca="1" si="65"/>
        <v>2.44</v>
      </c>
      <c r="J80" s="95">
        <f t="shared" ca="1" si="4"/>
        <v>0</v>
      </c>
      <c r="K80" s="97">
        <f t="shared" ca="1" si="66"/>
        <v>1508</v>
      </c>
      <c r="L80" s="172" t="e">
        <f t="shared" ca="1" si="67"/>
        <v>#DIV/0!</v>
      </c>
      <c r="M80" s="77" t="e">
        <f ca="1">IF(D$16=1,_xll.xCalcSkew($A80,N80-AW80,b)/100,0)</f>
        <v>#DIV/0!</v>
      </c>
      <c r="N80" s="96">
        <f t="shared" ca="1" si="68"/>
        <v>2.44</v>
      </c>
      <c r="P80" s="95">
        <f t="shared" ca="1" si="8"/>
        <v>0</v>
      </c>
      <c r="Q80" s="97">
        <f t="shared" ca="1" si="69"/>
        <v>1508</v>
      </c>
      <c r="R80" s="172" t="e">
        <f t="shared" ca="1" si="70"/>
        <v>#DIV/0!</v>
      </c>
      <c r="S80" s="77" t="e">
        <f ca="1">IF(F$16=1,_xll.xCalcSkew($A80,T80-BH80,b)/100,0)</f>
        <v>#DIV/0!</v>
      </c>
      <c r="T80" s="96">
        <f t="shared" ca="1" si="71"/>
        <v>2.44</v>
      </c>
      <c r="V80" s="95">
        <f t="shared" ca="1" si="12"/>
        <v>0</v>
      </c>
      <c r="W80" s="97">
        <f t="shared" ca="1" si="72"/>
        <v>1508</v>
      </c>
      <c r="X80" s="77" t="e">
        <f t="shared" ca="1" si="73"/>
        <v>#DIV/0!</v>
      </c>
      <c r="Y80" s="77" t="e">
        <f ca="1">IF(H$16=1,_xll.xCalcSkew($A80,Z80-BS80,b)/100,0)</f>
        <v>#DIV/0!</v>
      </c>
      <c r="Z80" s="96">
        <f t="shared" ca="1" si="74"/>
        <v>2.44</v>
      </c>
      <c r="AC80" s="97">
        <f t="shared" ca="1" si="16"/>
        <v>1509</v>
      </c>
      <c r="AD80" s="97">
        <f t="shared" ca="1" si="17"/>
        <v>1508</v>
      </c>
      <c r="AE80" s="77">
        <f t="shared" ca="1" si="46"/>
        <v>4.8120638955663403E-2</v>
      </c>
      <c r="AF80" s="152">
        <f t="shared" si="75"/>
        <v>31</v>
      </c>
      <c r="AI80" s="97"/>
      <c r="AJ80" s="78"/>
      <c r="AK80" s="78">
        <f t="shared" ca="1" si="76"/>
        <v>0</v>
      </c>
      <c r="AL80" s="288" t="e">
        <f t="shared" ca="1" si="47"/>
        <v>#DIV/0!</v>
      </c>
      <c r="AM80" s="75">
        <f t="shared" ca="1" si="77"/>
        <v>0</v>
      </c>
      <c r="AN80" s="100">
        <f t="shared" ca="1" si="78"/>
        <v>0</v>
      </c>
      <c r="AO80" s="99">
        <f t="shared" ca="1" si="79"/>
        <v>0</v>
      </c>
      <c r="AP80" s="99">
        <f t="shared" ca="1" si="80"/>
        <v>0</v>
      </c>
      <c r="AQ80" s="99">
        <f t="shared" ca="1" si="81"/>
        <v>0</v>
      </c>
      <c r="AR80" s="101">
        <f t="shared" ca="1" si="48"/>
        <v>0</v>
      </c>
      <c r="AS80" s="101">
        <f t="shared" ca="1" si="49"/>
        <v>0</v>
      </c>
      <c r="AT80" s="101">
        <f t="shared" ca="1" si="50"/>
        <v>0</v>
      </c>
      <c r="AV80" s="78">
        <f t="shared" ca="1" si="82"/>
        <v>0</v>
      </c>
      <c r="AW80" s="288" t="e">
        <f t="shared" ca="1" si="51"/>
        <v>#DIV/0!</v>
      </c>
      <c r="AX80" s="75">
        <f t="shared" ca="1" si="83"/>
        <v>0</v>
      </c>
      <c r="AY80" s="100">
        <f t="shared" ca="1" si="84"/>
        <v>0</v>
      </c>
      <c r="AZ80" s="99">
        <f t="shared" ca="1" si="85"/>
        <v>0</v>
      </c>
      <c r="BA80" s="99">
        <f t="shared" ca="1" si="86"/>
        <v>0</v>
      </c>
      <c r="BB80" s="99">
        <f t="shared" ca="1" si="87"/>
        <v>0</v>
      </c>
      <c r="BC80" s="101">
        <f t="shared" ca="1" si="52"/>
        <v>0</v>
      </c>
      <c r="BD80" s="101">
        <f t="shared" ca="1" si="53"/>
        <v>0</v>
      </c>
      <c r="BE80" s="101">
        <f t="shared" ca="1" si="54"/>
        <v>0</v>
      </c>
      <c r="BG80" s="78">
        <f t="shared" ca="1" si="88"/>
        <v>0</v>
      </c>
      <c r="BH80" s="288" t="e">
        <f t="shared" ca="1" si="55"/>
        <v>#DIV/0!</v>
      </c>
      <c r="BI80" s="75">
        <f t="shared" ca="1" si="89"/>
        <v>0</v>
      </c>
      <c r="BJ80" s="100">
        <f t="shared" ca="1" si="90"/>
        <v>0</v>
      </c>
      <c r="BK80" s="99">
        <f t="shared" ca="1" si="91"/>
        <v>0</v>
      </c>
      <c r="BL80" s="99">
        <f t="shared" ca="1" si="92"/>
        <v>0</v>
      </c>
      <c r="BM80" s="99">
        <f t="shared" ca="1" si="93"/>
        <v>0</v>
      </c>
      <c r="BN80" s="101">
        <f t="shared" ca="1" si="56"/>
        <v>0</v>
      </c>
      <c r="BO80" s="101">
        <f t="shared" ca="1" si="57"/>
        <v>0</v>
      </c>
      <c r="BP80" s="101">
        <f t="shared" ca="1" si="58"/>
        <v>0</v>
      </c>
      <c r="BR80" s="78">
        <f t="shared" ca="1" si="94"/>
        <v>0</v>
      </c>
      <c r="BS80" s="288" t="e">
        <f t="shared" ca="1" si="59"/>
        <v>#DIV/0!</v>
      </c>
      <c r="BT80" s="75">
        <f t="shared" ca="1" si="95"/>
        <v>0</v>
      </c>
      <c r="BU80" s="100">
        <f t="shared" ca="1" si="96"/>
        <v>0</v>
      </c>
      <c r="BV80" s="99">
        <f t="shared" ca="1" si="97"/>
        <v>0</v>
      </c>
      <c r="BW80" s="99">
        <f t="shared" ca="1" si="98"/>
        <v>0</v>
      </c>
      <c r="BX80" s="99">
        <f t="shared" ca="1" si="99"/>
        <v>0</v>
      </c>
      <c r="BY80" s="101">
        <f t="shared" ca="1" si="60"/>
        <v>0</v>
      </c>
      <c r="BZ80" s="101">
        <f t="shared" ca="1" si="61"/>
        <v>0</v>
      </c>
      <c r="CA80" s="101">
        <f t="shared" ca="1" si="62"/>
        <v>0</v>
      </c>
    </row>
    <row r="81" spans="1:79" x14ac:dyDescent="0.25">
      <c r="A81" s="94">
        <f t="shared" si="43"/>
        <v>38808</v>
      </c>
      <c r="B81" s="95">
        <f t="shared" ca="1" si="44"/>
        <v>3.1309999999999998</v>
      </c>
      <c r="C81" s="77">
        <f t="shared" ca="1" si="45"/>
        <v>6.6959626780163289E-2</v>
      </c>
      <c r="D81" s="95">
        <f t="shared" ca="1" si="0"/>
        <v>0</v>
      </c>
      <c r="E81" s="97">
        <f t="shared" ca="1" si="63"/>
        <v>1541</v>
      </c>
      <c r="F81" s="77" t="e">
        <f t="shared" ca="1" si="64"/>
        <v>#DIV/0!</v>
      </c>
      <c r="G81" s="77" t="e">
        <f ca="1">IF(B$16=1,_xll.xCalcSkew(A81,H81-AL81,b)/100,0)</f>
        <v>#DIV/0!</v>
      </c>
      <c r="H81" s="96">
        <f t="shared" ca="1" si="65"/>
        <v>2.44</v>
      </c>
      <c r="J81" s="95">
        <f t="shared" ca="1" si="4"/>
        <v>0</v>
      </c>
      <c r="K81" s="97">
        <f t="shared" ca="1" si="66"/>
        <v>1541</v>
      </c>
      <c r="L81" s="172" t="e">
        <f t="shared" ca="1" si="67"/>
        <v>#DIV/0!</v>
      </c>
      <c r="M81" s="77" t="e">
        <f ca="1">IF(D$16=1,_xll.xCalcSkew($A81,N81-AW81,b)/100,0)</f>
        <v>#DIV/0!</v>
      </c>
      <c r="N81" s="96">
        <f t="shared" ca="1" si="68"/>
        <v>2.44</v>
      </c>
      <c r="P81" s="95">
        <f t="shared" ca="1" si="8"/>
        <v>0</v>
      </c>
      <c r="Q81" s="97">
        <f t="shared" ca="1" si="69"/>
        <v>1541</v>
      </c>
      <c r="R81" s="172" t="e">
        <f t="shared" ca="1" si="70"/>
        <v>#DIV/0!</v>
      </c>
      <c r="S81" s="77" t="e">
        <f ca="1">IF(F$16=1,_xll.xCalcSkew($A81,T81-BH81,b)/100,0)</f>
        <v>#DIV/0!</v>
      </c>
      <c r="T81" s="96">
        <f t="shared" ca="1" si="71"/>
        <v>2.44</v>
      </c>
      <c r="V81" s="95">
        <f t="shared" ca="1" si="12"/>
        <v>0</v>
      </c>
      <c r="W81" s="97">
        <f t="shared" ca="1" si="72"/>
        <v>1541</v>
      </c>
      <c r="X81" s="77" t="e">
        <f t="shared" ca="1" si="73"/>
        <v>#DIV/0!</v>
      </c>
      <c r="Y81" s="77" t="e">
        <f ca="1">IF(H$16=1,_xll.xCalcSkew($A81,Z81-BS81,b)/100,0)</f>
        <v>#DIV/0!</v>
      </c>
      <c r="Z81" s="96">
        <f t="shared" ca="1" si="74"/>
        <v>2.44</v>
      </c>
      <c r="AC81" s="97">
        <f t="shared" ca="1" si="16"/>
        <v>1542</v>
      </c>
      <c r="AD81" s="97">
        <f t="shared" ca="1" si="17"/>
        <v>1541</v>
      </c>
      <c r="AE81" s="77">
        <f t="shared" ca="1" si="46"/>
        <v>4.84011548433219E-2</v>
      </c>
      <c r="AF81" s="152">
        <f t="shared" si="75"/>
        <v>30</v>
      </c>
      <c r="AI81" s="97"/>
      <c r="AJ81" s="78"/>
      <c r="AK81" s="78">
        <f t="shared" ca="1" si="76"/>
        <v>0</v>
      </c>
      <c r="AL81" s="288" t="e">
        <f t="shared" ca="1" si="47"/>
        <v>#DIV/0!</v>
      </c>
      <c r="AM81" s="75">
        <f t="shared" ca="1" si="77"/>
        <v>0</v>
      </c>
      <c r="AN81" s="100">
        <f t="shared" ca="1" si="78"/>
        <v>0</v>
      </c>
      <c r="AO81" s="99">
        <f t="shared" ca="1" si="79"/>
        <v>0</v>
      </c>
      <c r="AP81" s="99">
        <f t="shared" ca="1" si="80"/>
        <v>0</v>
      </c>
      <c r="AQ81" s="99">
        <f t="shared" ca="1" si="81"/>
        <v>0</v>
      </c>
      <c r="AR81" s="101">
        <f t="shared" ca="1" si="48"/>
        <v>0</v>
      </c>
      <c r="AS81" s="101">
        <f t="shared" ca="1" si="49"/>
        <v>0</v>
      </c>
      <c r="AT81" s="101">
        <f t="shared" ca="1" si="50"/>
        <v>0</v>
      </c>
      <c r="AV81" s="78">
        <f t="shared" ca="1" si="82"/>
        <v>0</v>
      </c>
      <c r="AW81" s="288" t="e">
        <f t="shared" ca="1" si="51"/>
        <v>#DIV/0!</v>
      </c>
      <c r="AX81" s="75">
        <f t="shared" ca="1" si="83"/>
        <v>0</v>
      </c>
      <c r="AY81" s="100">
        <f t="shared" ca="1" si="84"/>
        <v>0</v>
      </c>
      <c r="AZ81" s="99">
        <f t="shared" ca="1" si="85"/>
        <v>0</v>
      </c>
      <c r="BA81" s="99">
        <f t="shared" ca="1" si="86"/>
        <v>0</v>
      </c>
      <c r="BB81" s="99">
        <f t="shared" ca="1" si="87"/>
        <v>0</v>
      </c>
      <c r="BC81" s="101">
        <f t="shared" ca="1" si="52"/>
        <v>0</v>
      </c>
      <c r="BD81" s="101">
        <f t="shared" ca="1" si="53"/>
        <v>0</v>
      </c>
      <c r="BE81" s="101">
        <f t="shared" ca="1" si="54"/>
        <v>0</v>
      </c>
      <c r="BG81" s="78">
        <f t="shared" ca="1" si="88"/>
        <v>0</v>
      </c>
      <c r="BH81" s="288" t="e">
        <f t="shared" ca="1" si="55"/>
        <v>#DIV/0!</v>
      </c>
      <c r="BI81" s="75">
        <f t="shared" ca="1" si="89"/>
        <v>0</v>
      </c>
      <c r="BJ81" s="100">
        <f t="shared" ca="1" si="90"/>
        <v>0</v>
      </c>
      <c r="BK81" s="99">
        <f t="shared" ca="1" si="91"/>
        <v>0</v>
      </c>
      <c r="BL81" s="99">
        <f t="shared" ca="1" si="92"/>
        <v>0</v>
      </c>
      <c r="BM81" s="99">
        <f t="shared" ca="1" si="93"/>
        <v>0</v>
      </c>
      <c r="BN81" s="101">
        <f t="shared" ca="1" si="56"/>
        <v>0</v>
      </c>
      <c r="BO81" s="101">
        <f t="shared" ca="1" si="57"/>
        <v>0</v>
      </c>
      <c r="BP81" s="101">
        <f t="shared" ca="1" si="58"/>
        <v>0</v>
      </c>
      <c r="BR81" s="78">
        <f t="shared" ca="1" si="94"/>
        <v>0</v>
      </c>
      <c r="BS81" s="288" t="e">
        <f t="shared" ca="1" si="59"/>
        <v>#DIV/0!</v>
      </c>
      <c r="BT81" s="75">
        <f t="shared" ca="1" si="95"/>
        <v>0</v>
      </c>
      <c r="BU81" s="100">
        <f t="shared" ca="1" si="96"/>
        <v>0</v>
      </c>
      <c r="BV81" s="99">
        <f t="shared" ca="1" si="97"/>
        <v>0</v>
      </c>
      <c r="BW81" s="99">
        <f t="shared" ca="1" si="98"/>
        <v>0</v>
      </c>
      <c r="BX81" s="99">
        <f t="shared" ca="1" si="99"/>
        <v>0</v>
      </c>
      <c r="BY81" s="101">
        <f t="shared" ca="1" si="60"/>
        <v>0</v>
      </c>
      <c r="BZ81" s="101">
        <f t="shared" ca="1" si="61"/>
        <v>0</v>
      </c>
      <c r="CA81" s="101">
        <f t="shared" ca="1" si="62"/>
        <v>0</v>
      </c>
    </row>
    <row r="82" spans="1:79" x14ac:dyDescent="0.25">
      <c r="A82" s="94">
        <f t="shared" si="43"/>
        <v>38838</v>
      </c>
      <c r="B82" s="95">
        <f t="shared" ca="1" si="44"/>
        <v>3.1339999999999995</v>
      </c>
      <c r="C82" s="77">
        <f t="shared" ca="1" si="45"/>
        <v>6.6634737426012544E-2</v>
      </c>
      <c r="D82" s="95">
        <f t="shared" ca="1" si="0"/>
        <v>0</v>
      </c>
      <c r="E82" s="97">
        <f t="shared" ca="1" si="63"/>
        <v>1569</v>
      </c>
      <c r="F82" s="77" t="e">
        <f t="shared" ca="1" si="64"/>
        <v>#DIV/0!</v>
      </c>
      <c r="G82" s="77" t="e">
        <f ca="1">IF(B$16=1,_xll.xCalcSkew(A82,H82-AL82,b)/100,0)</f>
        <v>#DIV/0!</v>
      </c>
      <c r="H82" s="96">
        <f t="shared" ca="1" si="65"/>
        <v>2.44</v>
      </c>
      <c r="J82" s="95">
        <f t="shared" ca="1" si="4"/>
        <v>0</v>
      </c>
      <c r="K82" s="97">
        <f t="shared" ca="1" si="66"/>
        <v>1569</v>
      </c>
      <c r="L82" s="172" t="e">
        <f t="shared" ca="1" si="67"/>
        <v>#DIV/0!</v>
      </c>
      <c r="M82" s="77" t="e">
        <f ca="1">IF(D$16=1,_xll.xCalcSkew($A82,N82-AW82,b)/100,0)</f>
        <v>#DIV/0!</v>
      </c>
      <c r="N82" s="96">
        <f t="shared" ca="1" si="68"/>
        <v>2.44</v>
      </c>
      <c r="P82" s="95">
        <f t="shared" ca="1" si="8"/>
        <v>0</v>
      </c>
      <c r="Q82" s="97">
        <f t="shared" ca="1" si="69"/>
        <v>1569</v>
      </c>
      <c r="R82" s="172" t="e">
        <f t="shared" ca="1" si="70"/>
        <v>#DIV/0!</v>
      </c>
      <c r="S82" s="77" t="e">
        <f ca="1">IF(F$16=1,_xll.xCalcSkew($A82,T82-BH82,b)/100,0)</f>
        <v>#DIV/0!</v>
      </c>
      <c r="T82" s="96">
        <f t="shared" ca="1" si="71"/>
        <v>2.44</v>
      </c>
      <c r="V82" s="95">
        <f t="shared" ca="1" si="12"/>
        <v>0</v>
      </c>
      <c r="W82" s="97">
        <f t="shared" ca="1" si="72"/>
        <v>1569</v>
      </c>
      <c r="X82" s="77" t="e">
        <f t="shared" ca="1" si="73"/>
        <v>#DIV/0!</v>
      </c>
      <c r="Y82" s="77" t="e">
        <f ca="1">IF(H$16=1,_xll.xCalcSkew($A82,Z82-BS82,b)/100,0)</f>
        <v>#DIV/0!</v>
      </c>
      <c r="Z82" s="96">
        <f t="shared" ca="1" si="74"/>
        <v>2.44</v>
      </c>
      <c r="AC82" s="97">
        <f t="shared" ca="1" si="16"/>
        <v>1570</v>
      </c>
      <c r="AD82" s="97">
        <f t="shared" ca="1" si="17"/>
        <v>1569</v>
      </c>
      <c r="AE82" s="77">
        <f t="shared" ca="1" si="46"/>
        <v>4.8711726035327398E-2</v>
      </c>
      <c r="AF82" s="152">
        <f t="shared" si="75"/>
        <v>31</v>
      </c>
      <c r="AI82" s="97"/>
      <c r="AJ82" s="78"/>
      <c r="AK82" s="78">
        <f t="shared" ca="1" si="76"/>
        <v>0</v>
      </c>
      <c r="AL82" s="288" t="e">
        <f t="shared" ca="1" si="47"/>
        <v>#DIV/0!</v>
      </c>
      <c r="AM82" s="75">
        <f t="shared" ca="1" si="77"/>
        <v>0</v>
      </c>
      <c r="AN82" s="100">
        <f t="shared" ca="1" si="78"/>
        <v>0</v>
      </c>
      <c r="AO82" s="99">
        <f t="shared" ca="1" si="79"/>
        <v>0</v>
      </c>
      <c r="AP82" s="99">
        <f t="shared" ca="1" si="80"/>
        <v>0</v>
      </c>
      <c r="AQ82" s="99">
        <f t="shared" ca="1" si="81"/>
        <v>0</v>
      </c>
      <c r="AR82" s="101">
        <f t="shared" ca="1" si="48"/>
        <v>0</v>
      </c>
      <c r="AS82" s="101">
        <f t="shared" ca="1" si="49"/>
        <v>0</v>
      </c>
      <c r="AT82" s="101">
        <f t="shared" ca="1" si="50"/>
        <v>0</v>
      </c>
      <c r="AV82" s="78">
        <f t="shared" ca="1" si="82"/>
        <v>0</v>
      </c>
      <c r="AW82" s="288" t="e">
        <f t="shared" ca="1" si="51"/>
        <v>#DIV/0!</v>
      </c>
      <c r="AX82" s="75">
        <f t="shared" ca="1" si="83"/>
        <v>0</v>
      </c>
      <c r="AY82" s="100">
        <f t="shared" ca="1" si="84"/>
        <v>0</v>
      </c>
      <c r="AZ82" s="99">
        <f t="shared" ca="1" si="85"/>
        <v>0</v>
      </c>
      <c r="BA82" s="99">
        <f t="shared" ca="1" si="86"/>
        <v>0</v>
      </c>
      <c r="BB82" s="99">
        <f t="shared" ca="1" si="87"/>
        <v>0</v>
      </c>
      <c r="BC82" s="101">
        <f t="shared" ca="1" si="52"/>
        <v>0</v>
      </c>
      <c r="BD82" s="101">
        <f t="shared" ca="1" si="53"/>
        <v>0</v>
      </c>
      <c r="BE82" s="101">
        <f t="shared" ca="1" si="54"/>
        <v>0</v>
      </c>
      <c r="BG82" s="78">
        <f t="shared" ca="1" si="88"/>
        <v>0</v>
      </c>
      <c r="BH82" s="288" t="e">
        <f t="shared" ca="1" si="55"/>
        <v>#DIV/0!</v>
      </c>
      <c r="BI82" s="75">
        <f t="shared" ca="1" si="89"/>
        <v>0</v>
      </c>
      <c r="BJ82" s="100">
        <f t="shared" ca="1" si="90"/>
        <v>0</v>
      </c>
      <c r="BK82" s="99">
        <f t="shared" ca="1" si="91"/>
        <v>0</v>
      </c>
      <c r="BL82" s="99">
        <f t="shared" ca="1" si="92"/>
        <v>0</v>
      </c>
      <c r="BM82" s="99">
        <f t="shared" ca="1" si="93"/>
        <v>0</v>
      </c>
      <c r="BN82" s="101">
        <f t="shared" ca="1" si="56"/>
        <v>0</v>
      </c>
      <c r="BO82" s="101">
        <f t="shared" ca="1" si="57"/>
        <v>0</v>
      </c>
      <c r="BP82" s="101">
        <f t="shared" ca="1" si="58"/>
        <v>0</v>
      </c>
      <c r="BR82" s="78">
        <f t="shared" ca="1" si="94"/>
        <v>0</v>
      </c>
      <c r="BS82" s="288" t="e">
        <f t="shared" ca="1" si="59"/>
        <v>#DIV/0!</v>
      </c>
      <c r="BT82" s="75">
        <f t="shared" ca="1" si="95"/>
        <v>0</v>
      </c>
      <c r="BU82" s="100">
        <f t="shared" ca="1" si="96"/>
        <v>0</v>
      </c>
      <c r="BV82" s="99">
        <f t="shared" ca="1" si="97"/>
        <v>0</v>
      </c>
      <c r="BW82" s="99">
        <f t="shared" ca="1" si="98"/>
        <v>0</v>
      </c>
      <c r="BX82" s="99">
        <f t="shared" ca="1" si="99"/>
        <v>0</v>
      </c>
      <c r="BY82" s="101">
        <f t="shared" ca="1" si="60"/>
        <v>0</v>
      </c>
      <c r="BZ82" s="101">
        <f t="shared" ca="1" si="61"/>
        <v>0</v>
      </c>
      <c r="CA82" s="101">
        <f t="shared" ca="1" si="62"/>
        <v>0</v>
      </c>
    </row>
    <row r="83" spans="1:79" x14ac:dyDescent="0.25">
      <c r="A83" s="94">
        <f t="shared" si="43"/>
        <v>38869</v>
      </c>
      <c r="B83" s="95">
        <f t="shared" ca="1" si="44"/>
        <v>3.1739999999999995</v>
      </c>
      <c r="C83" s="77">
        <f t="shared" ca="1" si="45"/>
        <v>6.5521988152543967E-2</v>
      </c>
      <c r="D83" s="95">
        <f t="shared" ca="1" si="0"/>
        <v>0</v>
      </c>
      <c r="E83" s="97">
        <f t="shared" ca="1" si="63"/>
        <v>1599</v>
      </c>
      <c r="F83" s="77" t="e">
        <f t="shared" ca="1" si="64"/>
        <v>#DIV/0!</v>
      </c>
      <c r="G83" s="77" t="e">
        <f ca="1">IF(B$16=1,_xll.xCalcSkew(A83,H83-AL83,b)/100,0)</f>
        <v>#DIV/0!</v>
      </c>
      <c r="H83" s="96">
        <f t="shared" ca="1" si="65"/>
        <v>2.44</v>
      </c>
      <c r="J83" s="95">
        <f t="shared" ca="1" si="4"/>
        <v>0</v>
      </c>
      <c r="K83" s="97">
        <f t="shared" ca="1" si="66"/>
        <v>1599</v>
      </c>
      <c r="L83" s="172" t="e">
        <f t="shared" ca="1" si="67"/>
        <v>#DIV/0!</v>
      </c>
      <c r="M83" s="77" t="e">
        <f ca="1">IF(D$16=1,_xll.xCalcSkew($A83,N83-AW83,b)/100,0)</f>
        <v>#DIV/0!</v>
      </c>
      <c r="N83" s="96">
        <f t="shared" ca="1" si="68"/>
        <v>2.44</v>
      </c>
      <c r="P83" s="95">
        <f t="shared" ca="1" si="8"/>
        <v>0</v>
      </c>
      <c r="Q83" s="97">
        <f t="shared" ca="1" si="69"/>
        <v>1599</v>
      </c>
      <c r="R83" s="172" t="e">
        <f t="shared" ca="1" si="70"/>
        <v>#DIV/0!</v>
      </c>
      <c r="S83" s="77" t="e">
        <f ca="1">IF(F$16=1,_xll.xCalcSkew($A83,T83-BH83,b)/100,0)</f>
        <v>#DIV/0!</v>
      </c>
      <c r="T83" s="96">
        <f t="shared" ca="1" si="71"/>
        <v>2.44</v>
      </c>
      <c r="V83" s="95">
        <f t="shared" ca="1" si="12"/>
        <v>0</v>
      </c>
      <c r="W83" s="97">
        <f t="shared" ca="1" si="72"/>
        <v>1599</v>
      </c>
      <c r="X83" s="77" t="e">
        <f t="shared" ca="1" si="73"/>
        <v>#DIV/0!</v>
      </c>
      <c r="Y83" s="77" t="e">
        <f ca="1">IF(H$16=1,_xll.xCalcSkew($A83,Z83-BS83,b)/100,0)</f>
        <v>#DIV/0!</v>
      </c>
      <c r="Z83" s="96">
        <f t="shared" ca="1" si="74"/>
        <v>2.44</v>
      </c>
      <c r="AC83" s="97">
        <f t="shared" ca="1" si="16"/>
        <v>1600</v>
      </c>
      <c r="AD83" s="97">
        <f t="shared" ca="1" si="17"/>
        <v>1599</v>
      </c>
      <c r="AE83" s="77">
        <f t="shared" ca="1" si="46"/>
        <v>4.9012278832467601E-2</v>
      </c>
      <c r="AF83" s="152">
        <f t="shared" si="75"/>
        <v>30</v>
      </c>
      <c r="AI83" s="97"/>
      <c r="AJ83" s="78"/>
      <c r="AK83" s="78">
        <f t="shared" ca="1" si="76"/>
        <v>0</v>
      </c>
      <c r="AL83" s="288" t="e">
        <f t="shared" ca="1" si="47"/>
        <v>#DIV/0!</v>
      </c>
      <c r="AM83" s="75">
        <f t="shared" ca="1" si="77"/>
        <v>0</v>
      </c>
      <c r="AN83" s="100">
        <f t="shared" ca="1" si="78"/>
        <v>0</v>
      </c>
      <c r="AO83" s="99">
        <f t="shared" ca="1" si="79"/>
        <v>0</v>
      </c>
      <c r="AP83" s="99">
        <f t="shared" ca="1" si="80"/>
        <v>0</v>
      </c>
      <c r="AQ83" s="99">
        <f t="shared" ca="1" si="81"/>
        <v>0</v>
      </c>
      <c r="AR83" s="101">
        <f t="shared" ca="1" si="48"/>
        <v>0</v>
      </c>
      <c r="AS83" s="101">
        <f t="shared" ca="1" si="49"/>
        <v>0</v>
      </c>
      <c r="AT83" s="101">
        <f t="shared" ca="1" si="50"/>
        <v>0</v>
      </c>
      <c r="AV83" s="78">
        <f t="shared" ca="1" si="82"/>
        <v>0</v>
      </c>
      <c r="AW83" s="288" t="e">
        <f t="shared" ca="1" si="51"/>
        <v>#DIV/0!</v>
      </c>
      <c r="AX83" s="75">
        <f t="shared" ca="1" si="83"/>
        <v>0</v>
      </c>
      <c r="AY83" s="100">
        <f t="shared" ca="1" si="84"/>
        <v>0</v>
      </c>
      <c r="AZ83" s="99">
        <f t="shared" ca="1" si="85"/>
        <v>0</v>
      </c>
      <c r="BA83" s="99">
        <f t="shared" ca="1" si="86"/>
        <v>0</v>
      </c>
      <c r="BB83" s="99">
        <f t="shared" ca="1" si="87"/>
        <v>0</v>
      </c>
      <c r="BC83" s="101">
        <f t="shared" ca="1" si="52"/>
        <v>0</v>
      </c>
      <c r="BD83" s="101">
        <f t="shared" ca="1" si="53"/>
        <v>0</v>
      </c>
      <c r="BE83" s="101">
        <f t="shared" ca="1" si="54"/>
        <v>0</v>
      </c>
      <c r="BG83" s="78">
        <f t="shared" ca="1" si="88"/>
        <v>0</v>
      </c>
      <c r="BH83" s="288" t="e">
        <f t="shared" ca="1" si="55"/>
        <v>#DIV/0!</v>
      </c>
      <c r="BI83" s="75">
        <f t="shared" ca="1" si="89"/>
        <v>0</v>
      </c>
      <c r="BJ83" s="100">
        <f t="shared" ca="1" si="90"/>
        <v>0</v>
      </c>
      <c r="BK83" s="99">
        <f t="shared" ca="1" si="91"/>
        <v>0</v>
      </c>
      <c r="BL83" s="99">
        <f t="shared" ca="1" si="92"/>
        <v>0</v>
      </c>
      <c r="BM83" s="99">
        <f t="shared" ca="1" si="93"/>
        <v>0</v>
      </c>
      <c r="BN83" s="101">
        <f t="shared" ca="1" si="56"/>
        <v>0</v>
      </c>
      <c r="BO83" s="101">
        <f t="shared" ca="1" si="57"/>
        <v>0</v>
      </c>
      <c r="BP83" s="101">
        <f t="shared" ca="1" si="58"/>
        <v>0</v>
      </c>
      <c r="BR83" s="78">
        <f t="shared" ca="1" si="94"/>
        <v>0</v>
      </c>
      <c r="BS83" s="288" t="e">
        <f t="shared" ca="1" si="59"/>
        <v>#DIV/0!</v>
      </c>
      <c r="BT83" s="75">
        <f t="shared" ca="1" si="95"/>
        <v>0</v>
      </c>
      <c r="BU83" s="100">
        <f t="shared" ca="1" si="96"/>
        <v>0</v>
      </c>
      <c r="BV83" s="99">
        <f t="shared" ca="1" si="97"/>
        <v>0</v>
      </c>
      <c r="BW83" s="99">
        <f t="shared" ca="1" si="98"/>
        <v>0</v>
      </c>
      <c r="BX83" s="99">
        <f t="shared" ca="1" si="99"/>
        <v>0</v>
      </c>
      <c r="BY83" s="101">
        <f t="shared" ca="1" si="60"/>
        <v>0</v>
      </c>
      <c r="BZ83" s="101">
        <f t="shared" ca="1" si="61"/>
        <v>0</v>
      </c>
      <c r="CA83" s="101">
        <f t="shared" ca="1" si="62"/>
        <v>0</v>
      </c>
    </row>
    <row r="84" spans="1:79" x14ac:dyDescent="0.25">
      <c r="A84" s="94">
        <f t="shared" si="43"/>
        <v>38899</v>
      </c>
      <c r="B84" s="95">
        <f t="shared" ca="1" si="44"/>
        <v>3.2139999999999995</v>
      </c>
      <c r="C84" s="77">
        <f t="shared" ca="1" si="45"/>
        <v>6.4421422888716745E-2</v>
      </c>
      <c r="D84" s="95">
        <f t="shared" ca="1" si="0"/>
        <v>0</v>
      </c>
      <c r="E84" s="97">
        <f t="shared" ca="1" si="63"/>
        <v>1632</v>
      </c>
      <c r="F84" s="77" t="e">
        <f t="shared" ca="1" si="64"/>
        <v>#DIV/0!</v>
      </c>
      <c r="G84" s="77" t="e">
        <f ca="1">IF(B$16=1,_xll.xCalcSkew(A84,H84-AL84,b)/100,0)</f>
        <v>#DIV/0!</v>
      </c>
      <c r="H84" s="96">
        <f t="shared" ca="1" si="65"/>
        <v>2.44</v>
      </c>
      <c r="J84" s="95">
        <f t="shared" ca="1" si="4"/>
        <v>0</v>
      </c>
      <c r="K84" s="97">
        <f t="shared" ca="1" si="66"/>
        <v>1632</v>
      </c>
      <c r="L84" s="172" t="e">
        <f t="shared" ca="1" si="67"/>
        <v>#DIV/0!</v>
      </c>
      <c r="M84" s="77" t="e">
        <f ca="1">IF(D$16=1,_xll.xCalcSkew($A84,N84-AW84,b)/100,0)</f>
        <v>#DIV/0!</v>
      </c>
      <c r="N84" s="96">
        <f t="shared" ca="1" si="68"/>
        <v>2.44</v>
      </c>
      <c r="P84" s="95">
        <f t="shared" ca="1" si="8"/>
        <v>0</v>
      </c>
      <c r="Q84" s="97">
        <f t="shared" ca="1" si="69"/>
        <v>1632</v>
      </c>
      <c r="R84" s="172" t="e">
        <f t="shared" ca="1" si="70"/>
        <v>#DIV/0!</v>
      </c>
      <c r="S84" s="77" t="e">
        <f ca="1">IF(F$16=1,_xll.xCalcSkew($A84,T84-BH84,b)/100,0)</f>
        <v>#DIV/0!</v>
      </c>
      <c r="T84" s="96">
        <f t="shared" ca="1" si="71"/>
        <v>2.44</v>
      </c>
      <c r="V84" s="95">
        <f t="shared" ca="1" si="12"/>
        <v>0</v>
      </c>
      <c r="W84" s="97">
        <f t="shared" ca="1" si="72"/>
        <v>1632</v>
      </c>
      <c r="X84" s="77" t="e">
        <f t="shared" ca="1" si="73"/>
        <v>#DIV/0!</v>
      </c>
      <c r="Y84" s="77" t="e">
        <f ca="1">IF(H$16=1,_xll.xCalcSkew($A84,Z84-BS84,b)/100,0)</f>
        <v>#DIV/0!</v>
      </c>
      <c r="Z84" s="96">
        <f t="shared" ca="1" si="74"/>
        <v>2.44</v>
      </c>
      <c r="AC84" s="97">
        <f t="shared" ca="1" si="16"/>
        <v>1633</v>
      </c>
      <c r="AD84" s="97">
        <f t="shared" ca="1" si="17"/>
        <v>1632</v>
      </c>
      <c r="AE84" s="77">
        <f t="shared" ca="1" si="46"/>
        <v>4.9322850087879302E-2</v>
      </c>
      <c r="AF84" s="152">
        <f t="shared" si="75"/>
        <v>31</v>
      </c>
      <c r="AI84" s="97"/>
      <c r="AJ84" s="78"/>
      <c r="AK84" s="78">
        <f t="shared" ca="1" si="76"/>
        <v>0</v>
      </c>
      <c r="AL84" s="288" t="e">
        <f t="shared" ca="1" si="47"/>
        <v>#DIV/0!</v>
      </c>
      <c r="AM84" s="75">
        <f t="shared" ca="1" si="77"/>
        <v>0</v>
      </c>
      <c r="AN84" s="100">
        <f t="shared" ca="1" si="78"/>
        <v>0</v>
      </c>
      <c r="AO84" s="99">
        <f t="shared" ca="1" si="79"/>
        <v>0</v>
      </c>
      <c r="AP84" s="99">
        <f t="shared" ca="1" si="80"/>
        <v>0</v>
      </c>
      <c r="AQ84" s="99">
        <f t="shared" ca="1" si="81"/>
        <v>0</v>
      </c>
      <c r="AR84" s="101">
        <f t="shared" ca="1" si="48"/>
        <v>0</v>
      </c>
      <c r="AS84" s="101">
        <f t="shared" ca="1" si="49"/>
        <v>0</v>
      </c>
      <c r="AT84" s="101">
        <f t="shared" ca="1" si="50"/>
        <v>0</v>
      </c>
      <c r="AV84" s="78">
        <f t="shared" ca="1" si="82"/>
        <v>0</v>
      </c>
      <c r="AW84" s="288" t="e">
        <f t="shared" ca="1" si="51"/>
        <v>#DIV/0!</v>
      </c>
      <c r="AX84" s="75">
        <f t="shared" ca="1" si="83"/>
        <v>0</v>
      </c>
      <c r="AY84" s="100">
        <f t="shared" ca="1" si="84"/>
        <v>0</v>
      </c>
      <c r="AZ84" s="99">
        <f t="shared" ca="1" si="85"/>
        <v>0</v>
      </c>
      <c r="BA84" s="99">
        <f t="shared" ca="1" si="86"/>
        <v>0</v>
      </c>
      <c r="BB84" s="99">
        <f t="shared" ca="1" si="87"/>
        <v>0</v>
      </c>
      <c r="BC84" s="101">
        <f t="shared" ca="1" si="52"/>
        <v>0</v>
      </c>
      <c r="BD84" s="101">
        <f t="shared" ca="1" si="53"/>
        <v>0</v>
      </c>
      <c r="BE84" s="101">
        <f t="shared" ca="1" si="54"/>
        <v>0</v>
      </c>
      <c r="BG84" s="78">
        <f t="shared" ca="1" si="88"/>
        <v>0</v>
      </c>
      <c r="BH84" s="288" t="e">
        <f t="shared" ca="1" si="55"/>
        <v>#DIV/0!</v>
      </c>
      <c r="BI84" s="75">
        <f t="shared" ca="1" si="89"/>
        <v>0</v>
      </c>
      <c r="BJ84" s="100">
        <f t="shared" ca="1" si="90"/>
        <v>0</v>
      </c>
      <c r="BK84" s="99">
        <f t="shared" ca="1" si="91"/>
        <v>0</v>
      </c>
      <c r="BL84" s="99">
        <f t="shared" ca="1" si="92"/>
        <v>0</v>
      </c>
      <c r="BM84" s="99">
        <f t="shared" ca="1" si="93"/>
        <v>0</v>
      </c>
      <c r="BN84" s="101">
        <f t="shared" ca="1" si="56"/>
        <v>0</v>
      </c>
      <c r="BO84" s="101">
        <f t="shared" ca="1" si="57"/>
        <v>0</v>
      </c>
      <c r="BP84" s="101">
        <f t="shared" ca="1" si="58"/>
        <v>0</v>
      </c>
      <c r="BR84" s="78">
        <f t="shared" ca="1" si="94"/>
        <v>0</v>
      </c>
      <c r="BS84" s="288" t="e">
        <f t="shared" ca="1" si="59"/>
        <v>#DIV/0!</v>
      </c>
      <c r="BT84" s="75">
        <f t="shared" ca="1" si="95"/>
        <v>0</v>
      </c>
      <c r="BU84" s="100">
        <f t="shared" ca="1" si="96"/>
        <v>0</v>
      </c>
      <c r="BV84" s="99">
        <f t="shared" ca="1" si="97"/>
        <v>0</v>
      </c>
      <c r="BW84" s="99">
        <f t="shared" ca="1" si="98"/>
        <v>0</v>
      </c>
      <c r="BX84" s="99">
        <f t="shared" ca="1" si="99"/>
        <v>0</v>
      </c>
      <c r="BY84" s="101">
        <f t="shared" ca="1" si="60"/>
        <v>0</v>
      </c>
      <c r="BZ84" s="101">
        <f t="shared" ca="1" si="61"/>
        <v>0</v>
      </c>
      <c r="CA84" s="101">
        <f t="shared" ca="1" si="62"/>
        <v>0</v>
      </c>
    </row>
    <row r="85" spans="1:79" x14ac:dyDescent="0.25">
      <c r="A85" s="94">
        <f t="shared" si="43"/>
        <v>38930</v>
      </c>
      <c r="B85" s="95">
        <f t="shared" ca="1" si="44"/>
        <v>3.2639999999999998</v>
      </c>
      <c r="C85" s="77">
        <f t="shared" ca="1" si="45"/>
        <v>6.3210243504930236E-2</v>
      </c>
      <c r="D85" s="95">
        <f t="shared" ca="1" si="0"/>
        <v>0</v>
      </c>
      <c r="E85" s="97">
        <f t="shared" ca="1" si="63"/>
        <v>1661</v>
      </c>
      <c r="F85" s="77" t="e">
        <f t="shared" ca="1" si="64"/>
        <v>#DIV/0!</v>
      </c>
      <c r="G85" s="77" t="e">
        <f ca="1">IF(B$16=1,_xll.xCalcSkew(A85,H85-AL85,b)/100,0)</f>
        <v>#DIV/0!</v>
      </c>
      <c r="H85" s="96">
        <f t="shared" ca="1" si="65"/>
        <v>2.44</v>
      </c>
      <c r="J85" s="95">
        <f t="shared" ca="1" si="4"/>
        <v>0</v>
      </c>
      <c r="K85" s="97">
        <f t="shared" ca="1" si="66"/>
        <v>1661</v>
      </c>
      <c r="L85" s="172" t="e">
        <f t="shared" ca="1" si="67"/>
        <v>#DIV/0!</v>
      </c>
      <c r="M85" s="77" t="e">
        <f ca="1">IF(D$16=1,_xll.xCalcSkew($A85,N85-AW85,b)/100,0)</f>
        <v>#DIV/0!</v>
      </c>
      <c r="N85" s="96">
        <f t="shared" ca="1" si="68"/>
        <v>2.44</v>
      </c>
      <c r="P85" s="95">
        <f t="shared" ca="1" si="8"/>
        <v>0</v>
      </c>
      <c r="Q85" s="97">
        <f t="shared" ca="1" si="69"/>
        <v>1661</v>
      </c>
      <c r="R85" s="172" t="e">
        <f t="shared" ca="1" si="70"/>
        <v>#DIV/0!</v>
      </c>
      <c r="S85" s="77" t="e">
        <f ca="1">IF(F$16=1,_xll.xCalcSkew($A85,T85-BH85,b)/100,0)</f>
        <v>#DIV/0!</v>
      </c>
      <c r="T85" s="96">
        <f t="shared" ca="1" si="71"/>
        <v>2.44</v>
      </c>
      <c r="V85" s="95">
        <f t="shared" ca="1" si="12"/>
        <v>0</v>
      </c>
      <c r="W85" s="97">
        <f t="shared" ca="1" si="72"/>
        <v>1661</v>
      </c>
      <c r="X85" s="77" t="e">
        <f t="shared" ca="1" si="73"/>
        <v>#DIV/0!</v>
      </c>
      <c r="Y85" s="77" t="e">
        <f ca="1">IF(H$16=1,_xll.xCalcSkew($A85,Z85-BS85,b)/100,0)</f>
        <v>#DIV/0!</v>
      </c>
      <c r="Z85" s="96">
        <f t="shared" ca="1" si="74"/>
        <v>2.44</v>
      </c>
      <c r="AC85" s="97">
        <f t="shared" ca="1" si="16"/>
        <v>1662</v>
      </c>
      <c r="AD85" s="97">
        <f t="shared" ca="1" si="17"/>
        <v>1661</v>
      </c>
      <c r="AE85" s="77">
        <f t="shared" ca="1" si="46"/>
        <v>4.962340294637E-2</v>
      </c>
      <c r="AF85" s="152">
        <f t="shared" si="75"/>
        <v>31</v>
      </c>
      <c r="AI85" s="97"/>
      <c r="AJ85" s="78"/>
      <c r="AK85" s="78">
        <f t="shared" ca="1" si="76"/>
        <v>0</v>
      </c>
      <c r="AL85" s="288" t="e">
        <f t="shared" ca="1" si="47"/>
        <v>#DIV/0!</v>
      </c>
      <c r="AM85" s="75">
        <f t="shared" ca="1" si="77"/>
        <v>0</v>
      </c>
      <c r="AN85" s="100">
        <f t="shared" ca="1" si="78"/>
        <v>0</v>
      </c>
      <c r="AO85" s="99">
        <f t="shared" ca="1" si="79"/>
        <v>0</v>
      </c>
      <c r="AP85" s="99">
        <f t="shared" ca="1" si="80"/>
        <v>0</v>
      </c>
      <c r="AQ85" s="99">
        <f t="shared" ca="1" si="81"/>
        <v>0</v>
      </c>
      <c r="AR85" s="101">
        <f t="shared" ca="1" si="48"/>
        <v>0</v>
      </c>
      <c r="AS85" s="101">
        <f t="shared" ca="1" si="49"/>
        <v>0</v>
      </c>
      <c r="AT85" s="101">
        <f t="shared" ca="1" si="50"/>
        <v>0</v>
      </c>
      <c r="AV85" s="78">
        <f t="shared" ca="1" si="82"/>
        <v>0</v>
      </c>
      <c r="AW85" s="288" t="e">
        <f t="shared" ca="1" si="51"/>
        <v>#DIV/0!</v>
      </c>
      <c r="AX85" s="75">
        <f t="shared" ca="1" si="83"/>
        <v>0</v>
      </c>
      <c r="AY85" s="100">
        <f t="shared" ca="1" si="84"/>
        <v>0</v>
      </c>
      <c r="AZ85" s="99">
        <f t="shared" ca="1" si="85"/>
        <v>0</v>
      </c>
      <c r="BA85" s="99">
        <f t="shared" ca="1" si="86"/>
        <v>0</v>
      </c>
      <c r="BB85" s="99">
        <f t="shared" ca="1" si="87"/>
        <v>0</v>
      </c>
      <c r="BC85" s="101">
        <f t="shared" ca="1" si="52"/>
        <v>0</v>
      </c>
      <c r="BD85" s="101">
        <f t="shared" ca="1" si="53"/>
        <v>0</v>
      </c>
      <c r="BE85" s="101">
        <f t="shared" ca="1" si="54"/>
        <v>0</v>
      </c>
      <c r="BG85" s="78">
        <f t="shared" ca="1" si="88"/>
        <v>0</v>
      </c>
      <c r="BH85" s="288" t="e">
        <f t="shared" ca="1" si="55"/>
        <v>#DIV/0!</v>
      </c>
      <c r="BI85" s="75">
        <f t="shared" ca="1" si="89"/>
        <v>0</v>
      </c>
      <c r="BJ85" s="100">
        <f t="shared" ca="1" si="90"/>
        <v>0</v>
      </c>
      <c r="BK85" s="99">
        <f t="shared" ca="1" si="91"/>
        <v>0</v>
      </c>
      <c r="BL85" s="99">
        <f t="shared" ca="1" si="92"/>
        <v>0</v>
      </c>
      <c r="BM85" s="99">
        <f t="shared" ca="1" si="93"/>
        <v>0</v>
      </c>
      <c r="BN85" s="101">
        <f t="shared" ca="1" si="56"/>
        <v>0</v>
      </c>
      <c r="BO85" s="101">
        <f t="shared" ca="1" si="57"/>
        <v>0</v>
      </c>
      <c r="BP85" s="101">
        <f t="shared" ca="1" si="58"/>
        <v>0</v>
      </c>
      <c r="BR85" s="78">
        <f t="shared" ca="1" si="94"/>
        <v>0</v>
      </c>
      <c r="BS85" s="288" t="e">
        <f t="shared" ca="1" si="59"/>
        <v>#DIV/0!</v>
      </c>
      <c r="BT85" s="75">
        <f t="shared" ca="1" si="95"/>
        <v>0</v>
      </c>
      <c r="BU85" s="100">
        <f t="shared" ca="1" si="96"/>
        <v>0</v>
      </c>
      <c r="BV85" s="99">
        <f t="shared" ca="1" si="97"/>
        <v>0</v>
      </c>
      <c r="BW85" s="99">
        <f t="shared" ca="1" si="98"/>
        <v>0</v>
      </c>
      <c r="BX85" s="99">
        <f t="shared" ca="1" si="99"/>
        <v>0</v>
      </c>
      <c r="BY85" s="101">
        <f t="shared" ca="1" si="60"/>
        <v>0</v>
      </c>
      <c r="BZ85" s="101">
        <f t="shared" ca="1" si="61"/>
        <v>0</v>
      </c>
      <c r="CA85" s="101">
        <f t="shared" ca="1" si="62"/>
        <v>0</v>
      </c>
    </row>
    <row r="86" spans="1:79" x14ac:dyDescent="0.25">
      <c r="A86" s="94">
        <f t="shared" si="43"/>
        <v>38961</v>
      </c>
      <c r="B86" s="95">
        <f t="shared" ca="1" si="44"/>
        <v>3.2489999999999997</v>
      </c>
      <c r="C86" s="77">
        <f t="shared" ca="1" si="45"/>
        <v>6.3255060447769601E-2</v>
      </c>
      <c r="D86" s="95">
        <f t="shared" ca="1" si="0"/>
        <v>0</v>
      </c>
      <c r="E86" s="97">
        <f t="shared" ca="1" si="63"/>
        <v>1694</v>
      </c>
      <c r="F86" s="77" t="e">
        <f t="shared" ca="1" si="64"/>
        <v>#DIV/0!</v>
      </c>
      <c r="G86" s="77" t="e">
        <f ca="1">IF(B$16=1,_xll.xCalcSkew(A86,H86-AL86,b)/100,0)</f>
        <v>#DIV/0!</v>
      </c>
      <c r="H86" s="96">
        <f t="shared" ca="1" si="65"/>
        <v>2.44</v>
      </c>
      <c r="J86" s="95">
        <f t="shared" ca="1" si="4"/>
        <v>0</v>
      </c>
      <c r="K86" s="97">
        <f t="shared" ca="1" si="66"/>
        <v>1694</v>
      </c>
      <c r="L86" s="172" t="e">
        <f t="shared" ca="1" si="67"/>
        <v>#DIV/0!</v>
      </c>
      <c r="M86" s="77" t="e">
        <f ca="1">IF(D$16=1,_xll.xCalcSkew($A86,N86-AW86,b)/100,0)</f>
        <v>#DIV/0!</v>
      </c>
      <c r="N86" s="96">
        <f t="shared" ca="1" si="68"/>
        <v>2.44</v>
      </c>
      <c r="P86" s="95">
        <f t="shared" ca="1" si="8"/>
        <v>0</v>
      </c>
      <c r="Q86" s="97">
        <f t="shared" ca="1" si="69"/>
        <v>1694</v>
      </c>
      <c r="R86" s="172" t="e">
        <f t="shared" ca="1" si="70"/>
        <v>#DIV/0!</v>
      </c>
      <c r="S86" s="77" t="e">
        <f ca="1">IF(F$16=1,_xll.xCalcSkew($A86,T86-BH86,b)/100,0)</f>
        <v>#DIV/0!</v>
      </c>
      <c r="T86" s="96">
        <f t="shared" ca="1" si="71"/>
        <v>2.44</v>
      </c>
      <c r="V86" s="95">
        <f t="shared" ca="1" si="12"/>
        <v>0</v>
      </c>
      <c r="W86" s="97">
        <f t="shared" ca="1" si="72"/>
        <v>1694</v>
      </c>
      <c r="X86" s="77" t="e">
        <f t="shared" ca="1" si="73"/>
        <v>#DIV/0!</v>
      </c>
      <c r="Y86" s="77" t="e">
        <f ca="1">IF(H$16=1,_xll.xCalcSkew($A86,Z86-BS86,b)/100,0)</f>
        <v>#DIV/0!</v>
      </c>
      <c r="Z86" s="96">
        <f t="shared" ca="1" si="74"/>
        <v>2.44</v>
      </c>
      <c r="AC86" s="97">
        <f t="shared" ca="1" si="16"/>
        <v>1695</v>
      </c>
      <c r="AD86" s="97">
        <f t="shared" ca="1" si="17"/>
        <v>1694</v>
      </c>
      <c r="AE86" s="77">
        <f t="shared" ca="1" si="46"/>
        <v>4.9933974265168303E-2</v>
      </c>
      <c r="AF86" s="152">
        <f t="shared" si="75"/>
        <v>30</v>
      </c>
      <c r="AI86" s="97"/>
      <c r="AJ86" s="78"/>
      <c r="AK86" s="78">
        <f t="shared" ca="1" si="76"/>
        <v>0</v>
      </c>
      <c r="AL86" s="288" t="e">
        <f t="shared" ca="1" si="47"/>
        <v>#DIV/0!</v>
      </c>
      <c r="AM86" s="75">
        <f t="shared" ca="1" si="77"/>
        <v>0</v>
      </c>
      <c r="AN86" s="100">
        <f t="shared" ca="1" si="78"/>
        <v>0</v>
      </c>
      <c r="AO86" s="99">
        <f t="shared" ca="1" si="79"/>
        <v>0</v>
      </c>
      <c r="AP86" s="99">
        <f t="shared" ca="1" si="80"/>
        <v>0</v>
      </c>
      <c r="AQ86" s="99">
        <f t="shared" ca="1" si="81"/>
        <v>0</v>
      </c>
      <c r="AR86" s="101">
        <f t="shared" ca="1" si="48"/>
        <v>0</v>
      </c>
      <c r="AS86" s="101">
        <f t="shared" ca="1" si="49"/>
        <v>0</v>
      </c>
      <c r="AT86" s="101">
        <f t="shared" ca="1" si="50"/>
        <v>0</v>
      </c>
      <c r="AV86" s="78">
        <f t="shared" ca="1" si="82"/>
        <v>0</v>
      </c>
      <c r="AW86" s="288" t="e">
        <f t="shared" ca="1" si="51"/>
        <v>#DIV/0!</v>
      </c>
      <c r="AX86" s="75">
        <f t="shared" ca="1" si="83"/>
        <v>0</v>
      </c>
      <c r="AY86" s="100">
        <f t="shared" ca="1" si="84"/>
        <v>0</v>
      </c>
      <c r="AZ86" s="99">
        <f t="shared" ca="1" si="85"/>
        <v>0</v>
      </c>
      <c r="BA86" s="99">
        <f t="shared" ca="1" si="86"/>
        <v>0</v>
      </c>
      <c r="BB86" s="99">
        <f t="shared" ca="1" si="87"/>
        <v>0</v>
      </c>
      <c r="BC86" s="101">
        <f t="shared" ca="1" si="52"/>
        <v>0</v>
      </c>
      <c r="BD86" s="101">
        <f t="shared" ca="1" si="53"/>
        <v>0</v>
      </c>
      <c r="BE86" s="101">
        <f t="shared" ca="1" si="54"/>
        <v>0</v>
      </c>
      <c r="BG86" s="78">
        <f t="shared" ca="1" si="88"/>
        <v>0</v>
      </c>
      <c r="BH86" s="288" t="e">
        <f t="shared" ca="1" si="55"/>
        <v>#DIV/0!</v>
      </c>
      <c r="BI86" s="75">
        <f t="shared" ca="1" si="89"/>
        <v>0</v>
      </c>
      <c r="BJ86" s="100">
        <f t="shared" ca="1" si="90"/>
        <v>0</v>
      </c>
      <c r="BK86" s="99">
        <f t="shared" ca="1" si="91"/>
        <v>0</v>
      </c>
      <c r="BL86" s="99">
        <f t="shared" ca="1" si="92"/>
        <v>0</v>
      </c>
      <c r="BM86" s="99">
        <f t="shared" ca="1" si="93"/>
        <v>0</v>
      </c>
      <c r="BN86" s="101">
        <f t="shared" ca="1" si="56"/>
        <v>0</v>
      </c>
      <c r="BO86" s="101">
        <f t="shared" ca="1" si="57"/>
        <v>0</v>
      </c>
      <c r="BP86" s="101">
        <f t="shared" ca="1" si="58"/>
        <v>0</v>
      </c>
      <c r="BR86" s="78">
        <f t="shared" ca="1" si="94"/>
        <v>0</v>
      </c>
      <c r="BS86" s="288" t="e">
        <f t="shared" ca="1" si="59"/>
        <v>#DIV/0!</v>
      </c>
      <c r="BT86" s="75">
        <f t="shared" ca="1" si="95"/>
        <v>0</v>
      </c>
      <c r="BU86" s="100">
        <f t="shared" ca="1" si="96"/>
        <v>0</v>
      </c>
      <c r="BV86" s="99">
        <f t="shared" ca="1" si="97"/>
        <v>0</v>
      </c>
      <c r="BW86" s="99">
        <f t="shared" ca="1" si="98"/>
        <v>0</v>
      </c>
      <c r="BX86" s="99">
        <f t="shared" ca="1" si="99"/>
        <v>0</v>
      </c>
      <c r="BY86" s="101">
        <f t="shared" ca="1" si="60"/>
        <v>0</v>
      </c>
      <c r="BZ86" s="101">
        <f t="shared" ca="1" si="61"/>
        <v>0</v>
      </c>
      <c r="CA86" s="101">
        <f t="shared" ca="1" si="62"/>
        <v>0</v>
      </c>
    </row>
    <row r="87" spans="1:79" x14ac:dyDescent="0.25">
      <c r="A87" s="94">
        <f t="shared" si="43"/>
        <v>38991</v>
      </c>
      <c r="B87" s="95">
        <f t="shared" ca="1" si="44"/>
        <v>3.2639999999999998</v>
      </c>
      <c r="C87" s="77">
        <f t="shared" ca="1" si="45"/>
        <v>6.2772091009140885E-2</v>
      </c>
      <c r="D87" s="95">
        <f t="shared" ca="1" si="0"/>
        <v>0</v>
      </c>
      <c r="E87" s="97">
        <f t="shared" ca="1" si="63"/>
        <v>1723</v>
      </c>
      <c r="F87" s="77" t="e">
        <f t="shared" ca="1" si="64"/>
        <v>#DIV/0!</v>
      </c>
      <c r="G87" s="77" t="e">
        <f ca="1">IF(B$16=1,_xll.xCalcSkew(A87,H87-AL87,b)/100,0)</f>
        <v>#DIV/0!</v>
      </c>
      <c r="H87" s="96">
        <f t="shared" ca="1" si="65"/>
        <v>2.44</v>
      </c>
      <c r="J87" s="95">
        <f t="shared" ca="1" si="4"/>
        <v>0</v>
      </c>
      <c r="K87" s="97">
        <f t="shared" ca="1" si="66"/>
        <v>1723</v>
      </c>
      <c r="L87" s="172" t="e">
        <f t="shared" ca="1" si="67"/>
        <v>#DIV/0!</v>
      </c>
      <c r="M87" s="77" t="e">
        <f ca="1">IF(D$16=1,_xll.xCalcSkew($A87,N87-AW87,b)/100,0)</f>
        <v>#DIV/0!</v>
      </c>
      <c r="N87" s="96">
        <f t="shared" ca="1" si="68"/>
        <v>2.44</v>
      </c>
      <c r="P87" s="95">
        <f t="shared" ca="1" si="8"/>
        <v>0</v>
      </c>
      <c r="Q87" s="97">
        <f t="shared" ca="1" si="69"/>
        <v>1723</v>
      </c>
      <c r="R87" s="172" t="e">
        <f t="shared" ca="1" si="70"/>
        <v>#DIV/0!</v>
      </c>
      <c r="S87" s="77" t="e">
        <f ca="1">IF(F$16=1,_xll.xCalcSkew($A87,T87-BH87,b)/100,0)</f>
        <v>#DIV/0!</v>
      </c>
      <c r="T87" s="96">
        <f t="shared" ca="1" si="71"/>
        <v>2.44</v>
      </c>
      <c r="V87" s="95">
        <f t="shared" ca="1" si="12"/>
        <v>0</v>
      </c>
      <c r="W87" s="97">
        <f t="shared" ca="1" si="72"/>
        <v>1723</v>
      </c>
      <c r="X87" s="77" t="e">
        <f t="shared" ca="1" si="73"/>
        <v>#DIV/0!</v>
      </c>
      <c r="Y87" s="77" t="e">
        <f ca="1">IF(H$16=1,_xll.xCalcSkew($A87,Z87-BS87,b)/100,0)</f>
        <v>#DIV/0!</v>
      </c>
      <c r="Z87" s="96">
        <f t="shared" ca="1" si="74"/>
        <v>2.44</v>
      </c>
      <c r="AC87" s="97">
        <f t="shared" ca="1" si="16"/>
        <v>1724</v>
      </c>
      <c r="AD87" s="97">
        <f t="shared" ca="1" si="17"/>
        <v>1723</v>
      </c>
      <c r="AE87" s="77">
        <f t="shared" ca="1" si="46"/>
        <v>5.0244545616172399E-2</v>
      </c>
      <c r="AF87" s="152">
        <f t="shared" si="75"/>
        <v>31</v>
      </c>
      <c r="AI87" s="97"/>
      <c r="AJ87" s="78"/>
      <c r="AK87" s="78">
        <f t="shared" ca="1" si="76"/>
        <v>0</v>
      </c>
      <c r="AL87" s="288" t="e">
        <f t="shared" ca="1" si="47"/>
        <v>#DIV/0!</v>
      </c>
      <c r="AM87" s="75">
        <f t="shared" ca="1" si="77"/>
        <v>0</v>
      </c>
      <c r="AN87" s="100">
        <f t="shared" ca="1" si="78"/>
        <v>0</v>
      </c>
      <c r="AO87" s="99">
        <f t="shared" ca="1" si="79"/>
        <v>0</v>
      </c>
      <c r="AP87" s="99">
        <f t="shared" ca="1" si="80"/>
        <v>0</v>
      </c>
      <c r="AQ87" s="99">
        <f t="shared" ca="1" si="81"/>
        <v>0</v>
      </c>
      <c r="AR87" s="101">
        <f t="shared" ca="1" si="48"/>
        <v>0</v>
      </c>
      <c r="AS87" s="101">
        <f t="shared" ca="1" si="49"/>
        <v>0</v>
      </c>
      <c r="AT87" s="101">
        <f t="shared" ca="1" si="50"/>
        <v>0</v>
      </c>
      <c r="AV87" s="78">
        <f t="shared" ca="1" si="82"/>
        <v>0</v>
      </c>
      <c r="AW87" s="288" t="e">
        <f t="shared" ca="1" si="51"/>
        <v>#DIV/0!</v>
      </c>
      <c r="AX87" s="75">
        <f t="shared" ca="1" si="83"/>
        <v>0</v>
      </c>
      <c r="AY87" s="100">
        <f t="shared" ca="1" si="84"/>
        <v>0</v>
      </c>
      <c r="AZ87" s="99">
        <f t="shared" ca="1" si="85"/>
        <v>0</v>
      </c>
      <c r="BA87" s="99">
        <f t="shared" ca="1" si="86"/>
        <v>0</v>
      </c>
      <c r="BB87" s="99">
        <f t="shared" ca="1" si="87"/>
        <v>0</v>
      </c>
      <c r="BC87" s="101">
        <f t="shared" ca="1" si="52"/>
        <v>0</v>
      </c>
      <c r="BD87" s="101">
        <f t="shared" ca="1" si="53"/>
        <v>0</v>
      </c>
      <c r="BE87" s="101">
        <f t="shared" ca="1" si="54"/>
        <v>0</v>
      </c>
      <c r="BG87" s="78">
        <f t="shared" ca="1" si="88"/>
        <v>0</v>
      </c>
      <c r="BH87" s="288" t="e">
        <f t="shared" ca="1" si="55"/>
        <v>#DIV/0!</v>
      </c>
      <c r="BI87" s="75">
        <f t="shared" ca="1" si="89"/>
        <v>0</v>
      </c>
      <c r="BJ87" s="100">
        <f t="shared" ca="1" si="90"/>
        <v>0</v>
      </c>
      <c r="BK87" s="99">
        <f t="shared" ca="1" si="91"/>
        <v>0</v>
      </c>
      <c r="BL87" s="99">
        <f t="shared" ca="1" si="92"/>
        <v>0</v>
      </c>
      <c r="BM87" s="99">
        <f t="shared" ca="1" si="93"/>
        <v>0</v>
      </c>
      <c r="BN87" s="101">
        <f t="shared" ca="1" si="56"/>
        <v>0</v>
      </c>
      <c r="BO87" s="101">
        <f t="shared" ca="1" si="57"/>
        <v>0</v>
      </c>
      <c r="BP87" s="101">
        <f t="shared" ca="1" si="58"/>
        <v>0</v>
      </c>
      <c r="BR87" s="78">
        <f t="shared" ca="1" si="94"/>
        <v>0</v>
      </c>
      <c r="BS87" s="288" t="e">
        <f t="shared" ca="1" si="59"/>
        <v>#DIV/0!</v>
      </c>
      <c r="BT87" s="75">
        <f t="shared" ca="1" si="95"/>
        <v>0</v>
      </c>
      <c r="BU87" s="100">
        <f t="shared" ca="1" si="96"/>
        <v>0</v>
      </c>
      <c r="BV87" s="99">
        <f t="shared" ca="1" si="97"/>
        <v>0</v>
      </c>
      <c r="BW87" s="99">
        <f t="shared" ca="1" si="98"/>
        <v>0</v>
      </c>
      <c r="BX87" s="99">
        <f t="shared" ca="1" si="99"/>
        <v>0</v>
      </c>
      <c r="BY87" s="101">
        <f t="shared" ca="1" si="60"/>
        <v>0</v>
      </c>
      <c r="BZ87" s="101">
        <f t="shared" ca="1" si="61"/>
        <v>0</v>
      </c>
      <c r="CA87" s="101">
        <f t="shared" ca="1" si="62"/>
        <v>0</v>
      </c>
    </row>
    <row r="88" spans="1:79" x14ac:dyDescent="0.25">
      <c r="A88" s="94">
        <f t="shared" si="43"/>
        <v>39022</v>
      </c>
      <c r="B88" s="95">
        <f t="shared" ca="1" si="44"/>
        <v>3.4089999999999998</v>
      </c>
      <c r="C88" s="77">
        <f t="shared" ca="1" si="45"/>
        <v>5.9914455062296215E-2</v>
      </c>
      <c r="D88" s="95">
        <f t="shared" ca="1" si="0"/>
        <v>0</v>
      </c>
      <c r="E88" s="97">
        <f t="shared" ca="1" si="63"/>
        <v>1753</v>
      </c>
      <c r="F88" s="77" t="e">
        <f t="shared" ca="1" si="64"/>
        <v>#DIV/0!</v>
      </c>
      <c r="G88" s="77" t="e">
        <f ca="1">IF(B$16=1,_xll.xCalcSkew(A88,H88-AL88,b)/100,0)</f>
        <v>#DIV/0!</v>
      </c>
      <c r="H88" s="96">
        <f t="shared" ca="1" si="65"/>
        <v>2.44</v>
      </c>
      <c r="J88" s="95">
        <f t="shared" ca="1" si="4"/>
        <v>0</v>
      </c>
      <c r="K88" s="97">
        <f t="shared" ca="1" si="66"/>
        <v>1753</v>
      </c>
      <c r="L88" s="172" t="e">
        <f t="shared" ca="1" si="67"/>
        <v>#DIV/0!</v>
      </c>
      <c r="M88" s="77" t="e">
        <f ca="1">IF(D$16=1,_xll.xCalcSkew($A88,N88-AW88,b)/100,0)</f>
        <v>#DIV/0!</v>
      </c>
      <c r="N88" s="96">
        <f t="shared" ca="1" si="68"/>
        <v>2.44</v>
      </c>
      <c r="P88" s="95">
        <f t="shared" ca="1" si="8"/>
        <v>0</v>
      </c>
      <c r="Q88" s="97">
        <f t="shared" ca="1" si="69"/>
        <v>1753</v>
      </c>
      <c r="R88" s="172" t="e">
        <f t="shared" ca="1" si="70"/>
        <v>#DIV/0!</v>
      </c>
      <c r="S88" s="77" t="e">
        <f ca="1">IF(F$16=1,_xll.xCalcSkew($A88,T88-BH88,b)/100,0)</f>
        <v>#DIV/0!</v>
      </c>
      <c r="T88" s="96">
        <f t="shared" ca="1" si="71"/>
        <v>2.44</v>
      </c>
      <c r="V88" s="95">
        <f t="shared" ca="1" si="12"/>
        <v>0</v>
      </c>
      <c r="W88" s="97">
        <f t="shared" ca="1" si="72"/>
        <v>1753</v>
      </c>
      <c r="X88" s="77" t="e">
        <f t="shared" ca="1" si="73"/>
        <v>#DIV/0!</v>
      </c>
      <c r="Y88" s="77" t="e">
        <f ca="1">IF(H$16=1,_xll.xCalcSkew($A88,Z88-BS88,b)/100,0)</f>
        <v>#DIV/0!</v>
      </c>
      <c r="Z88" s="96">
        <f t="shared" ca="1" si="74"/>
        <v>2.44</v>
      </c>
      <c r="AC88" s="97">
        <f t="shared" ca="1" si="16"/>
        <v>1754</v>
      </c>
      <c r="AD88" s="97">
        <f t="shared" ca="1" si="17"/>
        <v>1753</v>
      </c>
      <c r="AE88" s="77">
        <f t="shared" ca="1" si="46"/>
        <v>5.0545098567158497E-2</v>
      </c>
      <c r="AF88" s="152">
        <f t="shared" si="75"/>
        <v>30</v>
      </c>
      <c r="AI88" s="97"/>
      <c r="AJ88" s="78"/>
      <c r="AK88" s="78">
        <f t="shared" ca="1" si="76"/>
        <v>0</v>
      </c>
      <c r="AL88" s="288" t="e">
        <f t="shared" ca="1" si="47"/>
        <v>#DIV/0!</v>
      </c>
      <c r="AM88" s="75">
        <f t="shared" ca="1" si="77"/>
        <v>0</v>
      </c>
      <c r="AN88" s="100">
        <f t="shared" ca="1" si="78"/>
        <v>0</v>
      </c>
      <c r="AO88" s="99">
        <f t="shared" ca="1" si="79"/>
        <v>0</v>
      </c>
      <c r="AP88" s="99">
        <f t="shared" ca="1" si="80"/>
        <v>0</v>
      </c>
      <c r="AQ88" s="99">
        <f t="shared" ca="1" si="81"/>
        <v>0</v>
      </c>
      <c r="AR88" s="101">
        <f t="shared" ca="1" si="48"/>
        <v>0</v>
      </c>
      <c r="AS88" s="101">
        <f t="shared" ca="1" si="49"/>
        <v>0</v>
      </c>
      <c r="AT88" s="101">
        <f t="shared" ca="1" si="50"/>
        <v>0</v>
      </c>
      <c r="AV88" s="78">
        <f t="shared" ca="1" si="82"/>
        <v>0</v>
      </c>
      <c r="AW88" s="288" t="e">
        <f t="shared" ca="1" si="51"/>
        <v>#DIV/0!</v>
      </c>
      <c r="AX88" s="75">
        <f t="shared" ca="1" si="83"/>
        <v>0</v>
      </c>
      <c r="AY88" s="100">
        <f t="shared" ca="1" si="84"/>
        <v>0</v>
      </c>
      <c r="AZ88" s="99">
        <f t="shared" ca="1" si="85"/>
        <v>0</v>
      </c>
      <c r="BA88" s="99">
        <f t="shared" ca="1" si="86"/>
        <v>0</v>
      </c>
      <c r="BB88" s="99">
        <f t="shared" ca="1" si="87"/>
        <v>0</v>
      </c>
      <c r="BC88" s="101">
        <f t="shared" ca="1" si="52"/>
        <v>0</v>
      </c>
      <c r="BD88" s="101">
        <f t="shared" ca="1" si="53"/>
        <v>0</v>
      </c>
      <c r="BE88" s="101">
        <f t="shared" ca="1" si="54"/>
        <v>0</v>
      </c>
      <c r="BG88" s="78">
        <f t="shared" ca="1" si="88"/>
        <v>0</v>
      </c>
      <c r="BH88" s="288" t="e">
        <f t="shared" ca="1" si="55"/>
        <v>#DIV/0!</v>
      </c>
      <c r="BI88" s="75">
        <f t="shared" ca="1" si="89"/>
        <v>0</v>
      </c>
      <c r="BJ88" s="100">
        <f t="shared" ca="1" si="90"/>
        <v>0</v>
      </c>
      <c r="BK88" s="99">
        <f t="shared" ca="1" si="91"/>
        <v>0</v>
      </c>
      <c r="BL88" s="99">
        <f t="shared" ca="1" si="92"/>
        <v>0</v>
      </c>
      <c r="BM88" s="99">
        <f t="shared" ca="1" si="93"/>
        <v>0</v>
      </c>
      <c r="BN88" s="101">
        <f t="shared" ca="1" si="56"/>
        <v>0</v>
      </c>
      <c r="BO88" s="101">
        <f t="shared" ca="1" si="57"/>
        <v>0</v>
      </c>
      <c r="BP88" s="101">
        <f t="shared" ca="1" si="58"/>
        <v>0</v>
      </c>
      <c r="BR88" s="78">
        <f t="shared" ca="1" si="94"/>
        <v>0</v>
      </c>
      <c r="BS88" s="288" t="e">
        <f t="shared" ca="1" si="59"/>
        <v>#DIV/0!</v>
      </c>
      <c r="BT88" s="75">
        <f t="shared" ca="1" si="95"/>
        <v>0</v>
      </c>
      <c r="BU88" s="100">
        <f t="shared" ca="1" si="96"/>
        <v>0</v>
      </c>
      <c r="BV88" s="99">
        <f t="shared" ca="1" si="97"/>
        <v>0</v>
      </c>
      <c r="BW88" s="99">
        <f t="shared" ca="1" si="98"/>
        <v>0</v>
      </c>
      <c r="BX88" s="99">
        <f t="shared" ca="1" si="99"/>
        <v>0</v>
      </c>
      <c r="BY88" s="101">
        <f t="shared" ca="1" si="60"/>
        <v>0</v>
      </c>
      <c r="BZ88" s="101">
        <f t="shared" ca="1" si="61"/>
        <v>0</v>
      </c>
      <c r="CA88" s="101">
        <f t="shared" ca="1" si="62"/>
        <v>0</v>
      </c>
    </row>
    <row r="89" spans="1:79" x14ac:dyDescent="0.25">
      <c r="A89" s="94">
        <f t="shared" si="43"/>
        <v>39052</v>
      </c>
      <c r="B89" s="95">
        <f t="shared" ca="1" si="44"/>
        <v>3.5439999999999996</v>
      </c>
      <c r="C89" s="77">
        <f t="shared" ca="1" si="45"/>
        <v>5.7450653994158482E-2</v>
      </c>
      <c r="D89" s="95">
        <f t="shared" ca="1" si="0"/>
        <v>0</v>
      </c>
      <c r="E89" s="97">
        <f t="shared" ca="1" si="63"/>
        <v>1785</v>
      </c>
      <c r="F89" s="77" t="e">
        <f t="shared" ca="1" si="64"/>
        <v>#DIV/0!</v>
      </c>
      <c r="G89" s="77" t="e">
        <f ca="1">IF(B$16=1,_xll.xCalcSkew(A89,H89-AL89,b)/100,0)</f>
        <v>#DIV/0!</v>
      </c>
      <c r="H89" s="96">
        <f t="shared" ca="1" si="65"/>
        <v>2.44</v>
      </c>
      <c r="J89" s="95">
        <f t="shared" ca="1" si="4"/>
        <v>0</v>
      </c>
      <c r="K89" s="97">
        <f t="shared" ca="1" si="66"/>
        <v>1785</v>
      </c>
      <c r="L89" s="172" t="e">
        <f t="shared" ca="1" si="67"/>
        <v>#DIV/0!</v>
      </c>
      <c r="M89" s="77" t="e">
        <f ca="1">IF(D$16=1,_xll.xCalcSkew($A89,N89-AW89,b)/100,0)</f>
        <v>#DIV/0!</v>
      </c>
      <c r="N89" s="96">
        <f t="shared" ca="1" si="68"/>
        <v>2.44</v>
      </c>
      <c r="P89" s="95">
        <f t="shared" ca="1" si="8"/>
        <v>0</v>
      </c>
      <c r="Q89" s="97">
        <f t="shared" ca="1" si="69"/>
        <v>1785</v>
      </c>
      <c r="R89" s="172" t="e">
        <f t="shared" ca="1" si="70"/>
        <v>#DIV/0!</v>
      </c>
      <c r="S89" s="77" t="e">
        <f ca="1">IF(F$16=1,_xll.xCalcSkew($A89,T89-BH89,b)/100,0)</f>
        <v>#DIV/0!</v>
      </c>
      <c r="T89" s="96">
        <f t="shared" ca="1" si="71"/>
        <v>2.44</v>
      </c>
      <c r="V89" s="95">
        <f t="shared" ca="1" si="12"/>
        <v>0</v>
      </c>
      <c r="W89" s="97">
        <f t="shared" ca="1" si="72"/>
        <v>1785</v>
      </c>
      <c r="X89" s="77" t="e">
        <f t="shared" ca="1" si="73"/>
        <v>#DIV/0!</v>
      </c>
      <c r="Y89" s="77" t="e">
        <f ca="1">IF(H$16=1,_xll.xCalcSkew($A89,Z89-BS89,b)/100,0)</f>
        <v>#DIV/0!</v>
      </c>
      <c r="Z89" s="96">
        <f t="shared" ca="1" si="74"/>
        <v>2.44</v>
      </c>
      <c r="AC89" s="97">
        <f t="shared" ca="1" si="16"/>
        <v>1786</v>
      </c>
      <c r="AD89" s="97">
        <f t="shared" ca="1" si="17"/>
        <v>1785</v>
      </c>
      <c r="AE89" s="77">
        <f t="shared" ca="1" si="46"/>
        <v>5.0855669981520801E-2</v>
      </c>
      <c r="AF89" s="152">
        <f t="shared" si="75"/>
        <v>31</v>
      </c>
      <c r="AI89" s="97"/>
      <c r="AJ89" s="78"/>
      <c r="AK89" s="78">
        <f t="shared" ca="1" si="76"/>
        <v>0</v>
      </c>
      <c r="AL89" s="288" t="e">
        <f t="shared" ca="1" si="47"/>
        <v>#DIV/0!</v>
      </c>
      <c r="AM89" s="75">
        <f t="shared" ca="1" si="77"/>
        <v>0</v>
      </c>
      <c r="AN89" s="100">
        <f t="shared" ca="1" si="78"/>
        <v>0</v>
      </c>
      <c r="AO89" s="99">
        <f t="shared" ca="1" si="79"/>
        <v>0</v>
      </c>
      <c r="AP89" s="99">
        <f t="shared" ca="1" si="80"/>
        <v>0</v>
      </c>
      <c r="AQ89" s="99">
        <f t="shared" ca="1" si="81"/>
        <v>0</v>
      </c>
      <c r="AR89" s="101">
        <f t="shared" ca="1" si="48"/>
        <v>0</v>
      </c>
      <c r="AS89" s="101">
        <f t="shared" ca="1" si="49"/>
        <v>0</v>
      </c>
      <c r="AT89" s="101">
        <f t="shared" ca="1" si="50"/>
        <v>0</v>
      </c>
      <c r="AV89" s="78">
        <f t="shared" ca="1" si="82"/>
        <v>0</v>
      </c>
      <c r="AW89" s="288" t="e">
        <f t="shared" ca="1" si="51"/>
        <v>#DIV/0!</v>
      </c>
      <c r="AX89" s="75">
        <f t="shared" ca="1" si="83"/>
        <v>0</v>
      </c>
      <c r="AY89" s="100">
        <f t="shared" ca="1" si="84"/>
        <v>0</v>
      </c>
      <c r="AZ89" s="99">
        <f t="shared" ca="1" si="85"/>
        <v>0</v>
      </c>
      <c r="BA89" s="99">
        <f t="shared" ca="1" si="86"/>
        <v>0</v>
      </c>
      <c r="BB89" s="99">
        <f t="shared" ca="1" si="87"/>
        <v>0</v>
      </c>
      <c r="BC89" s="101">
        <f t="shared" ca="1" si="52"/>
        <v>0</v>
      </c>
      <c r="BD89" s="101">
        <f t="shared" ca="1" si="53"/>
        <v>0</v>
      </c>
      <c r="BE89" s="101">
        <f t="shared" ca="1" si="54"/>
        <v>0</v>
      </c>
      <c r="BG89" s="78">
        <f t="shared" ca="1" si="88"/>
        <v>0</v>
      </c>
      <c r="BH89" s="288" t="e">
        <f t="shared" ca="1" si="55"/>
        <v>#DIV/0!</v>
      </c>
      <c r="BI89" s="75">
        <f t="shared" ca="1" si="89"/>
        <v>0</v>
      </c>
      <c r="BJ89" s="100">
        <f t="shared" ca="1" si="90"/>
        <v>0</v>
      </c>
      <c r="BK89" s="99">
        <f t="shared" ca="1" si="91"/>
        <v>0</v>
      </c>
      <c r="BL89" s="99">
        <f t="shared" ca="1" si="92"/>
        <v>0</v>
      </c>
      <c r="BM89" s="99">
        <f t="shared" ca="1" si="93"/>
        <v>0</v>
      </c>
      <c r="BN89" s="101">
        <f t="shared" ca="1" si="56"/>
        <v>0</v>
      </c>
      <c r="BO89" s="101">
        <f t="shared" ca="1" si="57"/>
        <v>0</v>
      </c>
      <c r="BP89" s="101">
        <f t="shared" ca="1" si="58"/>
        <v>0</v>
      </c>
      <c r="BR89" s="78">
        <f t="shared" ca="1" si="94"/>
        <v>0</v>
      </c>
      <c r="BS89" s="288" t="e">
        <f t="shared" ca="1" si="59"/>
        <v>#DIV/0!</v>
      </c>
      <c r="BT89" s="75">
        <f t="shared" ca="1" si="95"/>
        <v>0</v>
      </c>
      <c r="BU89" s="100">
        <f t="shared" ca="1" si="96"/>
        <v>0</v>
      </c>
      <c r="BV89" s="99">
        <f t="shared" ca="1" si="97"/>
        <v>0</v>
      </c>
      <c r="BW89" s="99">
        <f t="shared" ca="1" si="98"/>
        <v>0</v>
      </c>
      <c r="BX89" s="99">
        <f t="shared" ca="1" si="99"/>
        <v>0</v>
      </c>
      <c r="BY89" s="101">
        <f t="shared" ca="1" si="60"/>
        <v>0</v>
      </c>
      <c r="BZ89" s="101">
        <f t="shared" ca="1" si="61"/>
        <v>0</v>
      </c>
      <c r="CA89" s="101">
        <f t="shared" ca="1" si="62"/>
        <v>0</v>
      </c>
    </row>
    <row r="90" spans="1:79" x14ac:dyDescent="0.25">
      <c r="A90" s="94">
        <f t="shared" si="43"/>
        <v>39083</v>
      </c>
      <c r="B90" s="95">
        <f t="shared" ca="1" si="44"/>
        <v>3.5989999999999998</v>
      </c>
      <c r="C90" s="77">
        <f t="shared" ca="1" si="45"/>
        <v>5.6428812061756997E-2</v>
      </c>
      <c r="D90" s="95">
        <f t="shared" ca="1" si="0"/>
        <v>0</v>
      </c>
      <c r="E90" s="97">
        <f t="shared" ca="1" si="63"/>
        <v>1814</v>
      </c>
      <c r="F90" s="77" t="e">
        <f t="shared" ca="1" si="64"/>
        <v>#DIV/0!</v>
      </c>
      <c r="G90" s="77" t="e">
        <f ca="1">IF(B$16=1,_xll.xCalcSkew(A90,H90-AL90,b)/100,0)</f>
        <v>#DIV/0!</v>
      </c>
      <c r="H90" s="96">
        <f t="shared" ca="1" si="65"/>
        <v>2.44</v>
      </c>
      <c r="J90" s="95">
        <f t="shared" ca="1" si="4"/>
        <v>0</v>
      </c>
      <c r="K90" s="97">
        <f t="shared" ca="1" si="66"/>
        <v>1814</v>
      </c>
      <c r="L90" s="172" t="e">
        <f t="shared" ca="1" si="67"/>
        <v>#DIV/0!</v>
      </c>
      <c r="M90" s="77" t="e">
        <f ca="1">IF(D$16=1,_xll.xCalcSkew($A90,N90-AW90,b)/100,0)</f>
        <v>#DIV/0!</v>
      </c>
      <c r="N90" s="96">
        <f t="shared" ca="1" si="68"/>
        <v>2.44</v>
      </c>
      <c r="P90" s="95">
        <f t="shared" ca="1" si="8"/>
        <v>0</v>
      </c>
      <c r="Q90" s="97">
        <f t="shared" ca="1" si="69"/>
        <v>1814</v>
      </c>
      <c r="R90" s="172" t="e">
        <f t="shared" ca="1" si="70"/>
        <v>#DIV/0!</v>
      </c>
      <c r="S90" s="77" t="e">
        <f ca="1">IF(F$16=1,_xll.xCalcSkew($A90,T90-BH90,b)/100,0)</f>
        <v>#DIV/0!</v>
      </c>
      <c r="T90" s="96">
        <f t="shared" ca="1" si="71"/>
        <v>2.44</v>
      </c>
      <c r="V90" s="95">
        <f t="shared" ca="1" si="12"/>
        <v>0</v>
      </c>
      <c r="W90" s="97">
        <f t="shared" ca="1" si="72"/>
        <v>1814</v>
      </c>
      <c r="X90" s="77" t="e">
        <f t="shared" ca="1" si="73"/>
        <v>#DIV/0!</v>
      </c>
      <c r="Y90" s="77" t="e">
        <f ca="1">IF(H$16=1,_xll.xCalcSkew($A90,Z90-BS90,b)/100,0)</f>
        <v>#DIV/0!</v>
      </c>
      <c r="Z90" s="96">
        <f t="shared" ca="1" si="74"/>
        <v>2.44</v>
      </c>
      <c r="AC90" s="97">
        <f t="shared" ca="1" si="16"/>
        <v>1815</v>
      </c>
      <c r="AD90" s="97">
        <f t="shared" ca="1" si="17"/>
        <v>1814</v>
      </c>
      <c r="AE90" s="77">
        <f t="shared" ca="1" si="46"/>
        <v>5.1156222993812103E-2</v>
      </c>
      <c r="AF90" s="152">
        <f t="shared" si="75"/>
        <v>31</v>
      </c>
      <c r="AI90" s="97"/>
      <c r="AJ90" s="78"/>
      <c r="AK90" s="78">
        <f t="shared" ca="1" si="76"/>
        <v>0</v>
      </c>
      <c r="AL90" s="288" t="e">
        <f t="shared" ca="1" si="47"/>
        <v>#DIV/0!</v>
      </c>
      <c r="AM90" s="75">
        <f t="shared" ca="1" si="77"/>
        <v>0</v>
      </c>
      <c r="AN90" s="100">
        <f t="shared" ca="1" si="78"/>
        <v>0</v>
      </c>
      <c r="AO90" s="99">
        <f t="shared" ca="1" si="79"/>
        <v>0</v>
      </c>
      <c r="AP90" s="99">
        <f t="shared" ca="1" si="80"/>
        <v>0</v>
      </c>
      <c r="AQ90" s="99">
        <f t="shared" ca="1" si="81"/>
        <v>0</v>
      </c>
      <c r="AR90" s="101">
        <f t="shared" ca="1" si="48"/>
        <v>0</v>
      </c>
      <c r="AS90" s="101">
        <f t="shared" ca="1" si="49"/>
        <v>0</v>
      </c>
      <c r="AT90" s="101">
        <f t="shared" ca="1" si="50"/>
        <v>0</v>
      </c>
      <c r="AV90" s="78">
        <f t="shared" ca="1" si="82"/>
        <v>0</v>
      </c>
      <c r="AW90" s="288" t="e">
        <f t="shared" ca="1" si="51"/>
        <v>#DIV/0!</v>
      </c>
      <c r="AX90" s="75">
        <f t="shared" ca="1" si="83"/>
        <v>0</v>
      </c>
      <c r="AY90" s="100">
        <f t="shared" ca="1" si="84"/>
        <v>0</v>
      </c>
      <c r="AZ90" s="99">
        <f t="shared" ca="1" si="85"/>
        <v>0</v>
      </c>
      <c r="BA90" s="99">
        <f t="shared" ca="1" si="86"/>
        <v>0</v>
      </c>
      <c r="BB90" s="99">
        <f t="shared" ca="1" si="87"/>
        <v>0</v>
      </c>
      <c r="BC90" s="101">
        <f t="shared" ca="1" si="52"/>
        <v>0</v>
      </c>
      <c r="BD90" s="101">
        <f t="shared" ca="1" si="53"/>
        <v>0</v>
      </c>
      <c r="BE90" s="101">
        <f t="shared" ca="1" si="54"/>
        <v>0</v>
      </c>
      <c r="BG90" s="78">
        <f t="shared" ca="1" si="88"/>
        <v>0</v>
      </c>
      <c r="BH90" s="288" t="e">
        <f t="shared" ca="1" si="55"/>
        <v>#DIV/0!</v>
      </c>
      <c r="BI90" s="75">
        <f t="shared" ca="1" si="89"/>
        <v>0</v>
      </c>
      <c r="BJ90" s="100">
        <f t="shared" ca="1" si="90"/>
        <v>0</v>
      </c>
      <c r="BK90" s="99">
        <f t="shared" ca="1" si="91"/>
        <v>0</v>
      </c>
      <c r="BL90" s="99">
        <f t="shared" ca="1" si="92"/>
        <v>0</v>
      </c>
      <c r="BM90" s="99">
        <f t="shared" ca="1" si="93"/>
        <v>0</v>
      </c>
      <c r="BN90" s="101">
        <f t="shared" ca="1" si="56"/>
        <v>0</v>
      </c>
      <c r="BO90" s="101">
        <f t="shared" ca="1" si="57"/>
        <v>0</v>
      </c>
      <c r="BP90" s="101">
        <f t="shared" ca="1" si="58"/>
        <v>0</v>
      </c>
      <c r="BR90" s="78">
        <f t="shared" ca="1" si="94"/>
        <v>0</v>
      </c>
      <c r="BS90" s="288" t="e">
        <f t="shared" ca="1" si="59"/>
        <v>#DIV/0!</v>
      </c>
      <c r="BT90" s="75">
        <f t="shared" ca="1" si="95"/>
        <v>0</v>
      </c>
      <c r="BU90" s="100">
        <f t="shared" ca="1" si="96"/>
        <v>0</v>
      </c>
      <c r="BV90" s="99">
        <f t="shared" ca="1" si="97"/>
        <v>0</v>
      </c>
      <c r="BW90" s="99">
        <f t="shared" ca="1" si="98"/>
        <v>0</v>
      </c>
      <c r="BX90" s="99">
        <f t="shared" ca="1" si="99"/>
        <v>0</v>
      </c>
      <c r="BY90" s="101">
        <f t="shared" ca="1" si="60"/>
        <v>0</v>
      </c>
      <c r="BZ90" s="101">
        <f t="shared" ca="1" si="61"/>
        <v>0</v>
      </c>
      <c r="CA90" s="101">
        <f t="shared" ca="1" si="62"/>
        <v>0</v>
      </c>
    </row>
    <row r="91" spans="1:79" x14ac:dyDescent="0.25">
      <c r="A91" s="94">
        <f t="shared" si="43"/>
        <v>39114</v>
      </c>
      <c r="B91" s="95">
        <f t="shared" ca="1" si="44"/>
        <v>3.4509999999999996</v>
      </c>
      <c r="C91" s="77">
        <f t="shared" ca="1" si="45"/>
        <v>5.8680204097619593E-2</v>
      </c>
      <c r="D91" s="95">
        <f t="shared" ca="1" si="0"/>
        <v>0</v>
      </c>
      <c r="E91" s="97">
        <f t="shared" ca="1" si="63"/>
        <v>1845</v>
      </c>
      <c r="F91" s="77" t="e">
        <f t="shared" ca="1" si="64"/>
        <v>#DIV/0!</v>
      </c>
      <c r="G91" s="77" t="e">
        <f ca="1">IF(B$16=1,_xll.xCalcSkew(A91,H91-AL91,b)/100,0)</f>
        <v>#DIV/0!</v>
      </c>
      <c r="H91" s="96">
        <f t="shared" ca="1" si="65"/>
        <v>2.44</v>
      </c>
      <c r="J91" s="95">
        <f t="shared" ca="1" si="4"/>
        <v>0</v>
      </c>
      <c r="K91" s="97">
        <f t="shared" ca="1" si="66"/>
        <v>1845</v>
      </c>
      <c r="L91" s="172" t="e">
        <f t="shared" ca="1" si="67"/>
        <v>#DIV/0!</v>
      </c>
      <c r="M91" s="77" t="e">
        <f ca="1">IF(D$16=1,_xll.xCalcSkew($A91,N91-AW91,b)/100,0)</f>
        <v>#DIV/0!</v>
      </c>
      <c r="N91" s="96">
        <f t="shared" ca="1" si="68"/>
        <v>2.44</v>
      </c>
      <c r="P91" s="95">
        <f t="shared" ca="1" si="8"/>
        <v>0</v>
      </c>
      <c r="Q91" s="97">
        <f t="shared" ca="1" si="69"/>
        <v>1845</v>
      </c>
      <c r="R91" s="172" t="e">
        <f t="shared" ca="1" si="70"/>
        <v>#DIV/0!</v>
      </c>
      <c r="S91" s="77" t="e">
        <f ca="1">IF(F$16=1,_xll.xCalcSkew($A91,T91-BH91,b)/100,0)</f>
        <v>#DIV/0!</v>
      </c>
      <c r="T91" s="96">
        <f t="shared" ca="1" si="71"/>
        <v>2.44</v>
      </c>
      <c r="V91" s="95">
        <f t="shared" ca="1" si="12"/>
        <v>0</v>
      </c>
      <c r="W91" s="97">
        <f t="shared" ca="1" si="72"/>
        <v>1845</v>
      </c>
      <c r="X91" s="77" t="e">
        <f t="shared" ca="1" si="73"/>
        <v>#DIV/0!</v>
      </c>
      <c r="Y91" s="77" t="e">
        <f ca="1">IF(H$16=1,_xll.xCalcSkew($A91,Z91-BS91,b)/100,0)</f>
        <v>#DIV/0!</v>
      </c>
      <c r="Z91" s="96">
        <f t="shared" ca="1" si="74"/>
        <v>2.44</v>
      </c>
      <c r="AC91" s="97">
        <f t="shared" ca="1" si="16"/>
        <v>1848</v>
      </c>
      <c r="AD91" s="97">
        <f t="shared" ca="1" si="17"/>
        <v>1845</v>
      </c>
      <c r="AE91" s="77">
        <f t="shared" ca="1" si="46"/>
        <v>5.1391857633718001E-2</v>
      </c>
      <c r="AF91" s="152">
        <f t="shared" si="75"/>
        <v>28</v>
      </c>
      <c r="AI91" s="97"/>
      <c r="AJ91" s="78"/>
      <c r="AK91" s="78">
        <f t="shared" ca="1" si="76"/>
        <v>0</v>
      </c>
      <c r="AL91" s="288" t="e">
        <f t="shared" ca="1" si="47"/>
        <v>#DIV/0!</v>
      </c>
      <c r="AM91" s="75">
        <f t="shared" ca="1" si="77"/>
        <v>0</v>
      </c>
      <c r="AN91" s="100">
        <f t="shared" ca="1" si="78"/>
        <v>0</v>
      </c>
      <c r="AO91" s="99">
        <f t="shared" ca="1" si="79"/>
        <v>0</v>
      </c>
      <c r="AP91" s="99">
        <f t="shared" ca="1" si="80"/>
        <v>0</v>
      </c>
      <c r="AQ91" s="99">
        <f t="shared" ca="1" si="81"/>
        <v>0</v>
      </c>
      <c r="AR91" s="101">
        <f t="shared" ca="1" si="48"/>
        <v>0</v>
      </c>
      <c r="AS91" s="101">
        <f t="shared" ca="1" si="49"/>
        <v>0</v>
      </c>
      <c r="AT91" s="101">
        <f t="shared" ca="1" si="50"/>
        <v>0</v>
      </c>
      <c r="AV91" s="78">
        <f t="shared" ca="1" si="82"/>
        <v>0</v>
      </c>
      <c r="AW91" s="288" t="e">
        <f t="shared" ca="1" si="51"/>
        <v>#DIV/0!</v>
      </c>
      <c r="AX91" s="75">
        <f t="shared" ca="1" si="83"/>
        <v>0</v>
      </c>
      <c r="AY91" s="100">
        <f t="shared" ca="1" si="84"/>
        <v>0</v>
      </c>
      <c r="AZ91" s="99">
        <f t="shared" ca="1" si="85"/>
        <v>0</v>
      </c>
      <c r="BA91" s="99">
        <f t="shared" ca="1" si="86"/>
        <v>0</v>
      </c>
      <c r="BB91" s="99">
        <f t="shared" ca="1" si="87"/>
        <v>0</v>
      </c>
      <c r="BC91" s="101">
        <f t="shared" ca="1" si="52"/>
        <v>0</v>
      </c>
      <c r="BD91" s="101">
        <f t="shared" ca="1" si="53"/>
        <v>0</v>
      </c>
      <c r="BE91" s="101">
        <f t="shared" ca="1" si="54"/>
        <v>0</v>
      </c>
      <c r="BG91" s="78">
        <f t="shared" ca="1" si="88"/>
        <v>0</v>
      </c>
      <c r="BH91" s="288" t="e">
        <f t="shared" ca="1" si="55"/>
        <v>#DIV/0!</v>
      </c>
      <c r="BI91" s="75">
        <f t="shared" ca="1" si="89"/>
        <v>0</v>
      </c>
      <c r="BJ91" s="100">
        <f t="shared" ca="1" si="90"/>
        <v>0</v>
      </c>
      <c r="BK91" s="99">
        <f t="shared" ca="1" si="91"/>
        <v>0</v>
      </c>
      <c r="BL91" s="99">
        <f t="shared" ca="1" si="92"/>
        <v>0</v>
      </c>
      <c r="BM91" s="99">
        <f t="shared" ca="1" si="93"/>
        <v>0</v>
      </c>
      <c r="BN91" s="101">
        <f t="shared" ca="1" si="56"/>
        <v>0</v>
      </c>
      <c r="BO91" s="101">
        <f t="shared" ca="1" si="57"/>
        <v>0</v>
      </c>
      <c r="BP91" s="101">
        <f t="shared" ca="1" si="58"/>
        <v>0</v>
      </c>
      <c r="BR91" s="78">
        <f t="shared" ca="1" si="94"/>
        <v>0</v>
      </c>
      <c r="BS91" s="288" t="e">
        <f t="shared" ca="1" si="59"/>
        <v>#DIV/0!</v>
      </c>
      <c r="BT91" s="75">
        <f t="shared" ca="1" si="95"/>
        <v>0</v>
      </c>
      <c r="BU91" s="100">
        <f t="shared" ca="1" si="96"/>
        <v>0</v>
      </c>
      <c r="BV91" s="99">
        <f t="shared" ca="1" si="97"/>
        <v>0</v>
      </c>
      <c r="BW91" s="99">
        <f t="shared" ca="1" si="98"/>
        <v>0</v>
      </c>
      <c r="BX91" s="99">
        <f t="shared" ca="1" si="99"/>
        <v>0</v>
      </c>
      <c r="BY91" s="101">
        <f t="shared" ca="1" si="60"/>
        <v>0</v>
      </c>
      <c r="BZ91" s="101">
        <f t="shared" ca="1" si="61"/>
        <v>0</v>
      </c>
      <c r="CA91" s="101">
        <f t="shared" ca="1" si="62"/>
        <v>0</v>
      </c>
    </row>
    <row r="92" spans="1:79" x14ac:dyDescent="0.25">
      <c r="A92" s="94">
        <f t="shared" si="43"/>
        <v>39142</v>
      </c>
      <c r="B92" s="95">
        <f t="shared" ca="1" si="44"/>
        <v>3.3999999999999995</v>
      </c>
      <c r="C92" s="77">
        <f t="shared" ca="1" si="45"/>
        <v>5.9404925241954259E-2</v>
      </c>
      <c r="D92" s="95">
        <f t="shared" ca="1" si="0"/>
        <v>0</v>
      </c>
      <c r="E92" s="97">
        <f t="shared" ca="1" si="63"/>
        <v>1873</v>
      </c>
      <c r="F92" s="77" t="e">
        <f t="shared" ca="1" si="64"/>
        <v>#DIV/0!</v>
      </c>
      <c r="G92" s="77" t="e">
        <f ca="1">IF(B$16=1,_xll.xCalcSkew(A92,H92-AL92,b)/100,0)</f>
        <v>#DIV/0!</v>
      </c>
      <c r="H92" s="96">
        <f t="shared" ca="1" si="65"/>
        <v>2.44</v>
      </c>
      <c r="J92" s="95">
        <f t="shared" ca="1" si="4"/>
        <v>0</v>
      </c>
      <c r="K92" s="97">
        <f t="shared" ca="1" si="66"/>
        <v>1873</v>
      </c>
      <c r="L92" s="172" t="e">
        <f t="shared" ca="1" si="67"/>
        <v>#DIV/0!</v>
      </c>
      <c r="M92" s="77" t="e">
        <f ca="1">IF(D$16=1,_xll.xCalcSkew($A92,N92-AW92,b)/100,0)</f>
        <v>#DIV/0!</v>
      </c>
      <c r="N92" s="96">
        <f t="shared" ca="1" si="68"/>
        <v>2.44</v>
      </c>
      <c r="P92" s="95">
        <f t="shared" ca="1" si="8"/>
        <v>0</v>
      </c>
      <c r="Q92" s="97">
        <f t="shared" ca="1" si="69"/>
        <v>1873</v>
      </c>
      <c r="R92" s="172" t="e">
        <f t="shared" ca="1" si="70"/>
        <v>#DIV/0!</v>
      </c>
      <c r="S92" s="77" t="e">
        <f ca="1">IF(F$16=1,_xll.xCalcSkew($A92,T92-BH92,b)/100,0)</f>
        <v>#DIV/0!</v>
      </c>
      <c r="T92" s="96">
        <f t="shared" ca="1" si="71"/>
        <v>2.44</v>
      </c>
      <c r="V92" s="95">
        <f t="shared" ca="1" si="12"/>
        <v>0</v>
      </c>
      <c r="W92" s="97">
        <f t="shared" ca="1" si="72"/>
        <v>1873</v>
      </c>
      <c r="X92" s="77" t="e">
        <f t="shared" ca="1" si="73"/>
        <v>#DIV/0!</v>
      </c>
      <c r="Y92" s="77" t="e">
        <f ca="1">IF(H$16=1,_xll.xCalcSkew($A92,Z92-BS92,b)/100,0)</f>
        <v>#DIV/0!</v>
      </c>
      <c r="Z92" s="96">
        <f t="shared" ca="1" si="74"/>
        <v>2.44</v>
      </c>
      <c r="AC92" s="97">
        <f t="shared" ca="1" si="16"/>
        <v>1876</v>
      </c>
      <c r="AD92" s="97">
        <f t="shared" ca="1" si="17"/>
        <v>1873</v>
      </c>
      <c r="AE92" s="77">
        <f t="shared" ca="1" si="46"/>
        <v>5.1573371239542101E-2</v>
      </c>
      <c r="AF92" s="152">
        <f t="shared" si="75"/>
        <v>31</v>
      </c>
      <c r="AI92" s="97"/>
      <c r="AJ92" s="78"/>
      <c r="AK92" s="78">
        <f t="shared" ca="1" si="76"/>
        <v>0</v>
      </c>
      <c r="AL92" s="288" t="e">
        <f t="shared" ca="1" si="47"/>
        <v>#DIV/0!</v>
      </c>
      <c r="AM92" s="75">
        <f t="shared" ca="1" si="77"/>
        <v>0</v>
      </c>
      <c r="AN92" s="100">
        <f t="shared" ca="1" si="78"/>
        <v>0</v>
      </c>
      <c r="AO92" s="99">
        <f t="shared" ca="1" si="79"/>
        <v>0</v>
      </c>
      <c r="AP92" s="99">
        <f t="shared" ca="1" si="80"/>
        <v>0</v>
      </c>
      <c r="AQ92" s="99">
        <f t="shared" ca="1" si="81"/>
        <v>0</v>
      </c>
      <c r="AR92" s="101">
        <f t="shared" ca="1" si="48"/>
        <v>0</v>
      </c>
      <c r="AS92" s="101">
        <f t="shared" ca="1" si="49"/>
        <v>0</v>
      </c>
      <c r="AT92" s="101">
        <f t="shared" ca="1" si="50"/>
        <v>0</v>
      </c>
      <c r="AV92" s="78">
        <f t="shared" ca="1" si="82"/>
        <v>0</v>
      </c>
      <c r="AW92" s="288" t="e">
        <f t="shared" ca="1" si="51"/>
        <v>#DIV/0!</v>
      </c>
      <c r="AX92" s="75">
        <f t="shared" ca="1" si="83"/>
        <v>0</v>
      </c>
      <c r="AY92" s="100">
        <f t="shared" ca="1" si="84"/>
        <v>0</v>
      </c>
      <c r="AZ92" s="99">
        <f t="shared" ca="1" si="85"/>
        <v>0</v>
      </c>
      <c r="BA92" s="99">
        <f t="shared" ca="1" si="86"/>
        <v>0</v>
      </c>
      <c r="BB92" s="99">
        <f t="shared" ca="1" si="87"/>
        <v>0</v>
      </c>
      <c r="BC92" s="101">
        <f t="shared" ca="1" si="52"/>
        <v>0</v>
      </c>
      <c r="BD92" s="101">
        <f t="shared" ca="1" si="53"/>
        <v>0</v>
      </c>
      <c r="BE92" s="101">
        <f t="shared" ca="1" si="54"/>
        <v>0</v>
      </c>
      <c r="BG92" s="78">
        <f t="shared" ca="1" si="88"/>
        <v>0</v>
      </c>
      <c r="BH92" s="288" t="e">
        <f t="shared" ca="1" si="55"/>
        <v>#DIV/0!</v>
      </c>
      <c r="BI92" s="75">
        <f t="shared" ca="1" si="89"/>
        <v>0</v>
      </c>
      <c r="BJ92" s="100">
        <f t="shared" ca="1" si="90"/>
        <v>0</v>
      </c>
      <c r="BK92" s="99">
        <f t="shared" ca="1" si="91"/>
        <v>0</v>
      </c>
      <c r="BL92" s="99">
        <f t="shared" ca="1" si="92"/>
        <v>0</v>
      </c>
      <c r="BM92" s="99">
        <f t="shared" ca="1" si="93"/>
        <v>0</v>
      </c>
      <c r="BN92" s="101">
        <f t="shared" ca="1" si="56"/>
        <v>0</v>
      </c>
      <c r="BO92" s="101">
        <f t="shared" ca="1" si="57"/>
        <v>0</v>
      </c>
      <c r="BP92" s="101">
        <f t="shared" ca="1" si="58"/>
        <v>0</v>
      </c>
      <c r="BR92" s="78">
        <f t="shared" ca="1" si="94"/>
        <v>0</v>
      </c>
      <c r="BS92" s="288" t="e">
        <f t="shared" ca="1" si="59"/>
        <v>#DIV/0!</v>
      </c>
      <c r="BT92" s="75">
        <f t="shared" ca="1" si="95"/>
        <v>0</v>
      </c>
      <c r="BU92" s="100">
        <f t="shared" ca="1" si="96"/>
        <v>0</v>
      </c>
      <c r="BV92" s="99">
        <f t="shared" ca="1" si="97"/>
        <v>0</v>
      </c>
      <c r="BW92" s="99">
        <f t="shared" ca="1" si="98"/>
        <v>0</v>
      </c>
      <c r="BX92" s="99">
        <f t="shared" ca="1" si="99"/>
        <v>0</v>
      </c>
      <c r="BY92" s="101">
        <f t="shared" ca="1" si="60"/>
        <v>0</v>
      </c>
      <c r="BZ92" s="101">
        <f t="shared" ca="1" si="61"/>
        <v>0</v>
      </c>
      <c r="CA92" s="101">
        <f t="shared" ca="1" si="62"/>
        <v>0</v>
      </c>
    </row>
    <row r="93" spans="1:79" x14ac:dyDescent="0.25">
      <c r="A93" s="94">
        <f t="shared" si="43"/>
        <v>39173</v>
      </c>
      <c r="B93" s="95">
        <f t="shared" ca="1" si="44"/>
        <v>3.1809999999999996</v>
      </c>
      <c r="C93" s="77">
        <f t="shared" ca="1" si="45"/>
        <v>6.3306892096127068E-2</v>
      </c>
      <c r="D93" s="95">
        <f t="shared" ca="1" si="0"/>
        <v>0</v>
      </c>
      <c r="E93" s="97">
        <f t="shared" ca="1" si="63"/>
        <v>1905</v>
      </c>
      <c r="F93" s="77" t="e">
        <f t="shared" ca="1" si="64"/>
        <v>#DIV/0!</v>
      </c>
      <c r="G93" s="77" t="e">
        <f ca="1">IF(B$16=1,_xll.xCalcSkew(A93,H93-AL93,b)/100,0)</f>
        <v>#DIV/0!</v>
      </c>
      <c r="H93" s="96">
        <f t="shared" ca="1" si="65"/>
        <v>2.44</v>
      </c>
      <c r="J93" s="95">
        <f t="shared" ca="1" si="4"/>
        <v>0</v>
      </c>
      <c r="K93" s="97">
        <f t="shared" ca="1" si="66"/>
        <v>1905</v>
      </c>
      <c r="L93" s="172" t="e">
        <f t="shared" ca="1" si="67"/>
        <v>#DIV/0!</v>
      </c>
      <c r="M93" s="77" t="e">
        <f ca="1">IF(D$16=1,_xll.xCalcSkew($A93,N93-AW93,b)/100,0)</f>
        <v>#DIV/0!</v>
      </c>
      <c r="N93" s="96">
        <f t="shared" ca="1" si="68"/>
        <v>2.44</v>
      </c>
      <c r="P93" s="95">
        <f t="shared" ca="1" si="8"/>
        <v>0</v>
      </c>
      <c r="Q93" s="97">
        <f t="shared" ca="1" si="69"/>
        <v>1905</v>
      </c>
      <c r="R93" s="172" t="e">
        <f t="shared" ca="1" si="70"/>
        <v>#DIV/0!</v>
      </c>
      <c r="S93" s="77" t="e">
        <f ca="1">IF(F$16=1,_xll.xCalcSkew($A93,T93-BH93,b)/100,0)</f>
        <v>#DIV/0!</v>
      </c>
      <c r="T93" s="96">
        <f t="shared" ca="1" si="71"/>
        <v>2.44</v>
      </c>
      <c r="V93" s="95">
        <f t="shared" ca="1" si="12"/>
        <v>0</v>
      </c>
      <c r="W93" s="97">
        <f t="shared" ca="1" si="72"/>
        <v>1905</v>
      </c>
      <c r="X93" s="77" t="e">
        <f t="shared" ca="1" si="73"/>
        <v>#DIV/0!</v>
      </c>
      <c r="Y93" s="77" t="e">
        <f ca="1">IF(H$16=1,_xll.xCalcSkew($A93,Z93-BS93,b)/100,0)</f>
        <v>#DIV/0!</v>
      </c>
      <c r="Z93" s="96">
        <f t="shared" ca="1" si="74"/>
        <v>2.44</v>
      </c>
      <c r="AC93" s="97">
        <f t="shared" ca="1" si="16"/>
        <v>1906</v>
      </c>
      <c r="AD93" s="97">
        <f t="shared" ca="1" si="17"/>
        <v>1905</v>
      </c>
      <c r="AE93" s="77">
        <f t="shared" ca="1" si="46"/>
        <v>5.17373190219916E-2</v>
      </c>
      <c r="AF93" s="152">
        <f t="shared" si="75"/>
        <v>30</v>
      </c>
      <c r="AI93" s="97"/>
      <c r="AJ93" s="78"/>
      <c r="AK93" s="78">
        <f t="shared" ca="1" si="76"/>
        <v>0</v>
      </c>
      <c r="AL93" s="288" t="e">
        <f t="shared" ca="1" si="47"/>
        <v>#DIV/0!</v>
      </c>
      <c r="AM93" s="75">
        <f t="shared" ca="1" si="77"/>
        <v>0</v>
      </c>
      <c r="AN93" s="100">
        <f t="shared" ca="1" si="78"/>
        <v>0</v>
      </c>
      <c r="AO93" s="99">
        <f t="shared" ca="1" si="79"/>
        <v>0</v>
      </c>
      <c r="AP93" s="99">
        <f t="shared" ca="1" si="80"/>
        <v>0</v>
      </c>
      <c r="AQ93" s="99">
        <f t="shared" ca="1" si="81"/>
        <v>0</v>
      </c>
      <c r="AR93" s="101">
        <f t="shared" ca="1" si="48"/>
        <v>0</v>
      </c>
      <c r="AS93" s="101">
        <f t="shared" ca="1" si="49"/>
        <v>0</v>
      </c>
      <c r="AT93" s="101">
        <f t="shared" ca="1" si="50"/>
        <v>0</v>
      </c>
      <c r="AV93" s="78">
        <f t="shared" ca="1" si="82"/>
        <v>0</v>
      </c>
      <c r="AW93" s="288" t="e">
        <f t="shared" ca="1" si="51"/>
        <v>#DIV/0!</v>
      </c>
      <c r="AX93" s="75">
        <f t="shared" ca="1" si="83"/>
        <v>0</v>
      </c>
      <c r="AY93" s="100">
        <f t="shared" ca="1" si="84"/>
        <v>0</v>
      </c>
      <c r="AZ93" s="99">
        <f t="shared" ca="1" si="85"/>
        <v>0</v>
      </c>
      <c r="BA93" s="99">
        <f t="shared" ca="1" si="86"/>
        <v>0</v>
      </c>
      <c r="BB93" s="99">
        <f t="shared" ca="1" si="87"/>
        <v>0</v>
      </c>
      <c r="BC93" s="101">
        <f t="shared" ca="1" si="52"/>
        <v>0</v>
      </c>
      <c r="BD93" s="101">
        <f t="shared" ca="1" si="53"/>
        <v>0</v>
      </c>
      <c r="BE93" s="101">
        <f t="shared" ca="1" si="54"/>
        <v>0</v>
      </c>
      <c r="BG93" s="78">
        <f t="shared" ca="1" si="88"/>
        <v>0</v>
      </c>
      <c r="BH93" s="288" t="e">
        <f t="shared" ca="1" si="55"/>
        <v>#DIV/0!</v>
      </c>
      <c r="BI93" s="75">
        <f t="shared" ca="1" si="89"/>
        <v>0</v>
      </c>
      <c r="BJ93" s="100">
        <f t="shared" ca="1" si="90"/>
        <v>0</v>
      </c>
      <c r="BK93" s="99">
        <f t="shared" ca="1" si="91"/>
        <v>0</v>
      </c>
      <c r="BL93" s="99">
        <f t="shared" ca="1" si="92"/>
        <v>0</v>
      </c>
      <c r="BM93" s="99">
        <f t="shared" ca="1" si="93"/>
        <v>0</v>
      </c>
      <c r="BN93" s="101">
        <f t="shared" ca="1" si="56"/>
        <v>0</v>
      </c>
      <c r="BO93" s="101">
        <f t="shared" ca="1" si="57"/>
        <v>0</v>
      </c>
      <c r="BP93" s="101">
        <f t="shared" ca="1" si="58"/>
        <v>0</v>
      </c>
      <c r="BR93" s="78">
        <f t="shared" ca="1" si="94"/>
        <v>0</v>
      </c>
      <c r="BS93" s="288" t="e">
        <f t="shared" ca="1" si="59"/>
        <v>#DIV/0!</v>
      </c>
      <c r="BT93" s="75">
        <f t="shared" ca="1" si="95"/>
        <v>0</v>
      </c>
      <c r="BU93" s="100">
        <f t="shared" ca="1" si="96"/>
        <v>0</v>
      </c>
      <c r="BV93" s="99">
        <f t="shared" ca="1" si="97"/>
        <v>0</v>
      </c>
      <c r="BW93" s="99">
        <f t="shared" ca="1" si="98"/>
        <v>0</v>
      </c>
      <c r="BX93" s="99">
        <f t="shared" ca="1" si="99"/>
        <v>0</v>
      </c>
      <c r="BY93" s="101">
        <f t="shared" ca="1" si="60"/>
        <v>0</v>
      </c>
      <c r="BZ93" s="101">
        <f t="shared" ca="1" si="61"/>
        <v>0</v>
      </c>
      <c r="CA93" s="101">
        <f t="shared" ca="1" si="62"/>
        <v>0</v>
      </c>
    </row>
    <row r="94" spans="1:79" x14ac:dyDescent="0.25">
      <c r="A94" s="94">
        <f t="shared" si="43"/>
        <v>39203</v>
      </c>
      <c r="B94" s="95">
        <f t="shared" ca="1" si="44"/>
        <v>3.1839999999999993</v>
      </c>
      <c r="C94" s="77">
        <f t="shared" ca="1" si="45"/>
        <v>6.3090595253010834E-2</v>
      </c>
      <c r="D94" s="95">
        <f t="shared" ca="1" si="0"/>
        <v>0</v>
      </c>
      <c r="E94" s="97">
        <f t="shared" ca="1" si="63"/>
        <v>1934</v>
      </c>
      <c r="F94" s="77" t="e">
        <f t="shared" ca="1" si="64"/>
        <v>#DIV/0!</v>
      </c>
      <c r="G94" s="77" t="e">
        <f ca="1">IF(B$16=1,_xll.xCalcSkew(A94,H94-AL94,b)/100,0)</f>
        <v>#DIV/0!</v>
      </c>
      <c r="H94" s="96">
        <f t="shared" ca="1" si="65"/>
        <v>2.44</v>
      </c>
      <c r="J94" s="95">
        <f t="shared" ca="1" si="4"/>
        <v>0</v>
      </c>
      <c r="K94" s="97">
        <f t="shared" ca="1" si="66"/>
        <v>1934</v>
      </c>
      <c r="L94" s="172" t="e">
        <f t="shared" ca="1" si="67"/>
        <v>#DIV/0!</v>
      </c>
      <c r="M94" s="77" t="e">
        <f ca="1">IF(D$16=1,_xll.xCalcSkew($A94,N94-AW94,b)/100,0)</f>
        <v>#DIV/0!</v>
      </c>
      <c r="N94" s="96">
        <f t="shared" ca="1" si="68"/>
        <v>2.44</v>
      </c>
      <c r="P94" s="95">
        <f t="shared" ca="1" si="8"/>
        <v>0</v>
      </c>
      <c r="Q94" s="97">
        <f t="shared" ca="1" si="69"/>
        <v>1934</v>
      </c>
      <c r="R94" s="172" t="e">
        <f t="shared" ca="1" si="70"/>
        <v>#DIV/0!</v>
      </c>
      <c r="S94" s="77" t="e">
        <f ca="1">IF(F$16=1,_xll.xCalcSkew($A94,T94-BH94,b)/100,0)</f>
        <v>#DIV/0!</v>
      </c>
      <c r="T94" s="96">
        <f t="shared" ca="1" si="71"/>
        <v>2.44</v>
      </c>
      <c r="V94" s="95">
        <f t="shared" ca="1" si="12"/>
        <v>0</v>
      </c>
      <c r="W94" s="97">
        <f t="shared" ca="1" si="72"/>
        <v>1934</v>
      </c>
      <c r="X94" s="77" t="e">
        <f t="shared" ca="1" si="73"/>
        <v>#DIV/0!</v>
      </c>
      <c r="Y94" s="77" t="e">
        <f ca="1">IF(H$16=1,_xll.xCalcSkew($A94,Z94-BS94,b)/100,0)</f>
        <v>#DIV/0!</v>
      </c>
      <c r="Z94" s="96">
        <f t="shared" ca="1" si="74"/>
        <v>2.44</v>
      </c>
      <c r="AC94" s="97">
        <f t="shared" ca="1" si="16"/>
        <v>1935</v>
      </c>
      <c r="AD94" s="97">
        <f t="shared" ca="1" si="17"/>
        <v>1934</v>
      </c>
      <c r="AE94" s="77">
        <f t="shared" ca="1" si="46"/>
        <v>5.1918832648734502E-2</v>
      </c>
      <c r="AF94" s="152">
        <f t="shared" si="75"/>
        <v>31</v>
      </c>
      <c r="AI94" s="97"/>
      <c r="AJ94" s="78"/>
      <c r="AK94" s="78">
        <f t="shared" ca="1" si="76"/>
        <v>0</v>
      </c>
      <c r="AL94" s="288" t="e">
        <f t="shared" ca="1" si="47"/>
        <v>#DIV/0!</v>
      </c>
      <c r="AM94" s="75">
        <f t="shared" ca="1" si="77"/>
        <v>0</v>
      </c>
      <c r="AN94" s="100">
        <f t="shared" ca="1" si="78"/>
        <v>0</v>
      </c>
      <c r="AO94" s="99">
        <f t="shared" ca="1" si="79"/>
        <v>0</v>
      </c>
      <c r="AP94" s="99">
        <f t="shared" ca="1" si="80"/>
        <v>0</v>
      </c>
      <c r="AQ94" s="99">
        <f t="shared" ca="1" si="81"/>
        <v>0</v>
      </c>
      <c r="AR94" s="101">
        <f t="shared" ca="1" si="48"/>
        <v>0</v>
      </c>
      <c r="AS94" s="101">
        <f t="shared" ca="1" si="49"/>
        <v>0</v>
      </c>
      <c r="AT94" s="101">
        <f t="shared" ca="1" si="50"/>
        <v>0</v>
      </c>
      <c r="AV94" s="78">
        <f t="shared" ca="1" si="82"/>
        <v>0</v>
      </c>
      <c r="AW94" s="288" t="e">
        <f t="shared" ca="1" si="51"/>
        <v>#DIV/0!</v>
      </c>
      <c r="AX94" s="75">
        <f t="shared" ca="1" si="83"/>
        <v>0</v>
      </c>
      <c r="AY94" s="100">
        <f t="shared" ca="1" si="84"/>
        <v>0</v>
      </c>
      <c r="AZ94" s="99">
        <f t="shared" ca="1" si="85"/>
        <v>0</v>
      </c>
      <c r="BA94" s="99">
        <f t="shared" ca="1" si="86"/>
        <v>0</v>
      </c>
      <c r="BB94" s="99">
        <f t="shared" ca="1" si="87"/>
        <v>0</v>
      </c>
      <c r="BC94" s="101">
        <f t="shared" ca="1" si="52"/>
        <v>0</v>
      </c>
      <c r="BD94" s="101">
        <f t="shared" ca="1" si="53"/>
        <v>0</v>
      </c>
      <c r="BE94" s="101">
        <f t="shared" ca="1" si="54"/>
        <v>0</v>
      </c>
      <c r="BG94" s="78">
        <f t="shared" ca="1" si="88"/>
        <v>0</v>
      </c>
      <c r="BH94" s="288" t="e">
        <f t="shared" ca="1" si="55"/>
        <v>#DIV/0!</v>
      </c>
      <c r="BI94" s="75">
        <f t="shared" ca="1" si="89"/>
        <v>0</v>
      </c>
      <c r="BJ94" s="100">
        <f t="shared" ca="1" si="90"/>
        <v>0</v>
      </c>
      <c r="BK94" s="99">
        <f t="shared" ca="1" si="91"/>
        <v>0</v>
      </c>
      <c r="BL94" s="99">
        <f t="shared" ca="1" si="92"/>
        <v>0</v>
      </c>
      <c r="BM94" s="99">
        <f t="shared" ca="1" si="93"/>
        <v>0</v>
      </c>
      <c r="BN94" s="101">
        <f t="shared" ca="1" si="56"/>
        <v>0</v>
      </c>
      <c r="BO94" s="101">
        <f t="shared" ca="1" si="57"/>
        <v>0</v>
      </c>
      <c r="BP94" s="101">
        <f t="shared" ca="1" si="58"/>
        <v>0</v>
      </c>
      <c r="BR94" s="78">
        <f t="shared" ca="1" si="94"/>
        <v>0</v>
      </c>
      <c r="BS94" s="288" t="e">
        <f t="shared" ca="1" si="59"/>
        <v>#DIV/0!</v>
      </c>
      <c r="BT94" s="75">
        <f t="shared" ca="1" si="95"/>
        <v>0</v>
      </c>
      <c r="BU94" s="100">
        <f t="shared" ca="1" si="96"/>
        <v>0</v>
      </c>
      <c r="BV94" s="99">
        <f t="shared" ca="1" si="97"/>
        <v>0</v>
      </c>
      <c r="BW94" s="99">
        <f t="shared" ca="1" si="98"/>
        <v>0</v>
      </c>
      <c r="BX94" s="99">
        <f t="shared" ca="1" si="99"/>
        <v>0</v>
      </c>
      <c r="BY94" s="101">
        <f t="shared" ca="1" si="60"/>
        <v>0</v>
      </c>
      <c r="BZ94" s="101">
        <f t="shared" ca="1" si="61"/>
        <v>0</v>
      </c>
      <c r="CA94" s="101">
        <f t="shared" ca="1" si="62"/>
        <v>0</v>
      </c>
    </row>
    <row r="95" spans="1:79" x14ac:dyDescent="0.25">
      <c r="A95" s="94">
        <f t="shared" si="43"/>
        <v>39234</v>
      </c>
      <c r="B95" s="95">
        <f t="shared" ca="1" si="44"/>
        <v>3.2239999999999993</v>
      </c>
      <c r="C95" s="77">
        <f t="shared" ca="1" si="45"/>
        <v>6.215198288275272E-2</v>
      </c>
      <c r="D95" s="95">
        <f t="shared" ref="D95:D149" ca="1" si="100">IF(D$28="nymex",0,VLOOKUP($A95,curvesettle,HLOOKUP(D$28,curvesettle,2,FALSE)))</f>
        <v>0</v>
      </c>
      <c r="E95" s="97">
        <f t="shared" ref="E95:E126" ca="1" si="101">IF(D$28="NYMEX",$AD95,$AC95)</f>
        <v>1964</v>
      </c>
      <c r="F95" s="77" t="e">
        <f t="shared" ref="F95:F126" ca="1" si="102">($C95+G95)+B$15</f>
        <v>#DIV/0!</v>
      </c>
      <c r="G95" s="77" t="e">
        <f ca="1">IF(B$16=1,_xll.xCalcSkew(A95,H95-AL95,b)/100,0)</f>
        <v>#DIV/0!</v>
      </c>
      <c r="H95" s="96">
        <f t="shared" ref="H95:H126" ca="1" si="103">IF($B$19=4,$AL95,$B$18)</f>
        <v>2.44</v>
      </c>
      <c r="J95" s="95">
        <f t="shared" ref="J95:J149" ca="1" si="104">IF(J$28="nymex",0,VLOOKUP($A95,curvesettle,HLOOKUP(J$28,curvesettle,2,FALSE)))</f>
        <v>0</v>
      </c>
      <c r="K95" s="97">
        <f t="shared" ref="K95:K126" ca="1" si="105">IF(J$28="NYMEX",$AD95,$AC95)</f>
        <v>1964</v>
      </c>
      <c r="L95" s="172" t="e">
        <f t="shared" ref="L95:L126" ca="1" si="106">($C95+M95)+D$15</f>
        <v>#DIV/0!</v>
      </c>
      <c r="M95" s="77" t="e">
        <f ca="1">IF(D$16=1,_xll.xCalcSkew($A95,N95-AW95,b)/100,0)</f>
        <v>#DIV/0!</v>
      </c>
      <c r="N95" s="96">
        <f t="shared" ref="N95:N126" ca="1" si="107">IF($D$19=4,$AW95,$D$18)</f>
        <v>2.44</v>
      </c>
      <c r="P95" s="95">
        <f t="shared" ref="P95:P149" ca="1" si="108">IF(P$28="nymex",0,VLOOKUP($A95,curvesettle,HLOOKUP(P$28,curvesettle,2,FALSE)))</f>
        <v>0</v>
      </c>
      <c r="Q95" s="97">
        <f t="shared" ref="Q95:Q126" ca="1" si="109">IF(P$28="NYMEX",$AD95,$AC95)</f>
        <v>1964</v>
      </c>
      <c r="R95" s="172" t="e">
        <f t="shared" ref="R95:R126" ca="1" si="110">($C95+S95)+F$15</f>
        <v>#DIV/0!</v>
      </c>
      <c r="S95" s="77" t="e">
        <f ca="1">IF(F$16=1,_xll.xCalcSkew($A95,T95-BH95,b)/100,0)</f>
        <v>#DIV/0!</v>
      </c>
      <c r="T95" s="96">
        <f t="shared" ref="T95:T126" ca="1" si="111">IF($F$19=4,$BH95,$F$18)</f>
        <v>2.44</v>
      </c>
      <c r="V95" s="95">
        <f t="shared" ref="V95:V149" ca="1" si="112">IF(V$28="nymex",0,VLOOKUP($A95,curvesettle,HLOOKUP(V$28,curvesettle,2,FALSE)))</f>
        <v>0</v>
      </c>
      <c r="W95" s="97">
        <f t="shared" ref="W95:W126" ca="1" si="113">IF(V$28="NYMEX",$AD95,$AC95)</f>
        <v>1964</v>
      </c>
      <c r="X95" s="77" t="e">
        <f t="shared" ref="X95:X126" ca="1" si="114">($C95+Y95)+H$15</f>
        <v>#DIV/0!</v>
      </c>
      <c r="Y95" s="77" t="e">
        <f ca="1">IF(H$16=1,_xll.xCalcSkew($A95,Z95-BS95,b)/100,0)</f>
        <v>#DIV/0!</v>
      </c>
      <c r="Z95" s="96">
        <f t="shared" ref="Z95:Z126" ca="1" si="115">IF($H$19=4,$BS95,$H$18)</f>
        <v>2.44</v>
      </c>
      <c r="AC95" s="97">
        <f t="shared" ca="1" si="16"/>
        <v>1968</v>
      </c>
      <c r="AD95" s="97">
        <f t="shared" ca="1" si="17"/>
        <v>1964</v>
      </c>
      <c r="AE95" s="77">
        <f t="shared" ca="1" si="46"/>
        <v>5.2094491007659699E-2</v>
      </c>
      <c r="AF95" s="152">
        <f t="shared" ref="AF95:AF148" si="116">A96-A95</f>
        <v>30</v>
      </c>
      <c r="AI95" s="97"/>
      <c r="AJ95" s="78"/>
      <c r="AK95" s="78">
        <f t="shared" ref="AK95:AK126" ca="1" si="117">IF($A95&gt;=AL$25,IF($A95&lt;=AL$26,$AF95,0),0)</f>
        <v>0</v>
      </c>
      <c r="AL95" s="288" t="e">
        <f t="shared" ca="1" si="47"/>
        <v>#DIV/0!</v>
      </c>
      <c r="AM95" s="75">
        <f t="shared" ref="AM95:AM126" ca="1" si="118">AK95*($B95+B$13)</f>
        <v>0</v>
      </c>
      <c r="AN95" s="100">
        <f t="shared" ref="AN95:AN126" ca="1" si="119">IF(ISNUMBER(((AM95/AK95)+B$14+$D95)*AK95),((AM95/AK95)+B$14+$D95)*AK95,0)</f>
        <v>0</v>
      </c>
      <c r="AO95" s="99">
        <f t="shared" ref="AO95:AO126" ca="1" si="120">IF(AK95=0,0,bsd(1,AP$27,AL95,$H95,$E95,$F95,$AE95,0.1))</f>
        <v>0</v>
      </c>
      <c r="AP95" s="99">
        <f t="shared" ref="AP95:AP126" ca="1" si="121">IF(AK95=0,0,bsd(2,AP$27,AL95,$H95,$E95,$F95,$AE95,0.1))</f>
        <v>0</v>
      </c>
      <c r="AQ95" s="99">
        <f t="shared" ref="AQ95:AQ126" ca="1" si="122">IF(AK95=0,0,bsd(AP$28,AP$27,AL95,$H95,$E95,$F95,$AE95,0.1))</f>
        <v>0</v>
      </c>
      <c r="AR95" s="101">
        <f t="shared" ca="1" si="48"/>
        <v>0</v>
      </c>
      <c r="AS95" s="101">
        <f t="shared" ca="1" si="49"/>
        <v>0</v>
      </c>
      <c r="AT95" s="101">
        <f t="shared" ca="1" si="50"/>
        <v>0</v>
      </c>
      <c r="AV95" s="78">
        <f t="shared" ref="AV95:AV126" ca="1" si="123">IF($A95&gt;=AW$25,IF($A95&lt;=AW$26,$AF95,0),0)</f>
        <v>0</v>
      </c>
      <c r="AW95" s="288" t="e">
        <f t="shared" ca="1" si="51"/>
        <v>#DIV/0!</v>
      </c>
      <c r="AX95" s="75">
        <f t="shared" ref="AX95:AX126" ca="1" si="124">AV95*($B95+D$13)</f>
        <v>0</v>
      </c>
      <c r="AY95" s="100">
        <f t="shared" ref="AY95:AY126" ca="1" si="125">IF(ISNUMBER(((AX95/AV95)+D$14+$J95)*AV95),((AX95/AV95)+D$14+$J95)*AV95,0)</f>
        <v>0</v>
      </c>
      <c r="AZ95" s="99">
        <f t="shared" ref="AZ95:AZ126" ca="1" si="126">IF(AV95=0,0,bsd(1,BA$27,AW95,$N95,$K95,$L95,$AE95,0.1))</f>
        <v>0</v>
      </c>
      <c r="BA95" s="99">
        <f t="shared" ref="BA95:BA126" ca="1" si="127">IF(AV95=0,0,bsd(2,BA$27,AW95,$N95,$K95,$L95,$AE95,0.1))</f>
        <v>0</v>
      </c>
      <c r="BB95" s="99">
        <f t="shared" ref="BB95:BB126" ca="1" si="128">IF(AV95=0,0,bsd(BA$28,BA$27,AW95,$N95,$K95,$L95,$AE95,0.1))</f>
        <v>0</v>
      </c>
      <c r="BC95" s="101">
        <f t="shared" ca="1" si="52"/>
        <v>0</v>
      </c>
      <c r="BD95" s="101">
        <f t="shared" ca="1" si="53"/>
        <v>0</v>
      </c>
      <c r="BE95" s="101">
        <f t="shared" ca="1" si="54"/>
        <v>0</v>
      </c>
      <c r="BG95" s="78">
        <f t="shared" ref="BG95:BG126" ca="1" si="129">IF($A95&gt;=BH$25,IF($A95&lt;=BH$26,$AF95,0),0)</f>
        <v>0</v>
      </c>
      <c r="BH95" s="288" t="e">
        <f t="shared" ca="1" si="55"/>
        <v>#DIV/0!</v>
      </c>
      <c r="BI95" s="75">
        <f t="shared" ref="BI95:BI126" ca="1" si="130">BG95*($B95+F$13)</f>
        <v>0</v>
      </c>
      <c r="BJ95" s="100">
        <f t="shared" ref="BJ95:BJ126" ca="1" si="131">IF(ISNUMBER(((BI95/BG95)+F$14+$P95)*BG95),((BI95/BG95)+F$14+$P95)*BG95,0)</f>
        <v>0</v>
      </c>
      <c r="BK95" s="99">
        <f t="shared" ref="BK95:BK126" ca="1" si="132">IF(BG95=0,0,bsd(1,BL$27,BH95,$T95,$Q95,$R95,$AE95,0.1))</f>
        <v>0</v>
      </c>
      <c r="BL95" s="99">
        <f t="shared" ref="BL95:BL126" ca="1" si="133">IF(BG95=0,0,bsd(2,BL$27,BH95,$T95,$Q95,$R95,$AE95,0.1))</f>
        <v>0</v>
      </c>
      <c r="BM95" s="99">
        <f t="shared" ref="BM95:BM126" ca="1" si="134">IF(BG95=0,0,bsd(BL$28,BL$27,BH95,$T95,$Q95,$R95,$AE95,0.1))</f>
        <v>0</v>
      </c>
      <c r="BN95" s="101">
        <f t="shared" ca="1" si="56"/>
        <v>0</v>
      </c>
      <c r="BO95" s="101">
        <f t="shared" ca="1" si="57"/>
        <v>0</v>
      </c>
      <c r="BP95" s="101">
        <f t="shared" ca="1" si="58"/>
        <v>0</v>
      </c>
      <c r="BR95" s="78">
        <f t="shared" ref="BR95:BR126" ca="1" si="135">IF($A95&gt;=BS$25,IF($A95&lt;=BS$26,$AF95,0),0)</f>
        <v>0</v>
      </c>
      <c r="BS95" s="288" t="e">
        <f t="shared" ca="1" si="59"/>
        <v>#DIV/0!</v>
      </c>
      <c r="BT95" s="75">
        <f t="shared" ref="BT95:BT126" ca="1" si="136">BR95*($B95+H$13)</f>
        <v>0</v>
      </c>
      <c r="BU95" s="100">
        <f t="shared" ref="BU95:BU126" ca="1" si="137">IF(ISNUMBER(((BT95/BR95)+H$14+$V95)*BR95),((BT95/BR95)+H$14+$V95)*BR95,0)</f>
        <v>0</v>
      </c>
      <c r="BV95" s="99">
        <f t="shared" ref="BV95:BV126" ca="1" si="138">IF(BR95=0,0,bsd(1,BW$27,BS95,$Z95,$W95,$X95,$AE95,0.1))</f>
        <v>0</v>
      </c>
      <c r="BW95" s="99">
        <f t="shared" ref="BW95:BW126" ca="1" si="139">IF(BR95=0,0,bsd(2,BW$27,BS95,$Z95,$W95,$X95,$AE95,0.1))</f>
        <v>0</v>
      </c>
      <c r="BX95" s="99">
        <f t="shared" ref="BX95:BX126" ca="1" si="140">IF(BR95=0,0,bsd(BW$28,BW$27,BS95,$Z95,$W95,$X95,$AE95,0.1))</f>
        <v>0</v>
      </c>
      <c r="BY95" s="101">
        <f t="shared" ca="1" si="60"/>
        <v>0</v>
      </c>
      <c r="BZ95" s="101">
        <f t="shared" ca="1" si="61"/>
        <v>0</v>
      </c>
      <c r="CA95" s="101">
        <f t="shared" ca="1" si="62"/>
        <v>0</v>
      </c>
    </row>
    <row r="96" spans="1:79" x14ac:dyDescent="0.25">
      <c r="A96" s="94">
        <f t="shared" ref="A96:A107" si="141">DATE(YEAR(A95),MONTH(A95)+1,1)</f>
        <v>39264</v>
      </c>
      <c r="B96" s="95">
        <f t="shared" ref="B96:B149" ca="1" si="142">VLOOKUP(A96,STRADDLE,5,FALSE)</f>
        <v>3.2639999999999993</v>
      </c>
      <c r="C96" s="77">
        <f t="shared" ref="C96:C149" ca="1" si="143">VLOOKUP(A96,STRADDLE,6,FALSE)</f>
        <v>6.1234493404400084E-2</v>
      </c>
      <c r="D96" s="95">
        <f t="shared" ca="1" si="100"/>
        <v>0</v>
      </c>
      <c r="E96" s="97">
        <f t="shared" ca="1" si="101"/>
        <v>1996</v>
      </c>
      <c r="F96" s="77" t="e">
        <f t="shared" ca="1" si="102"/>
        <v>#DIV/0!</v>
      </c>
      <c r="G96" s="77" t="e">
        <f ca="1">IF(B$16=1,_xll.xCalcSkew(A96,H96-AL96,b)/100,0)</f>
        <v>#DIV/0!</v>
      </c>
      <c r="H96" s="96">
        <f t="shared" ca="1" si="103"/>
        <v>2.44</v>
      </c>
      <c r="J96" s="95">
        <f t="shared" ca="1" si="104"/>
        <v>0</v>
      </c>
      <c r="K96" s="97">
        <f t="shared" ca="1" si="105"/>
        <v>1996</v>
      </c>
      <c r="L96" s="172" t="e">
        <f t="shared" ca="1" si="106"/>
        <v>#DIV/0!</v>
      </c>
      <c r="M96" s="77" t="e">
        <f ca="1">IF(D$16=1,_xll.xCalcSkew($A96,N96-AW96,b)/100,0)</f>
        <v>#DIV/0!</v>
      </c>
      <c r="N96" s="96">
        <f t="shared" ca="1" si="107"/>
        <v>2.44</v>
      </c>
      <c r="P96" s="95">
        <f t="shared" ca="1" si="108"/>
        <v>0</v>
      </c>
      <c r="Q96" s="97">
        <f t="shared" ca="1" si="109"/>
        <v>1996</v>
      </c>
      <c r="R96" s="172" t="e">
        <f t="shared" ca="1" si="110"/>
        <v>#DIV/0!</v>
      </c>
      <c r="S96" s="77" t="e">
        <f ca="1">IF(F$16=1,_xll.xCalcSkew($A96,T96-BH96,b)/100,0)</f>
        <v>#DIV/0!</v>
      </c>
      <c r="T96" s="96">
        <f t="shared" ca="1" si="111"/>
        <v>2.44</v>
      </c>
      <c r="V96" s="95">
        <f t="shared" ca="1" si="112"/>
        <v>0</v>
      </c>
      <c r="W96" s="97">
        <f t="shared" ca="1" si="113"/>
        <v>1996</v>
      </c>
      <c r="X96" s="77" t="e">
        <f t="shared" ca="1" si="114"/>
        <v>#DIV/0!</v>
      </c>
      <c r="Y96" s="77" t="e">
        <f ca="1">IF(H$16=1,_xll.xCalcSkew($A96,Z96-BS96,b)/100,0)</f>
        <v>#DIV/0!</v>
      </c>
      <c r="Z96" s="96">
        <f t="shared" ca="1" si="115"/>
        <v>2.44</v>
      </c>
      <c r="AC96" s="97">
        <f t="shared" ref="AC96:AC149" ca="1" si="144">VLOOKUP($A96,expiration,2,FALSE)-$B$2</f>
        <v>1997</v>
      </c>
      <c r="AD96" s="97">
        <f t="shared" ref="AD96:AD149" ca="1" si="145">VLOOKUP($A96,expiration,3,FALSE)-$B$2</f>
        <v>1996</v>
      </c>
      <c r="AE96" s="77">
        <f t="shared" ref="AE96:AE149" ca="1" si="146">VLOOKUP($A96,STRADDLE,15,FALSE)</f>
        <v>5.2276004656028399E-2</v>
      </c>
      <c r="AF96" s="152">
        <f t="shared" si="116"/>
        <v>31</v>
      </c>
      <c r="AI96" s="97"/>
      <c r="AJ96" s="78"/>
      <c r="AK96" s="78">
        <f t="shared" ca="1" si="117"/>
        <v>0</v>
      </c>
      <c r="AL96" s="288" t="e">
        <f t="shared" ref="AL96:AL107" ca="1" si="147">AN96/AK96</f>
        <v>#DIV/0!</v>
      </c>
      <c r="AM96" s="75">
        <f t="shared" ca="1" si="118"/>
        <v>0</v>
      </c>
      <c r="AN96" s="100">
        <f t="shared" ca="1" si="119"/>
        <v>0</v>
      </c>
      <c r="AO96" s="99">
        <f t="shared" ca="1" si="120"/>
        <v>0</v>
      </c>
      <c r="AP96" s="99">
        <f t="shared" ca="1" si="121"/>
        <v>0</v>
      </c>
      <c r="AQ96" s="99">
        <f t="shared" ca="1" si="122"/>
        <v>0</v>
      </c>
      <c r="AR96" s="101">
        <f t="shared" ref="AR96:AR107" ca="1" si="148">AK96*AO96</f>
        <v>0</v>
      </c>
      <c r="AS96" s="101">
        <f t="shared" ref="AS96:AS107" ca="1" si="149">AK96*AP96</f>
        <v>0</v>
      </c>
      <c r="AT96" s="101">
        <f t="shared" ref="AT96:AT107" ca="1" si="150">AK96*AQ96</f>
        <v>0</v>
      </c>
      <c r="AV96" s="78">
        <f t="shared" ca="1" si="123"/>
        <v>0</v>
      </c>
      <c r="AW96" s="288" t="e">
        <f t="shared" ref="AW96:AW107" ca="1" si="151">AY96/AV96</f>
        <v>#DIV/0!</v>
      </c>
      <c r="AX96" s="75">
        <f t="shared" ca="1" si="124"/>
        <v>0</v>
      </c>
      <c r="AY96" s="100">
        <f t="shared" ca="1" si="125"/>
        <v>0</v>
      </c>
      <c r="AZ96" s="99">
        <f t="shared" ca="1" si="126"/>
        <v>0</v>
      </c>
      <c r="BA96" s="99">
        <f t="shared" ca="1" si="127"/>
        <v>0</v>
      </c>
      <c r="BB96" s="99">
        <f t="shared" ca="1" si="128"/>
        <v>0</v>
      </c>
      <c r="BC96" s="101">
        <f t="shared" ref="BC96:BC107" ca="1" si="152">AV96*AZ96</f>
        <v>0</v>
      </c>
      <c r="BD96" s="101">
        <f t="shared" ref="BD96:BD107" ca="1" si="153">AV96*BA96</f>
        <v>0</v>
      </c>
      <c r="BE96" s="101">
        <f t="shared" ref="BE96:BE107" ca="1" si="154">AV96*BB96</f>
        <v>0</v>
      </c>
      <c r="BG96" s="78">
        <f t="shared" ca="1" si="129"/>
        <v>0</v>
      </c>
      <c r="BH96" s="288" t="e">
        <f t="shared" ref="BH96:BH107" ca="1" si="155">BJ96/BG96</f>
        <v>#DIV/0!</v>
      </c>
      <c r="BI96" s="75">
        <f t="shared" ca="1" si="130"/>
        <v>0</v>
      </c>
      <c r="BJ96" s="100">
        <f t="shared" ca="1" si="131"/>
        <v>0</v>
      </c>
      <c r="BK96" s="99">
        <f t="shared" ca="1" si="132"/>
        <v>0</v>
      </c>
      <c r="BL96" s="99">
        <f t="shared" ca="1" si="133"/>
        <v>0</v>
      </c>
      <c r="BM96" s="99">
        <f t="shared" ca="1" si="134"/>
        <v>0</v>
      </c>
      <c r="BN96" s="101">
        <f t="shared" ref="BN96:BN107" ca="1" si="156">BG96*BK96</f>
        <v>0</v>
      </c>
      <c r="BO96" s="101">
        <f t="shared" ref="BO96:BO107" ca="1" si="157">BG96*BL96</f>
        <v>0</v>
      </c>
      <c r="BP96" s="101">
        <f t="shared" ref="BP96:BP107" ca="1" si="158">BG96*BM96</f>
        <v>0</v>
      </c>
      <c r="BR96" s="78">
        <f t="shared" ca="1" si="135"/>
        <v>0</v>
      </c>
      <c r="BS96" s="288" t="e">
        <f t="shared" ref="BS96:BS107" ca="1" si="159">BU96/BR96</f>
        <v>#DIV/0!</v>
      </c>
      <c r="BT96" s="75">
        <f t="shared" ca="1" si="136"/>
        <v>0</v>
      </c>
      <c r="BU96" s="100">
        <f t="shared" ca="1" si="137"/>
        <v>0</v>
      </c>
      <c r="BV96" s="99">
        <f t="shared" ca="1" si="138"/>
        <v>0</v>
      </c>
      <c r="BW96" s="99">
        <f t="shared" ca="1" si="139"/>
        <v>0</v>
      </c>
      <c r="BX96" s="99">
        <f t="shared" ca="1" si="140"/>
        <v>0</v>
      </c>
      <c r="BY96" s="101">
        <f t="shared" ref="BY96:BY107" ca="1" si="160">BR96*BV96</f>
        <v>0</v>
      </c>
      <c r="BZ96" s="101">
        <f t="shared" ref="BZ96:BZ107" ca="1" si="161">BR96*BW96</f>
        <v>0</v>
      </c>
      <c r="CA96" s="101">
        <f t="shared" ref="CA96:CA107" ca="1" si="162">BR96*BX96</f>
        <v>0</v>
      </c>
    </row>
    <row r="97" spans="1:79" x14ac:dyDescent="0.25">
      <c r="A97" s="94">
        <f t="shared" si="141"/>
        <v>39295</v>
      </c>
      <c r="B97" s="95">
        <f t="shared" ca="1" si="142"/>
        <v>3.3139999999999996</v>
      </c>
      <c r="C97" s="77">
        <f t="shared" ca="1" si="143"/>
        <v>6.0177265224086542E-2</v>
      </c>
      <c r="D97" s="95">
        <f t="shared" ca="1" si="100"/>
        <v>0</v>
      </c>
      <c r="E97" s="97">
        <f t="shared" ca="1" si="101"/>
        <v>2026</v>
      </c>
      <c r="F97" s="77" t="e">
        <f t="shared" ca="1" si="102"/>
        <v>#DIV/0!</v>
      </c>
      <c r="G97" s="77" t="e">
        <f ca="1">IF(B$16=1,_xll.xCalcSkew(A97,H97-AL97,b)/100,0)</f>
        <v>#DIV/0!</v>
      </c>
      <c r="H97" s="96">
        <f t="shared" ca="1" si="103"/>
        <v>2.44</v>
      </c>
      <c r="J97" s="95">
        <f t="shared" ca="1" si="104"/>
        <v>0</v>
      </c>
      <c r="K97" s="97">
        <f t="shared" ca="1" si="105"/>
        <v>2026</v>
      </c>
      <c r="L97" s="172" t="e">
        <f t="shared" ca="1" si="106"/>
        <v>#DIV/0!</v>
      </c>
      <c r="M97" s="77" t="e">
        <f ca="1">IF(D$16=1,_xll.xCalcSkew($A97,N97-AW97,b)/100,0)</f>
        <v>#DIV/0!</v>
      </c>
      <c r="N97" s="96">
        <f t="shared" ca="1" si="107"/>
        <v>2.44</v>
      </c>
      <c r="P97" s="95">
        <f t="shared" ca="1" si="108"/>
        <v>0</v>
      </c>
      <c r="Q97" s="97">
        <f t="shared" ca="1" si="109"/>
        <v>2026</v>
      </c>
      <c r="R97" s="172" t="e">
        <f t="shared" ca="1" si="110"/>
        <v>#DIV/0!</v>
      </c>
      <c r="S97" s="77" t="e">
        <f ca="1">IF(F$16=1,_xll.xCalcSkew($A97,T97-BH97,b)/100,0)</f>
        <v>#DIV/0!</v>
      </c>
      <c r="T97" s="96">
        <f t="shared" ca="1" si="111"/>
        <v>2.44</v>
      </c>
      <c r="V97" s="95">
        <f t="shared" ca="1" si="112"/>
        <v>0</v>
      </c>
      <c r="W97" s="97">
        <f t="shared" ca="1" si="113"/>
        <v>2026</v>
      </c>
      <c r="X97" s="77" t="e">
        <f t="shared" ca="1" si="114"/>
        <v>#DIV/0!</v>
      </c>
      <c r="Y97" s="77" t="e">
        <f ca="1">IF(H$16=1,_xll.xCalcSkew($A97,Z97-BS97,b)/100,0)</f>
        <v>#DIV/0!</v>
      </c>
      <c r="Z97" s="96">
        <f t="shared" ca="1" si="115"/>
        <v>2.44</v>
      </c>
      <c r="AC97" s="97">
        <f t="shared" ca="1" si="144"/>
        <v>2027</v>
      </c>
      <c r="AD97" s="97">
        <f t="shared" ca="1" si="145"/>
        <v>2026</v>
      </c>
      <c r="AE97" s="77">
        <f t="shared" ca="1" si="146"/>
        <v>5.2451663035879101E-2</v>
      </c>
      <c r="AF97" s="152">
        <f t="shared" si="116"/>
        <v>31</v>
      </c>
      <c r="AI97" s="97"/>
      <c r="AJ97" s="78"/>
      <c r="AK97" s="78">
        <f t="shared" ca="1" si="117"/>
        <v>0</v>
      </c>
      <c r="AL97" s="288" t="e">
        <f t="shared" ca="1" si="147"/>
        <v>#DIV/0!</v>
      </c>
      <c r="AM97" s="75">
        <f t="shared" ca="1" si="118"/>
        <v>0</v>
      </c>
      <c r="AN97" s="100">
        <f t="shared" ca="1" si="119"/>
        <v>0</v>
      </c>
      <c r="AO97" s="99">
        <f t="shared" ca="1" si="120"/>
        <v>0</v>
      </c>
      <c r="AP97" s="99">
        <f t="shared" ca="1" si="121"/>
        <v>0</v>
      </c>
      <c r="AQ97" s="99">
        <f t="shared" ca="1" si="122"/>
        <v>0</v>
      </c>
      <c r="AR97" s="101">
        <f t="shared" ca="1" si="148"/>
        <v>0</v>
      </c>
      <c r="AS97" s="101">
        <f t="shared" ca="1" si="149"/>
        <v>0</v>
      </c>
      <c r="AT97" s="101">
        <f t="shared" ca="1" si="150"/>
        <v>0</v>
      </c>
      <c r="AV97" s="78">
        <f t="shared" ca="1" si="123"/>
        <v>0</v>
      </c>
      <c r="AW97" s="288" t="e">
        <f t="shared" ca="1" si="151"/>
        <v>#DIV/0!</v>
      </c>
      <c r="AX97" s="75">
        <f t="shared" ca="1" si="124"/>
        <v>0</v>
      </c>
      <c r="AY97" s="100">
        <f t="shared" ca="1" si="125"/>
        <v>0</v>
      </c>
      <c r="AZ97" s="99">
        <f t="shared" ca="1" si="126"/>
        <v>0</v>
      </c>
      <c r="BA97" s="99">
        <f t="shared" ca="1" si="127"/>
        <v>0</v>
      </c>
      <c r="BB97" s="99">
        <f t="shared" ca="1" si="128"/>
        <v>0</v>
      </c>
      <c r="BC97" s="101">
        <f t="shared" ca="1" si="152"/>
        <v>0</v>
      </c>
      <c r="BD97" s="101">
        <f t="shared" ca="1" si="153"/>
        <v>0</v>
      </c>
      <c r="BE97" s="101">
        <f t="shared" ca="1" si="154"/>
        <v>0</v>
      </c>
      <c r="BG97" s="78">
        <f t="shared" ca="1" si="129"/>
        <v>0</v>
      </c>
      <c r="BH97" s="288" t="e">
        <f t="shared" ca="1" si="155"/>
        <v>#DIV/0!</v>
      </c>
      <c r="BI97" s="75">
        <f t="shared" ca="1" si="130"/>
        <v>0</v>
      </c>
      <c r="BJ97" s="100">
        <f t="shared" ca="1" si="131"/>
        <v>0</v>
      </c>
      <c r="BK97" s="99">
        <f t="shared" ca="1" si="132"/>
        <v>0</v>
      </c>
      <c r="BL97" s="99">
        <f t="shared" ca="1" si="133"/>
        <v>0</v>
      </c>
      <c r="BM97" s="99">
        <f t="shared" ca="1" si="134"/>
        <v>0</v>
      </c>
      <c r="BN97" s="101">
        <f t="shared" ca="1" si="156"/>
        <v>0</v>
      </c>
      <c r="BO97" s="101">
        <f t="shared" ca="1" si="157"/>
        <v>0</v>
      </c>
      <c r="BP97" s="101">
        <f t="shared" ca="1" si="158"/>
        <v>0</v>
      </c>
      <c r="BR97" s="78">
        <f t="shared" ca="1" si="135"/>
        <v>0</v>
      </c>
      <c r="BS97" s="288" t="e">
        <f t="shared" ca="1" si="159"/>
        <v>#DIV/0!</v>
      </c>
      <c r="BT97" s="75">
        <f t="shared" ca="1" si="136"/>
        <v>0</v>
      </c>
      <c r="BU97" s="100">
        <f t="shared" ca="1" si="137"/>
        <v>0</v>
      </c>
      <c r="BV97" s="99">
        <f t="shared" ca="1" si="138"/>
        <v>0</v>
      </c>
      <c r="BW97" s="99">
        <f t="shared" ca="1" si="139"/>
        <v>0</v>
      </c>
      <c r="BX97" s="99">
        <f t="shared" ca="1" si="140"/>
        <v>0</v>
      </c>
      <c r="BY97" s="101">
        <f t="shared" ca="1" si="160"/>
        <v>0</v>
      </c>
      <c r="BZ97" s="101">
        <f t="shared" ca="1" si="161"/>
        <v>0</v>
      </c>
      <c r="CA97" s="101">
        <f t="shared" ca="1" si="162"/>
        <v>0</v>
      </c>
    </row>
    <row r="98" spans="1:79" x14ac:dyDescent="0.25">
      <c r="A98" s="94">
        <f t="shared" si="141"/>
        <v>39326</v>
      </c>
      <c r="B98" s="95">
        <f t="shared" ca="1" si="142"/>
        <v>3.2989999999999995</v>
      </c>
      <c r="C98" s="77">
        <f t="shared" ca="1" si="143"/>
        <v>6.0311948388157309E-2</v>
      </c>
      <c r="D98" s="95">
        <f t="shared" ca="1" si="100"/>
        <v>0</v>
      </c>
      <c r="E98" s="97">
        <f t="shared" ca="1" si="101"/>
        <v>2059</v>
      </c>
      <c r="F98" s="77" t="e">
        <f t="shared" ca="1" si="102"/>
        <v>#DIV/0!</v>
      </c>
      <c r="G98" s="77" t="e">
        <f ca="1">IF(B$16=1,_xll.xCalcSkew(A98,H98-AL98,b)/100,0)</f>
        <v>#DIV/0!</v>
      </c>
      <c r="H98" s="96">
        <f t="shared" ca="1" si="103"/>
        <v>2.44</v>
      </c>
      <c r="J98" s="95">
        <f t="shared" ca="1" si="104"/>
        <v>0</v>
      </c>
      <c r="K98" s="97">
        <f t="shared" ca="1" si="105"/>
        <v>2059</v>
      </c>
      <c r="L98" s="172" t="e">
        <f t="shared" ca="1" si="106"/>
        <v>#DIV/0!</v>
      </c>
      <c r="M98" s="77" t="e">
        <f ca="1">IF(D$16=1,_xll.xCalcSkew($A98,N98-AW98,b)/100,0)</f>
        <v>#DIV/0!</v>
      </c>
      <c r="N98" s="96">
        <f t="shared" ca="1" si="107"/>
        <v>2.44</v>
      </c>
      <c r="P98" s="95">
        <f t="shared" ca="1" si="108"/>
        <v>0</v>
      </c>
      <c r="Q98" s="97">
        <f t="shared" ca="1" si="109"/>
        <v>2059</v>
      </c>
      <c r="R98" s="172" t="e">
        <f t="shared" ca="1" si="110"/>
        <v>#DIV/0!</v>
      </c>
      <c r="S98" s="77" t="e">
        <f ca="1">IF(F$16=1,_xll.xCalcSkew($A98,T98-BH98,b)/100,0)</f>
        <v>#DIV/0!</v>
      </c>
      <c r="T98" s="96">
        <f t="shared" ca="1" si="111"/>
        <v>2.44</v>
      </c>
      <c r="V98" s="95">
        <f t="shared" ca="1" si="112"/>
        <v>0</v>
      </c>
      <c r="W98" s="97">
        <f t="shared" ca="1" si="113"/>
        <v>2059</v>
      </c>
      <c r="X98" s="77" t="e">
        <f t="shared" ca="1" si="114"/>
        <v>#DIV/0!</v>
      </c>
      <c r="Y98" s="77" t="e">
        <f ca="1">IF(H$16=1,_xll.xCalcSkew($A98,Z98-BS98,b)/100,0)</f>
        <v>#DIV/0!</v>
      </c>
      <c r="Z98" s="96">
        <f t="shared" ca="1" si="115"/>
        <v>2.44</v>
      </c>
      <c r="AC98" s="97">
        <f t="shared" ca="1" si="144"/>
        <v>2060</v>
      </c>
      <c r="AD98" s="97">
        <f t="shared" ca="1" si="145"/>
        <v>2059</v>
      </c>
      <c r="AE98" s="77">
        <f t="shared" ca="1" si="146"/>
        <v>5.2633176705868798E-2</v>
      </c>
      <c r="AF98" s="152">
        <f t="shared" si="116"/>
        <v>30</v>
      </c>
      <c r="AI98" s="97"/>
      <c r="AJ98" s="78"/>
      <c r="AK98" s="78">
        <f t="shared" ca="1" si="117"/>
        <v>0</v>
      </c>
      <c r="AL98" s="288" t="e">
        <f t="shared" ca="1" si="147"/>
        <v>#DIV/0!</v>
      </c>
      <c r="AM98" s="75">
        <f t="shared" ca="1" si="118"/>
        <v>0</v>
      </c>
      <c r="AN98" s="100">
        <f t="shared" ca="1" si="119"/>
        <v>0</v>
      </c>
      <c r="AO98" s="99">
        <f t="shared" ca="1" si="120"/>
        <v>0</v>
      </c>
      <c r="AP98" s="99">
        <f t="shared" ca="1" si="121"/>
        <v>0</v>
      </c>
      <c r="AQ98" s="99">
        <f t="shared" ca="1" si="122"/>
        <v>0</v>
      </c>
      <c r="AR98" s="101">
        <f t="shared" ca="1" si="148"/>
        <v>0</v>
      </c>
      <c r="AS98" s="101">
        <f t="shared" ca="1" si="149"/>
        <v>0</v>
      </c>
      <c r="AT98" s="101">
        <f t="shared" ca="1" si="150"/>
        <v>0</v>
      </c>
      <c r="AV98" s="78">
        <f t="shared" ca="1" si="123"/>
        <v>0</v>
      </c>
      <c r="AW98" s="288" t="e">
        <f t="shared" ca="1" si="151"/>
        <v>#DIV/0!</v>
      </c>
      <c r="AX98" s="75">
        <f t="shared" ca="1" si="124"/>
        <v>0</v>
      </c>
      <c r="AY98" s="100">
        <f t="shared" ca="1" si="125"/>
        <v>0</v>
      </c>
      <c r="AZ98" s="99">
        <f t="shared" ca="1" si="126"/>
        <v>0</v>
      </c>
      <c r="BA98" s="99">
        <f t="shared" ca="1" si="127"/>
        <v>0</v>
      </c>
      <c r="BB98" s="99">
        <f t="shared" ca="1" si="128"/>
        <v>0</v>
      </c>
      <c r="BC98" s="101">
        <f t="shared" ca="1" si="152"/>
        <v>0</v>
      </c>
      <c r="BD98" s="101">
        <f t="shared" ca="1" si="153"/>
        <v>0</v>
      </c>
      <c r="BE98" s="101">
        <f t="shared" ca="1" si="154"/>
        <v>0</v>
      </c>
      <c r="BG98" s="78">
        <f t="shared" ca="1" si="129"/>
        <v>0</v>
      </c>
      <c r="BH98" s="288" t="e">
        <f t="shared" ca="1" si="155"/>
        <v>#DIV/0!</v>
      </c>
      <c r="BI98" s="75">
        <f t="shared" ca="1" si="130"/>
        <v>0</v>
      </c>
      <c r="BJ98" s="100">
        <f t="shared" ca="1" si="131"/>
        <v>0</v>
      </c>
      <c r="BK98" s="99">
        <f t="shared" ca="1" si="132"/>
        <v>0</v>
      </c>
      <c r="BL98" s="99">
        <f t="shared" ca="1" si="133"/>
        <v>0</v>
      </c>
      <c r="BM98" s="99">
        <f t="shared" ca="1" si="134"/>
        <v>0</v>
      </c>
      <c r="BN98" s="101">
        <f t="shared" ca="1" si="156"/>
        <v>0</v>
      </c>
      <c r="BO98" s="101">
        <f t="shared" ca="1" si="157"/>
        <v>0</v>
      </c>
      <c r="BP98" s="101">
        <f t="shared" ca="1" si="158"/>
        <v>0</v>
      </c>
      <c r="BR98" s="78">
        <f t="shared" ca="1" si="135"/>
        <v>0</v>
      </c>
      <c r="BS98" s="288" t="e">
        <f t="shared" ca="1" si="159"/>
        <v>#DIV/0!</v>
      </c>
      <c r="BT98" s="75">
        <f t="shared" ca="1" si="136"/>
        <v>0</v>
      </c>
      <c r="BU98" s="100">
        <f t="shared" ca="1" si="137"/>
        <v>0</v>
      </c>
      <c r="BV98" s="99">
        <f t="shared" ca="1" si="138"/>
        <v>0</v>
      </c>
      <c r="BW98" s="99">
        <f t="shared" ca="1" si="139"/>
        <v>0</v>
      </c>
      <c r="BX98" s="99">
        <f t="shared" ca="1" si="140"/>
        <v>0</v>
      </c>
      <c r="BY98" s="101">
        <f t="shared" ca="1" si="160"/>
        <v>0</v>
      </c>
      <c r="BZ98" s="101">
        <f t="shared" ca="1" si="161"/>
        <v>0</v>
      </c>
      <c r="CA98" s="101">
        <f t="shared" ca="1" si="162"/>
        <v>0</v>
      </c>
    </row>
    <row r="99" spans="1:79" x14ac:dyDescent="0.25">
      <c r="A99" s="94">
        <f t="shared" si="141"/>
        <v>39356</v>
      </c>
      <c r="B99" s="95">
        <f t="shared" ca="1" si="142"/>
        <v>3.3139999999999996</v>
      </c>
      <c r="C99" s="77">
        <f t="shared" ca="1" si="143"/>
        <v>5.9937920217690246E-2</v>
      </c>
      <c r="D99" s="95">
        <f t="shared" ca="1" si="100"/>
        <v>0</v>
      </c>
      <c r="E99" s="97">
        <f t="shared" ca="1" si="101"/>
        <v>2087</v>
      </c>
      <c r="F99" s="77" t="e">
        <f t="shared" ca="1" si="102"/>
        <v>#DIV/0!</v>
      </c>
      <c r="G99" s="77" t="e">
        <f ca="1">IF(B$16=1,_xll.xCalcSkew(A99,H99-AL99,b)/100,0)</f>
        <v>#DIV/0!</v>
      </c>
      <c r="H99" s="96">
        <f t="shared" ca="1" si="103"/>
        <v>2.44</v>
      </c>
      <c r="J99" s="95">
        <f t="shared" ca="1" si="104"/>
        <v>0</v>
      </c>
      <c r="K99" s="97">
        <f t="shared" ca="1" si="105"/>
        <v>2087</v>
      </c>
      <c r="L99" s="172" t="e">
        <f t="shared" ca="1" si="106"/>
        <v>#DIV/0!</v>
      </c>
      <c r="M99" s="77" t="e">
        <f ca="1">IF(D$16=1,_xll.xCalcSkew($A99,N99-AW99,b)/100,0)</f>
        <v>#DIV/0!</v>
      </c>
      <c r="N99" s="96">
        <f t="shared" ca="1" si="107"/>
        <v>2.44</v>
      </c>
      <c r="P99" s="95">
        <f t="shared" ca="1" si="108"/>
        <v>0</v>
      </c>
      <c r="Q99" s="97">
        <f t="shared" ca="1" si="109"/>
        <v>2087</v>
      </c>
      <c r="R99" s="172" t="e">
        <f t="shared" ca="1" si="110"/>
        <v>#DIV/0!</v>
      </c>
      <c r="S99" s="77" t="e">
        <f ca="1">IF(F$16=1,_xll.xCalcSkew($A99,T99-BH99,b)/100,0)</f>
        <v>#DIV/0!</v>
      </c>
      <c r="T99" s="96">
        <f t="shared" ca="1" si="111"/>
        <v>2.44</v>
      </c>
      <c r="V99" s="95">
        <f t="shared" ca="1" si="112"/>
        <v>0</v>
      </c>
      <c r="W99" s="97">
        <f t="shared" ca="1" si="113"/>
        <v>2087</v>
      </c>
      <c r="X99" s="77" t="e">
        <f t="shared" ca="1" si="114"/>
        <v>#DIV/0!</v>
      </c>
      <c r="Y99" s="77" t="e">
        <f ca="1">IF(H$16=1,_xll.xCalcSkew($A99,Z99-BS99,b)/100,0)</f>
        <v>#DIV/0!</v>
      </c>
      <c r="Z99" s="96">
        <f t="shared" ca="1" si="115"/>
        <v>2.44</v>
      </c>
      <c r="AC99" s="97">
        <f t="shared" ca="1" si="144"/>
        <v>2088</v>
      </c>
      <c r="AD99" s="97">
        <f t="shared" ca="1" si="145"/>
        <v>2087</v>
      </c>
      <c r="AE99" s="77">
        <f t="shared" ca="1" si="146"/>
        <v>5.28146903868447E-2</v>
      </c>
      <c r="AF99" s="152">
        <f t="shared" si="116"/>
        <v>31</v>
      </c>
      <c r="AI99" s="97"/>
      <c r="AJ99" s="78"/>
      <c r="AK99" s="78">
        <f t="shared" ca="1" si="117"/>
        <v>0</v>
      </c>
      <c r="AL99" s="288" t="e">
        <f t="shared" ca="1" si="147"/>
        <v>#DIV/0!</v>
      </c>
      <c r="AM99" s="75">
        <f t="shared" ca="1" si="118"/>
        <v>0</v>
      </c>
      <c r="AN99" s="100">
        <f t="shared" ca="1" si="119"/>
        <v>0</v>
      </c>
      <c r="AO99" s="99">
        <f t="shared" ca="1" si="120"/>
        <v>0</v>
      </c>
      <c r="AP99" s="99">
        <f t="shared" ca="1" si="121"/>
        <v>0</v>
      </c>
      <c r="AQ99" s="99">
        <f t="shared" ca="1" si="122"/>
        <v>0</v>
      </c>
      <c r="AR99" s="101">
        <f t="shared" ca="1" si="148"/>
        <v>0</v>
      </c>
      <c r="AS99" s="101">
        <f t="shared" ca="1" si="149"/>
        <v>0</v>
      </c>
      <c r="AT99" s="101">
        <f t="shared" ca="1" si="150"/>
        <v>0</v>
      </c>
      <c r="AV99" s="78">
        <f t="shared" ca="1" si="123"/>
        <v>0</v>
      </c>
      <c r="AW99" s="288" t="e">
        <f t="shared" ca="1" si="151"/>
        <v>#DIV/0!</v>
      </c>
      <c r="AX99" s="75">
        <f t="shared" ca="1" si="124"/>
        <v>0</v>
      </c>
      <c r="AY99" s="100">
        <f t="shared" ca="1" si="125"/>
        <v>0</v>
      </c>
      <c r="AZ99" s="99">
        <f t="shared" ca="1" si="126"/>
        <v>0</v>
      </c>
      <c r="BA99" s="99">
        <f t="shared" ca="1" si="127"/>
        <v>0</v>
      </c>
      <c r="BB99" s="99">
        <f t="shared" ca="1" si="128"/>
        <v>0</v>
      </c>
      <c r="BC99" s="101">
        <f t="shared" ca="1" si="152"/>
        <v>0</v>
      </c>
      <c r="BD99" s="101">
        <f t="shared" ca="1" si="153"/>
        <v>0</v>
      </c>
      <c r="BE99" s="101">
        <f t="shared" ca="1" si="154"/>
        <v>0</v>
      </c>
      <c r="BG99" s="78">
        <f t="shared" ca="1" si="129"/>
        <v>0</v>
      </c>
      <c r="BH99" s="288" t="e">
        <f t="shared" ca="1" si="155"/>
        <v>#DIV/0!</v>
      </c>
      <c r="BI99" s="75">
        <f t="shared" ca="1" si="130"/>
        <v>0</v>
      </c>
      <c r="BJ99" s="100">
        <f t="shared" ca="1" si="131"/>
        <v>0</v>
      </c>
      <c r="BK99" s="99">
        <f t="shared" ca="1" si="132"/>
        <v>0</v>
      </c>
      <c r="BL99" s="99">
        <f t="shared" ca="1" si="133"/>
        <v>0</v>
      </c>
      <c r="BM99" s="99">
        <f t="shared" ca="1" si="134"/>
        <v>0</v>
      </c>
      <c r="BN99" s="101">
        <f t="shared" ca="1" si="156"/>
        <v>0</v>
      </c>
      <c r="BO99" s="101">
        <f t="shared" ca="1" si="157"/>
        <v>0</v>
      </c>
      <c r="BP99" s="101">
        <f t="shared" ca="1" si="158"/>
        <v>0</v>
      </c>
      <c r="BR99" s="78">
        <f t="shared" ca="1" si="135"/>
        <v>0</v>
      </c>
      <c r="BS99" s="288" t="e">
        <f t="shared" ca="1" si="159"/>
        <v>#DIV/0!</v>
      </c>
      <c r="BT99" s="75">
        <f t="shared" ca="1" si="136"/>
        <v>0</v>
      </c>
      <c r="BU99" s="100">
        <f t="shared" ca="1" si="137"/>
        <v>0</v>
      </c>
      <c r="BV99" s="99">
        <f t="shared" ca="1" si="138"/>
        <v>0</v>
      </c>
      <c r="BW99" s="99">
        <f t="shared" ca="1" si="139"/>
        <v>0</v>
      </c>
      <c r="BX99" s="99">
        <f t="shared" ca="1" si="140"/>
        <v>0</v>
      </c>
      <c r="BY99" s="101">
        <f t="shared" ca="1" si="160"/>
        <v>0</v>
      </c>
      <c r="BZ99" s="101">
        <f t="shared" ca="1" si="161"/>
        <v>0</v>
      </c>
      <c r="CA99" s="101">
        <f t="shared" ca="1" si="162"/>
        <v>0</v>
      </c>
    </row>
    <row r="100" spans="1:79" x14ac:dyDescent="0.25">
      <c r="A100" s="94">
        <f t="shared" si="141"/>
        <v>39387</v>
      </c>
      <c r="B100" s="95">
        <f t="shared" ca="1" si="142"/>
        <v>3.4589999999999996</v>
      </c>
      <c r="C100" s="77">
        <f t="shared" ca="1" si="143"/>
        <v>5.7313657764030572E-2</v>
      </c>
      <c r="D100" s="95">
        <f t="shared" ca="1" si="100"/>
        <v>0</v>
      </c>
      <c r="E100" s="97">
        <f t="shared" ca="1" si="101"/>
        <v>2118</v>
      </c>
      <c r="F100" s="77" t="e">
        <f t="shared" ca="1" si="102"/>
        <v>#DIV/0!</v>
      </c>
      <c r="G100" s="77" t="e">
        <f ca="1">IF(B$16=1,_xll.xCalcSkew(A100,H100-AL100,b)/100,0)</f>
        <v>#DIV/0!</v>
      </c>
      <c r="H100" s="96">
        <f t="shared" ca="1" si="103"/>
        <v>2.44</v>
      </c>
      <c r="J100" s="95">
        <f t="shared" ca="1" si="104"/>
        <v>0</v>
      </c>
      <c r="K100" s="97">
        <f t="shared" ca="1" si="105"/>
        <v>2118</v>
      </c>
      <c r="L100" s="172" t="e">
        <f t="shared" ca="1" si="106"/>
        <v>#DIV/0!</v>
      </c>
      <c r="M100" s="77" t="e">
        <f ca="1">IF(D$16=1,_xll.xCalcSkew($A100,N100-AW100,b)/100,0)</f>
        <v>#DIV/0!</v>
      </c>
      <c r="N100" s="96">
        <f t="shared" ca="1" si="107"/>
        <v>2.44</v>
      </c>
      <c r="P100" s="95">
        <f t="shared" ca="1" si="108"/>
        <v>0</v>
      </c>
      <c r="Q100" s="97">
        <f t="shared" ca="1" si="109"/>
        <v>2118</v>
      </c>
      <c r="R100" s="172" t="e">
        <f t="shared" ca="1" si="110"/>
        <v>#DIV/0!</v>
      </c>
      <c r="S100" s="77" t="e">
        <f ca="1">IF(F$16=1,_xll.xCalcSkew($A100,T100-BH100,b)/100,0)</f>
        <v>#DIV/0!</v>
      </c>
      <c r="T100" s="96">
        <f t="shared" ca="1" si="111"/>
        <v>2.44</v>
      </c>
      <c r="V100" s="95">
        <f t="shared" ca="1" si="112"/>
        <v>0</v>
      </c>
      <c r="W100" s="97">
        <f t="shared" ca="1" si="113"/>
        <v>2118</v>
      </c>
      <c r="X100" s="77" t="e">
        <f t="shared" ca="1" si="114"/>
        <v>#DIV/0!</v>
      </c>
      <c r="Y100" s="77" t="e">
        <f ca="1">IF(H$16=1,_xll.xCalcSkew($A100,Z100-BS100,b)/100,0)</f>
        <v>#DIV/0!</v>
      </c>
      <c r="Z100" s="96">
        <f t="shared" ca="1" si="115"/>
        <v>2.44</v>
      </c>
      <c r="AC100" s="97">
        <f t="shared" ca="1" si="144"/>
        <v>2121</v>
      </c>
      <c r="AD100" s="97">
        <f t="shared" ca="1" si="145"/>
        <v>2118</v>
      </c>
      <c r="AE100" s="77">
        <f t="shared" ca="1" si="146"/>
        <v>5.29903487982488E-2</v>
      </c>
      <c r="AF100" s="152">
        <f t="shared" si="116"/>
        <v>30</v>
      </c>
      <c r="AI100" s="97"/>
      <c r="AJ100" s="78"/>
      <c r="AK100" s="78">
        <f t="shared" ca="1" si="117"/>
        <v>0</v>
      </c>
      <c r="AL100" s="288" t="e">
        <f t="shared" ca="1" si="147"/>
        <v>#DIV/0!</v>
      </c>
      <c r="AM100" s="75">
        <f t="shared" ca="1" si="118"/>
        <v>0</v>
      </c>
      <c r="AN100" s="100">
        <f t="shared" ca="1" si="119"/>
        <v>0</v>
      </c>
      <c r="AO100" s="99">
        <f t="shared" ca="1" si="120"/>
        <v>0</v>
      </c>
      <c r="AP100" s="99">
        <f t="shared" ca="1" si="121"/>
        <v>0</v>
      </c>
      <c r="AQ100" s="99">
        <f t="shared" ca="1" si="122"/>
        <v>0</v>
      </c>
      <c r="AR100" s="101">
        <f t="shared" ca="1" si="148"/>
        <v>0</v>
      </c>
      <c r="AS100" s="101">
        <f t="shared" ca="1" si="149"/>
        <v>0</v>
      </c>
      <c r="AT100" s="101">
        <f t="shared" ca="1" si="150"/>
        <v>0</v>
      </c>
      <c r="AV100" s="78">
        <f t="shared" ca="1" si="123"/>
        <v>0</v>
      </c>
      <c r="AW100" s="288" t="e">
        <f t="shared" ca="1" si="151"/>
        <v>#DIV/0!</v>
      </c>
      <c r="AX100" s="75">
        <f t="shared" ca="1" si="124"/>
        <v>0</v>
      </c>
      <c r="AY100" s="100">
        <f t="shared" ca="1" si="125"/>
        <v>0</v>
      </c>
      <c r="AZ100" s="99">
        <f t="shared" ca="1" si="126"/>
        <v>0</v>
      </c>
      <c r="BA100" s="99">
        <f t="shared" ca="1" si="127"/>
        <v>0</v>
      </c>
      <c r="BB100" s="99">
        <f t="shared" ca="1" si="128"/>
        <v>0</v>
      </c>
      <c r="BC100" s="101">
        <f t="shared" ca="1" si="152"/>
        <v>0</v>
      </c>
      <c r="BD100" s="101">
        <f t="shared" ca="1" si="153"/>
        <v>0</v>
      </c>
      <c r="BE100" s="101">
        <f t="shared" ca="1" si="154"/>
        <v>0</v>
      </c>
      <c r="BG100" s="78">
        <f t="shared" ca="1" si="129"/>
        <v>0</v>
      </c>
      <c r="BH100" s="288" t="e">
        <f t="shared" ca="1" si="155"/>
        <v>#DIV/0!</v>
      </c>
      <c r="BI100" s="75">
        <f t="shared" ca="1" si="130"/>
        <v>0</v>
      </c>
      <c r="BJ100" s="100">
        <f t="shared" ca="1" si="131"/>
        <v>0</v>
      </c>
      <c r="BK100" s="99">
        <f t="shared" ca="1" si="132"/>
        <v>0</v>
      </c>
      <c r="BL100" s="99">
        <f t="shared" ca="1" si="133"/>
        <v>0</v>
      </c>
      <c r="BM100" s="99">
        <f t="shared" ca="1" si="134"/>
        <v>0</v>
      </c>
      <c r="BN100" s="101">
        <f t="shared" ca="1" si="156"/>
        <v>0</v>
      </c>
      <c r="BO100" s="101">
        <f t="shared" ca="1" si="157"/>
        <v>0</v>
      </c>
      <c r="BP100" s="101">
        <f t="shared" ca="1" si="158"/>
        <v>0</v>
      </c>
      <c r="BR100" s="78">
        <f t="shared" ca="1" si="135"/>
        <v>0</v>
      </c>
      <c r="BS100" s="288" t="e">
        <f t="shared" ca="1" si="159"/>
        <v>#DIV/0!</v>
      </c>
      <c r="BT100" s="75">
        <f t="shared" ca="1" si="136"/>
        <v>0</v>
      </c>
      <c r="BU100" s="100">
        <f t="shared" ca="1" si="137"/>
        <v>0</v>
      </c>
      <c r="BV100" s="99">
        <f t="shared" ca="1" si="138"/>
        <v>0</v>
      </c>
      <c r="BW100" s="99">
        <f t="shared" ca="1" si="139"/>
        <v>0</v>
      </c>
      <c r="BX100" s="99">
        <f t="shared" ca="1" si="140"/>
        <v>0</v>
      </c>
      <c r="BY100" s="101">
        <f t="shared" ca="1" si="160"/>
        <v>0</v>
      </c>
      <c r="BZ100" s="101">
        <f t="shared" ca="1" si="161"/>
        <v>0</v>
      </c>
      <c r="CA100" s="101">
        <f t="shared" ca="1" si="162"/>
        <v>0</v>
      </c>
    </row>
    <row r="101" spans="1:79" x14ac:dyDescent="0.25">
      <c r="A101" s="94">
        <f t="shared" si="141"/>
        <v>39417</v>
      </c>
      <c r="B101" s="95">
        <f t="shared" ca="1" si="142"/>
        <v>3.5939999999999994</v>
      </c>
      <c r="C101" s="77">
        <f t="shared" ca="1" si="143"/>
        <v>5.505877016444876E-2</v>
      </c>
      <c r="D101" s="95">
        <f t="shared" ca="1" si="100"/>
        <v>0</v>
      </c>
      <c r="E101" s="97">
        <f t="shared" ca="1" si="101"/>
        <v>2150</v>
      </c>
      <c r="F101" s="77" t="e">
        <f t="shared" ca="1" si="102"/>
        <v>#DIV/0!</v>
      </c>
      <c r="G101" s="77" t="e">
        <f ca="1">IF(B$16=1,_xll.xCalcSkew(A101,H101-AL101,b)/100,0)</f>
        <v>#DIV/0!</v>
      </c>
      <c r="H101" s="96">
        <f t="shared" ca="1" si="103"/>
        <v>2.44</v>
      </c>
      <c r="J101" s="95">
        <f t="shared" ca="1" si="104"/>
        <v>0</v>
      </c>
      <c r="K101" s="97">
        <f t="shared" ca="1" si="105"/>
        <v>2150</v>
      </c>
      <c r="L101" s="172" t="e">
        <f t="shared" ca="1" si="106"/>
        <v>#DIV/0!</v>
      </c>
      <c r="M101" s="77" t="e">
        <f ca="1">IF(D$16=1,_xll.xCalcSkew($A101,N101-AW101,b)/100,0)</f>
        <v>#DIV/0!</v>
      </c>
      <c r="N101" s="96">
        <f t="shared" ca="1" si="107"/>
        <v>2.44</v>
      </c>
      <c r="P101" s="95">
        <f t="shared" ca="1" si="108"/>
        <v>0</v>
      </c>
      <c r="Q101" s="97">
        <f t="shared" ca="1" si="109"/>
        <v>2150</v>
      </c>
      <c r="R101" s="172" t="e">
        <f t="shared" ca="1" si="110"/>
        <v>#DIV/0!</v>
      </c>
      <c r="S101" s="77" t="e">
        <f ca="1">IF(F$16=1,_xll.xCalcSkew($A101,T101-BH101,b)/100,0)</f>
        <v>#DIV/0!</v>
      </c>
      <c r="T101" s="96">
        <f t="shared" ca="1" si="111"/>
        <v>2.44</v>
      </c>
      <c r="V101" s="95">
        <f t="shared" ca="1" si="112"/>
        <v>0</v>
      </c>
      <c r="W101" s="97">
        <f t="shared" ca="1" si="113"/>
        <v>2150</v>
      </c>
      <c r="X101" s="77" t="e">
        <f t="shared" ca="1" si="114"/>
        <v>#DIV/0!</v>
      </c>
      <c r="Y101" s="77" t="e">
        <f ca="1">IF(H$16=1,_xll.xCalcSkew($A101,Z101-BS101,b)/100,0)</f>
        <v>#DIV/0!</v>
      </c>
      <c r="Z101" s="96">
        <f t="shared" ca="1" si="115"/>
        <v>2.44</v>
      </c>
      <c r="AC101" s="97">
        <f t="shared" ca="1" si="144"/>
        <v>2151</v>
      </c>
      <c r="AD101" s="97">
        <f t="shared" ca="1" si="145"/>
        <v>2150</v>
      </c>
      <c r="AE101" s="77">
        <f t="shared" ca="1" si="146"/>
        <v>5.31718625008408E-2</v>
      </c>
      <c r="AF101" s="152">
        <f t="shared" si="116"/>
        <v>31</v>
      </c>
      <c r="AI101" s="97"/>
      <c r="AJ101" s="78"/>
      <c r="AK101" s="78">
        <f t="shared" ca="1" si="117"/>
        <v>0</v>
      </c>
      <c r="AL101" s="288" t="e">
        <f t="shared" ca="1" si="147"/>
        <v>#DIV/0!</v>
      </c>
      <c r="AM101" s="75">
        <f t="shared" ca="1" si="118"/>
        <v>0</v>
      </c>
      <c r="AN101" s="100">
        <f t="shared" ca="1" si="119"/>
        <v>0</v>
      </c>
      <c r="AO101" s="99">
        <f t="shared" ca="1" si="120"/>
        <v>0</v>
      </c>
      <c r="AP101" s="99">
        <f t="shared" ca="1" si="121"/>
        <v>0</v>
      </c>
      <c r="AQ101" s="99">
        <f t="shared" ca="1" si="122"/>
        <v>0</v>
      </c>
      <c r="AR101" s="101">
        <f t="shared" ca="1" si="148"/>
        <v>0</v>
      </c>
      <c r="AS101" s="101">
        <f t="shared" ca="1" si="149"/>
        <v>0</v>
      </c>
      <c r="AT101" s="101">
        <f t="shared" ca="1" si="150"/>
        <v>0</v>
      </c>
      <c r="AV101" s="78">
        <f t="shared" ca="1" si="123"/>
        <v>0</v>
      </c>
      <c r="AW101" s="288" t="e">
        <f t="shared" ca="1" si="151"/>
        <v>#DIV/0!</v>
      </c>
      <c r="AX101" s="75">
        <f t="shared" ca="1" si="124"/>
        <v>0</v>
      </c>
      <c r="AY101" s="100">
        <f t="shared" ca="1" si="125"/>
        <v>0</v>
      </c>
      <c r="AZ101" s="99">
        <f t="shared" ca="1" si="126"/>
        <v>0</v>
      </c>
      <c r="BA101" s="99">
        <f t="shared" ca="1" si="127"/>
        <v>0</v>
      </c>
      <c r="BB101" s="99">
        <f t="shared" ca="1" si="128"/>
        <v>0</v>
      </c>
      <c r="BC101" s="101">
        <f t="shared" ca="1" si="152"/>
        <v>0</v>
      </c>
      <c r="BD101" s="101">
        <f t="shared" ca="1" si="153"/>
        <v>0</v>
      </c>
      <c r="BE101" s="101">
        <f t="shared" ca="1" si="154"/>
        <v>0</v>
      </c>
      <c r="BG101" s="78">
        <f t="shared" ca="1" si="129"/>
        <v>0</v>
      </c>
      <c r="BH101" s="288" t="e">
        <f t="shared" ca="1" si="155"/>
        <v>#DIV/0!</v>
      </c>
      <c r="BI101" s="75">
        <f t="shared" ca="1" si="130"/>
        <v>0</v>
      </c>
      <c r="BJ101" s="100">
        <f t="shared" ca="1" si="131"/>
        <v>0</v>
      </c>
      <c r="BK101" s="99">
        <f t="shared" ca="1" si="132"/>
        <v>0</v>
      </c>
      <c r="BL101" s="99">
        <f t="shared" ca="1" si="133"/>
        <v>0</v>
      </c>
      <c r="BM101" s="99">
        <f t="shared" ca="1" si="134"/>
        <v>0</v>
      </c>
      <c r="BN101" s="101">
        <f t="shared" ca="1" si="156"/>
        <v>0</v>
      </c>
      <c r="BO101" s="101">
        <f t="shared" ca="1" si="157"/>
        <v>0</v>
      </c>
      <c r="BP101" s="101">
        <f t="shared" ca="1" si="158"/>
        <v>0</v>
      </c>
      <c r="BR101" s="78">
        <f t="shared" ca="1" si="135"/>
        <v>0</v>
      </c>
      <c r="BS101" s="288" t="e">
        <f t="shared" ca="1" si="159"/>
        <v>#DIV/0!</v>
      </c>
      <c r="BT101" s="75">
        <f t="shared" ca="1" si="136"/>
        <v>0</v>
      </c>
      <c r="BU101" s="100">
        <f t="shared" ca="1" si="137"/>
        <v>0</v>
      </c>
      <c r="BV101" s="99">
        <f t="shared" ca="1" si="138"/>
        <v>0</v>
      </c>
      <c r="BW101" s="99">
        <f t="shared" ca="1" si="139"/>
        <v>0</v>
      </c>
      <c r="BX101" s="99">
        <f t="shared" ca="1" si="140"/>
        <v>0</v>
      </c>
      <c r="BY101" s="101">
        <f t="shared" ca="1" si="160"/>
        <v>0</v>
      </c>
      <c r="BZ101" s="101">
        <f t="shared" ca="1" si="161"/>
        <v>0</v>
      </c>
      <c r="CA101" s="101">
        <f t="shared" ca="1" si="162"/>
        <v>0</v>
      </c>
    </row>
    <row r="102" spans="1:79" x14ac:dyDescent="0.25">
      <c r="A102" s="94">
        <f t="shared" si="141"/>
        <v>39448</v>
      </c>
      <c r="B102" s="95">
        <f t="shared" ca="1" si="142"/>
        <v>3.6489999999999996</v>
      </c>
      <c r="C102" s="77">
        <f t="shared" ca="1" si="143"/>
        <v>5.4150164603765642E-2</v>
      </c>
      <c r="D102" s="95">
        <f t="shared" ca="1" si="100"/>
        <v>0</v>
      </c>
      <c r="E102" s="97">
        <f t="shared" ca="1" si="101"/>
        <v>2179</v>
      </c>
      <c r="F102" s="77" t="e">
        <f t="shared" ca="1" si="102"/>
        <v>#DIV/0!</v>
      </c>
      <c r="G102" s="77" t="e">
        <f ca="1">IF(B$16=1,_xll.xCalcSkew(A102,H102-AL102,b)/100,0)</f>
        <v>#DIV/0!</v>
      </c>
      <c r="H102" s="96">
        <f t="shared" ca="1" si="103"/>
        <v>2.44</v>
      </c>
      <c r="J102" s="95">
        <f t="shared" ca="1" si="104"/>
        <v>0</v>
      </c>
      <c r="K102" s="97">
        <f t="shared" ca="1" si="105"/>
        <v>2179</v>
      </c>
      <c r="L102" s="172" t="e">
        <f t="shared" ca="1" si="106"/>
        <v>#DIV/0!</v>
      </c>
      <c r="M102" s="77" t="e">
        <f ca="1">IF(D$16=1,_xll.xCalcSkew($A102,N102-AW102,b)/100,0)</f>
        <v>#DIV/0!</v>
      </c>
      <c r="N102" s="96">
        <f t="shared" ca="1" si="107"/>
        <v>2.44</v>
      </c>
      <c r="P102" s="95">
        <f t="shared" ca="1" si="108"/>
        <v>0</v>
      </c>
      <c r="Q102" s="97">
        <f t="shared" ca="1" si="109"/>
        <v>2179</v>
      </c>
      <c r="R102" s="172" t="e">
        <f t="shared" ca="1" si="110"/>
        <v>#DIV/0!</v>
      </c>
      <c r="S102" s="77" t="e">
        <f ca="1">IF(F$16=1,_xll.xCalcSkew($A102,T102-BH102,b)/100,0)</f>
        <v>#DIV/0!</v>
      </c>
      <c r="T102" s="96">
        <f t="shared" ca="1" si="111"/>
        <v>2.44</v>
      </c>
      <c r="V102" s="95">
        <f t="shared" ca="1" si="112"/>
        <v>0</v>
      </c>
      <c r="W102" s="97">
        <f t="shared" ca="1" si="113"/>
        <v>2179</v>
      </c>
      <c r="X102" s="77" t="e">
        <f t="shared" ca="1" si="114"/>
        <v>#DIV/0!</v>
      </c>
      <c r="Y102" s="77" t="e">
        <f ca="1">IF(H$16=1,_xll.xCalcSkew($A102,Z102-BS102,b)/100,0)</f>
        <v>#DIV/0!</v>
      </c>
      <c r="Z102" s="96">
        <f t="shared" ca="1" si="115"/>
        <v>2.44</v>
      </c>
      <c r="AC102" s="97">
        <f t="shared" ca="1" si="144"/>
        <v>2180</v>
      </c>
      <c r="AD102" s="97">
        <f t="shared" ca="1" si="145"/>
        <v>2179</v>
      </c>
      <c r="AE102" s="77">
        <f t="shared" ca="1" si="146"/>
        <v>5.3347520933161099E-2</v>
      </c>
      <c r="AF102" s="152">
        <f t="shared" si="116"/>
        <v>31</v>
      </c>
      <c r="AI102" s="97"/>
      <c r="AJ102" s="78"/>
      <c r="AK102" s="78">
        <f t="shared" ca="1" si="117"/>
        <v>0</v>
      </c>
      <c r="AL102" s="288" t="e">
        <f t="shared" ca="1" si="147"/>
        <v>#DIV/0!</v>
      </c>
      <c r="AM102" s="75">
        <f t="shared" ca="1" si="118"/>
        <v>0</v>
      </c>
      <c r="AN102" s="100">
        <f t="shared" ca="1" si="119"/>
        <v>0</v>
      </c>
      <c r="AO102" s="99">
        <f t="shared" ca="1" si="120"/>
        <v>0</v>
      </c>
      <c r="AP102" s="99">
        <f t="shared" ca="1" si="121"/>
        <v>0</v>
      </c>
      <c r="AQ102" s="99">
        <f t="shared" ca="1" si="122"/>
        <v>0</v>
      </c>
      <c r="AR102" s="101">
        <f t="shared" ca="1" si="148"/>
        <v>0</v>
      </c>
      <c r="AS102" s="101">
        <f t="shared" ca="1" si="149"/>
        <v>0</v>
      </c>
      <c r="AT102" s="101">
        <f t="shared" ca="1" si="150"/>
        <v>0</v>
      </c>
      <c r="AV102" s="78">
        <f t="shared" ca="1" si="123"/>
        <v>0</v>
      </c>
      <c r="AW102" s="288" t="e">
        <f t="shared" ca="1" si="151"/>
        <v>#DIV/0!</v>
      </c>
      <c r="AX102" s="75">
        <f t="shared" ca="1" si="124"/>
        <v>0</v>
      </c>
      <c r="AY102" s="100">
        <f t="shared" ca="1" si="125"/>
        <v>0</v>
      </c>
      <c r="AZ102" s="99">
        <f t="shared" ca="1" si="126"/>
        <v>0</v>
      </c>
      <c r="BA102" s="99">
        <f t="shared" ca="1" si="127"/>
        <v>0</v>
      </c>
      <c r="BB102" s="99">
        <f t="shared" ca="1" si="128"/>
        <v>0</v>
      </c>
      <c r="BC102" s="101">
        <f t="shared" ca="1" si="152"/>
        <v>0</v>
      </c>
      <c r="BD102" s="101">
        <f t="shared" ca="1" si="153"/>
        <v>0</v>
      </c>
      <c r="BE102" s="101">
        <f t="shared" ca="1" si="154"/>
        <v>0</v>
      </c>
      <c r="BG102" s="78">
        <f t="shared" ca="1" si="129"/>
        <v>0</v>
      </c>
      <c r="BH102" s="288" t="e">
        <f t="shared" ca="1" si="155"/>
        <v>#DIV/0!</v>
      </c>
      <c r="BI102" s="75">
        <f t="shared" ca="1" si="130"/>
        <v>0</v>
      </c>
      <c r="BJ102" s="100">
        <f t="shared" ca="1" si="131"/>
        <v>0</v>
      </c>
      <c r="BK102" s="99">
        <f t="shared" ca="1" si="132"/>
        <v>0</v>
      </c>
      <c r="BL102" s="99">
        <f t="shared" ca="1" si="133"/>
        <v>0</v>
      </c>
      <c r="BM102" s="99">
        <f t="shared" ca="1" si="134"/>
        <v>0</v>
      </c>
      <c r="BN102" s="101">
        <f t="shared" ca="1" si="156"/>
        <v>0</v>
      </c>
      <c r="BO102" s="101">
        <f t="shared" ca="1" si="157"/>
        <v>0</v>
      </c>
      <c r="BP102" s="101">
        <f t="shared" ca="1" si="158"/>
        <v>0</v>
      </c>
      <c r="BR102" s="78">
        <f t="shared" ca="1" si="135"/>
        <v>0</v>
      </c>
      <c r="BS102" s="288" t="e">
        <f t="shared" ca="1" si="159"/>
        <v>#DIV/0!</v>
      </c>
      <c r="BT102" s="75">
        <f t="shared" ca="1" si="136"/>
        <v>0</v>
      </c>
      <c r="BU102" s="100">
        <f t="shared" ca="1" si="137"/>
        <v>0</v>
      </c>
      <c r="BV102" s="99">
        <f t="shared" ca="1" si="138"/>
        <v>0</v>
      </c>
      <c r="BW102" s="99">
        <f t="shared" ca="1" si="139"/>
        <v>0</v>
      </c>
      <c r="BX102" s="99">
        <f t="shared" ca="1" si="140"/>
        <v>0</v>
      </c>
      <c r="BY102" s="101">
        <f t="shared" ca="1" si="160"/>
        <v>0</v>
      </c>
      <c r="BZ102" s="101">
        <f t="shared" ca="1" si="161"/>
        <v>0</v>
      </c>
      <c r="CA102" s="101">
        <f t="shared" ca="1" si="162"/>
        <v>0</v>
      </c>
    </row>
    <row r="103" spans="1:79" x14ac:dyDescent="0.25">
      <c r="A103" s="94">
        <f t="shared" si="141"/>
        <v>39479</v>
      </c>
      <c r="B103" s="95">
        <f t="shared" ca="1" si="142"/>
        <v>3.5009999999999994</v>
      </c>
      <c r="C103" s="77">
        <f t="shared" ca="1" si="143"/>
        <v>5.6353765031531569E-2</v>
      </c>
      <c r="D103" s="95">
        <f t="shared" ca="1" si="100"/>
        <v>0</v>
      </c>
      <c r="E103" s="97">
        <f t="shared" ca="1" si="101"/>
        <v>2212</v>
      </c>
      <c r="F103" s="77" t="e">
        <f t="shared" ca="1" si="102"/>
        <v>#DIV/0!</v>
      </c>
      <c r="G103" s="77" t="e">
        <f ca="1">IF(B$16=1,_xll.xCalcSkew(A103,H103-AL103,b)/100,0)</f>
        <v>#DIV/0!</v>
      </c>
      <c r="H103" s="96">
        <f t="shared" ca="1" si="103"/>
        <v>2.44</v>
      </c>
      <c r="J103" s="95">
        <f t="shared" ca="1" si="104"/>
        <v>0</v>
      </c>
      <c r="K103" s="97">
        <f t="shared" ca="1" si="105"/>
        <v>2212</v>
      </c>
      <c r="L103" s="172" t="e">
        <f t="shared" ca="1" si="106"/>
        <v>#DIV/0!</v>
      </c>
      <c r="M103" s="77" t="e">
        <f ca="1">IF(D$16=1,_xll.xCalcSkew($A103,N103-AW103,b)/100,0)</f>
        <v>#DIV/0!</v>
      </c>
      <c r="N103" s="96">
        <f t="shared" ca="1" si="107"/>
        <v>2.44</v>
      </c>
      <c r="P103" s="95">
        <f t="shared" ca="1" si="108"/>
        <v>0</v>
      </c>
      <c r="Q103" s="97">
        <f t="shared" ca="1" si="109"/>
        <v>2212</v>
      </c>
      <c r="R103" s="172" t="e">
        <f t="shared" ca="1" si="110"/>
        <v>#DIV/0!</v>
      </c>
      <c r="S103" s="77" t="e">
        <f ca="1">IF(F$16=1,_xll.xCalcSkew($A103,T103-BH103,b)/100,0)</f>
        <v>#DIV/0!</v>
      </c>
      <c r="T103" s="96">
        <f t="shared" ca="1" si="111"/>
        <v>2.44</v>
      </c>
      <c r="V103" s="95">
        <f t="shared" ca="1" si="112"/>
        <v>0</v>
      </c>
      <c r="W103" s="97">
        <f t="shared" ca="1" si="113"/>
        <v>2212</v>
      </c>
      <c r="X103" s="77" t="e">
        <f t="shared" ca="1" si="114"/>
        <v>#DIV/0!</v>
      </c>
      <c r="Y103" s="77" t="e">
        <f ca="1">IF(H$16=1,_xll.xCalcSkew($A103,Z103-BS103,b)/100,0)</f>
        <v>#DIV/0!</v>
      </c>
      <c r="Z103" s="96">
        <f t="shared" ca="1" si="115"/>
        <v>2.44</v>
      </c>
      <c r="AC103" s="97">
        <f t="shared" ca="1" si="144"/>
        <v>2213</v>
      </c>
      <c r="AD103" s="97">
        <f t="shared" ca="1" si="145"/>
        <v>2212</v>
      </c>
      <c r="AE103" s="77">
        <f t="shared" ca="1" si="146"/>
        <v>5.3529034657364701E-2</v>
      </c>
      <c r="AF103" s="152">
        <f t="shared" si="116"/>
        <v>29</v>
      </c>
      <c r="AI103" s="97"/>
      <c r="AJ103" s="78"/>
      <c r="AK103" s="78">
        <f t="shared" ca="1" si="117"/>
        <v>0</v>
      </c>
      <c r="AL103" s="288" t="e">
        <f t="shared" ca="1" si="147"/>
        <v>#DIV/0!</v>
      </c>
      <c r="AM103" s="75">
        <f t="shared" ca="1" si="118"/>
        <v>0</v>
      </c>
      <c r="AN103" s="100">
        <f t="shared" ca="1" si="119"/>
        <v>0</v>
      </c>
      <c r="AO103" s="99">
        <f t="shared" ca="1" si="120"/>
        <v>0</v>
      </c>
      <c r="AP103" s="99">
        <f t="shared" ca="1" si="121"/>
        <v>0</v>
      </c>
      <c r="AQ103" s="99">
        <f t="shared" ca="1" si="122"/>
        <v>0</v>
      </c>
      <c r="AR103" s="101">
        <f t="shared" ca="1" si="148"/>
        <v>0</v>
      </c>
      <c r="AS103" s="101">
        <f t="shared" ca="1" si="149"/>
        <v>0</v>
      </c>
      <c r="AT103" s="101">
        <f t="shared" ca="1" si="150"/>
        <v>0</v>
      </c>
      <c r="AV103" s="78">
        <f t="shared" ca="1" si="123"/>
        <v>0</v>
      </c>
      <c r="AW103" s="288" t="e">
        <f t="shared" ca="1" si="151"/>
        <v>#DIV/0!</v>
      </c>
      <c r="AX103" s="75">
        <f t="shared" ca="1" si="124"/>
        <v>0</v>
      </c>
      <c r="AY103" s="100">
        <f t="shared" ca="1" si="125"/>
        <v>0</v>
      </c>
      <c r="AZ103" s="99">
        <f t="shared" ca="1" si="126"/>
        <v>0</v>
      </c>
      <c r="BA103" s="99">
        <f t="shared" ca="1" si="127"/>
        <v>0</v>
      </c>
      <c r="BB103" s="99">
        <f t="shared" ca="1" si="128"/>
        <v>0</v>
      </c>
      <c r="BC103" s="101">
        <f t="shared" ca="1" si="152"/>
        <v>0</v>
      </c>
      <c r="BD103" s="101">
        <f t="shared" ca="1" si="153"/>
        <v>0</v>
      </c>
      <c r="BE103" s="101">
        <f t="shared" ca="1" si="154"/>
        <v>0</v>
      </c>
      <c r="BG103" s="78">
        <f t="shared" ca="1" si="129"/>
        <v>0</v>
      </c>
      <c r="BH103" s="288" t="e">
        <f t="shared" ca="1" si="155"/>
        <v>#DIV/0!</v>
      </c>
      <c r="BI103" s="75">
        <f t="shared" ca="1" si="130"/>
        <v>0</v>
      </c>
      <c r="BJ103" s="100">
        <f t="shared" ca="1" si="131"/>
        <v>0</v>
      </c>
      <c r="BK103" s="99">
        <f t="shared" ca="1" si="132"/>
        <v>0</v>
      </c>
      <c r="BL103" s="99">
        <f t="shared" ca="1" si="133"/>
        <v>0</v>
      </c>
      <c r="BM103" s="99">
        <f t="shared" ca="1" si="134"/>
        <v>0</v>
      </c>
      <c r="BN103" s="101">
        <f t="shared" ca="1" si="156"/>
        <v>0</v>
      </c>
      <c r="BO103" s="101">
        <f t="shared" ca="1" si="157"/>
        <v>0</v>
      </c>
      <c r="BP103" s="101">
        <f t="shared" ca="1" si="158"/>
        <v>0</v>
      </c>
      <c r="BR103" s="78">
        <f t="shared" ca="1" si="135"/>
        <v>0</v>
      </c>
      <c r="BS103" s="288" t="e">
        <f t="shared" ca="1" si="159"/>
        <v>#DIV/0!</v>
      </c>
      <c r="BT103" s="75">
        <f t="shared" ca="1" si="136"/>
        <v>0</v>
      </c>
      <c r="BU103" s="100">
        <f t="shared" ca="1" si="137"/>
        <v>0</v>
      </c>
      <c r="BV103" s="99">
        <f t="shared" ca="1" si="138"/>
        <v>0</v>
      </c>
      <c r="BW103" s="99">
        <f t="shared" ca="1" si="139"/>
        <v>0</v>
      </c>
      <c r="BX103" s="99">
        <f t="shared" ca="1" si="140"/>
        <v>0</v>
      </c>
      <c r="BY103" s="101">
        <f t="shared" ca="1" si="160"/>
        <v>0</v>
      </c>
      <c r="BZ103" s="101">
        <f t="shared" ca="1" si="161"/>
        <v>0</v>
      </c>
      <c r="CA103" s="101">
        <f t="shared" ca="1" si="162"/>
        <v>0</v>
      </c>
    </row>
    <row r="104" spans="1:79" x14ac:dyDescent="0.25">
      <c r="A104" s="94">
        <f t="shared" si="141"/>
        <v>39508</v>
      </c>
      <c r="B104" s="95">
        <f t="shared" ca="1" si="142"/>
        <v>3.4499999999999993</v>
      </c>
      <c r="C104" s="77">
        <f t="shared" ca="1" si="143"/>
        <v>5.71230568336717E-2</v>
      </c>
      <c r="D104" s="95">
        <f t="shared" ca="1" si="100"/>
        <v>0</v>
      </c>
      <c r="E104" s="97">
        <f t="shared" ca="1" si="101"/>
        <v>2241</v>
      </c>
      <c r="F104" s="77" t="e">
        <f t="shared" ca="1" si="102"/>
        <v>#DIV/0!</v>
      </c>
      <c r="G104" s="77" t="e">
        <f ca="1">IF(B$16=1,_xll.xCalcSkew(A104,H104-AL104,b)/100,0)</f>
        <v>#DIV/0!</v>
      </c>
      <c r="H104" s="96">
        <f t="shared" ca="1" si="103"/>
        <v>2.44</v>
      </c>
      <c r="J104" s="95">
        <f t="shared" ca="1" si="104"/>
        <v>0</v>
      </c>
      <c r="K104" s="97">
        <f t="shared" ca="1" si="105"/>
        <v>2241</v>
      </c>
      <c r="L104" s="172" t="e">
        <f t="shared" ca="1" si="106"/>
        <v>#DIV/0!</v>
      </c>
      <c r="M104" s="77" t="e">
        <f ca="1">IF(D$16=1,_xll.xCalcSkew($A104,N104-AW104,b)/100,0)</f>
        <v>#DIV/0!</v>
      </c>
      <c r="N104" s="96">
        <f t="shared" ca="1" si="107"/>
        <v>2.44</v>
      </c>
      <c r="P104" s="95">
        <f t="shared" ca="1" si="108"/>
        <v>0</v>
      </c>
      <c r="Q104" s="97">
        <f t="shared" ca="1" si="109"/>
        <v>2241</v>
      </c>
      <c r="R104" s="172" t="e">
        <f t="shared" ca="1" si="110"/>
        <v>#DIV/0!</v>
      </c>
      <c r="S104" s="77" t="e">
        <f ca="1">IF(F$16=1,_xll.xCalcSkew($A104,T104-BH104,b)/100,0)</f>
        <v>#DIV/0!</v>
      </c>
      <c r="T104" s="96">
        <f t="shared" ca="1" si="111"/>
        <v>2.44</v>
      </c>
      <c r="V104" s="95">
        <f t="shared" ca="1" si="112"/>
        <v>0</v>
      </c>
      <c r="W104" s="97">
        <f t="shared" ca="1" si="113"/>
        <v>2241</v>
      </c>
      <c r="X104" s="77" t="e">
        <f t="shared" ca="1" si="114"/>
        <v>#DIV/0!</v>
      </c>
      <c r="Y104" s="77" t="e">
        <f ca="1">IF(H$16=1,_xll.xCalcSkew($A104,Z104-BS104,b)/100,0)</f>
        <v>#DIV/0!</v>
      </c>
      <c r="Z104" s="96">
        <f t="shared" ca="1" si="115"/>
        <v>2.44</v>
      </c>
      <c r="AC104" s="97">
        <f t="shared" ca="1" si="144"/>
        <v>2242</v>
      </c>
      <c r="AD104" s="97">
        <f t="shared" ca="1" si="145"/>
        <v>2241</v>
      </c>
      <c r="AE104" s="77">
        <f t="shared" ca="1" si="146"/>
        <v>5.3710548392549698E-2</v>
      </c>
      <c r="AF104" s="152">
        <f t="shared" si="116"/>
        <v>31</v>
      </c>
      <c r="AI104" s="97"/>
      <c r="AJ104" s="78"/>
      <c r="AK104" s="78">
        <f t="shared" ca="1" si="117"/>
        <v>0</v>
      </c>
      <c r="AL104" s="288" t="e">
        <f t="shared" ca="1" si="147"/>
        <v>#DIV/0!</v>
      </c>
      <c r="AM104" s="75">
        <f t="shared" ca="1" si="118"/>
        <v>0</v>
      </c>
      <c r="AN104" s="100">
        <f t="shared" ca="1" si="119"/>
        <v>0</v>
      </c>
      <c r="AO104" s="99">
        <f t="shared" ca="1" si="120"/>
        <v>0</v>
      </c>
      <c r="AP104" s="99">
        <f t="shared" ca="1" si="121"/>
        <v>0</v>
      </c>
      <c r="AQ104" s="99">
        <f t="shared" ca="1" si="122"/>
        <v>0</v>
      </c>
      <c r="AR104" s="101">
        <f t="shared" ca="1" si="148"/>
        <v>0</v>
      </c>
      <c r="AS104" s="101">
        <f t="shared" ca="1" si="149"/>
        <v>0</v>
      </c>
      <c r="AT104" s="101">
        <f t="shared" ca="1" si="150"/>
        <v>0</v>
      </c>
      <c r="AV104" s="78">
        <f t="shared" ca="1" si="123"/>
        <v>0</v>
      </c>
      <c r="AW104" s="288" t="e">
        <f t="shared" ca="1" si="151"/>
        <v>#DIV/0!</v>
      </c>
      <c r="AX104" s="75">
        <f t="shared" ca="1" si="124"/>
        <v>0</v>
      </c>
      <c r="AY104" s="100">
        <f t="shared" ca="1" si="125"/>
        <v>0</v>
      </c>
      <c r="AZ104" s="99">
        <f t="shared" ca="1" si="126"/>
        <v>0</v>
      </c>
      <c r="BA104" s="99">
        <f t="shared" ca="1" si="127"/>
        <v>0</v>
      </c>
      <c r="BB104" s="99">
        <f t="shared" ca="1" si="128"/>
        <v>0</v>
      </c>
      <c r="BC104" s="101">
        <f t="shared" ca="1" si="152"/>
        <v>0</v>
      </c>
      <c r="BD104" s="101">
        <f t="shared" ca="1" si="153"/>
        <v>0</v>
      </c>
      <c r="BE104" s="101">
        <f t="shared" ca="1" si="154"/>
        <v>0</v>
      </c>
      <c r="BG104" s="78">
        <f t="shared" ca="1" si="129"/>
        <v>0</v>
      </c>
      <c r="BH104" s="288" t="e">
        <f t="shared" ca="1" si="155"/>
        <v>#DIV/0!</v>
      </c>
      <c r="BI104" s="75">
        <f t="shared" ca="1" si="130"/>
        <v>0</v>
      </c>
      <c r="BJ104" s="100">
        <f t="shared" ca="1" si="131"/>
        <v>0</v>
      </c>
      <c r="BK104" s="99">
        <f t="shared" ca="1" si="132"/>
        <v>0</v>
      </c>
      <c r="BL104" s="99">
        <f t="shared" ca="1" si="133"/>
        <v>0</v>
      </c>
      <c r="BM104" s="99">
        <f t="shared" ca="1" si="134"/>
        <v>0</v>
      </c>
      <c r="BN104" s="101">
        <f t="shared" ca="1" si="156"/>
        <v>0</v>
      </c>
      <c r="BO104" s="101">
        <f t="shared" ca="1" si="157"/>
        <v>0</v>
      </c>
      <c r="BP104" s="101">
        <f t="shared" ca="1" si="158"/>
        <v>0</v>
      </c>
      <c r="BR104" s="78">
        <f t="shared" ca="1" si="135"/>
        <v>0</v>
      </c>
      <c r="BS104" s="288" t="e">
        <f t="shared" ca="1" si="159"/>
        <v>#DIV/0!</v>
      </c>
      <c r="BT104" s="75">
        <f t="shared" ca="1" si="136"/>
        <v>0</v>
      </c>
      <c r="BU104" s="100">
        <f t="shared" ca="1" si="137"/>
        <v>0</v>
      </c>
      <c r="BV104" s="99">
        <f t="shared" ca="1" si="138"/>
        <v>0</v>
      </c>
      <c r="BW104" s="99">
        <f t="shared" ca="1" si="139"/>
        <v>0</v>
      </c>
      <c r="BX104" s="99">
        <f t="shared" ca="1" si="140"/>
        <v>0</v>
      </c>
      <c r="BY104" s="101">
        <f t="shared" ca="1" si="160"/>
        <v>0</v>
      </c>
      <c r="BZ104" s="101">
        <f t="shared" ca="1" si="161"/>
        <v>0</v>
      </c>
      <c r="CA104" s="101">
        <f t="shared" ca="1" si="162"/>
        <v>0</v>
      </c>
    </row>
    <row r="105" spans="1:79" x14ac:dyDescent="0.25">
      <c r="A105" s="94">
        <f t="shared" si="141"/>
        <v>39539</v>
      </c>
      <c r="B105" s="95">
        <f t="shared" ca="1" si="142"/>
        <v>3.2309999999999994</v>
      </c>
      <c r="C105" s="77">
        <f t="shared" ca="1" si="143"/>
        <v>6.0937536702537209E-2</v>
      </c>
      <c r="D105" s="95">
        <f t="shared" ca="1" si="100"/>
        <v>0</v>
      </c>
      <c r="E105" s="97">
        <f t="shared" ca="1" si="101"/>
        <v>2270</v>
      </c>
      <c r="F105" s="77" t="e">
        <f t="shared" ca="1" si="102"/>
        <v>#DIV/0!</v>
      </c>
      <c r="G105" s="77" t="e">
        <f ca="1">IF(B$16=1,_xll.xCalcSkew(A105,H105-AL105,b)/100,0)</f>
        <v>#DIV/0!</v>
      </c>
      <c r="H105" s="96">
        <f t="shared" ca="1" si="103"/>
        <v>2.44</v>
      </c>
      <c r="J105" s="95">
        <f t="shared" ca="1" si="104"/>
        <v>0</v>
      </c>
      <c r="K105" s="97">
        <f t="shared" ca="1" si="105"/>
        <v>2270</v>
      </c>
      <c r="L105" s="172" t="e">
        <f t="shared" ca="1" si="106"/>
        <v>#DIV/0!</v>
      </c>
      <c r="M105" s="77" t="e">
        <f ca="1">IF(D$16=1,_xll.xCalcSkew($A105,N105-AW105,b)/100,0)</f>
        <v>#DIV/0!</v>
      </c>
      <c r="N105" s="96">
        <f t="shared" ca="1" si="107"/>
        <v>2.44</v>
      </c>
      <c r="P105" s="95">
        <f t="shared" ca="1" si="108"/>
        <v>0</v>
      </c>
      <c r="Q105" s="97">
        <f t="shared" ca="1" si="109"/>
        <v>2270</v>
      </c>
      <c r="R105" s="172" t="e">
        <f t="shared" ca="1" si="110"/>
        <v>#DIV/0!</v>
      </c>
      <c r="S105" s="77" t="e">
        <f ca="1">IF(F$16=1,_xll.xCalcSkew($A105,T105-BH105,b)/100,0)</f>
        <v>#DIV/0!</v>
      </c>
      <c r="T105" s="96">
        <f t="shared" ca="1" si="111"/>
        <v>2.44</v>
      </c>
      <c r="V105" s="95">
        <f t="shared" ca="1" si="112"/>
        <v>0</v>
      </c>
      <c r="W105" s="97">
        <f t="shared" ca="1" si="113"/>
        <v>2270</v>
      </c>
      <c r="X105" s="77" t="e">
        <f t="shared" ca="1" si="114"/>
        <v>#DIV/0!</v>
      </c>
      <c r="Y105" s="77" t="e">
        <f ca="1">IF(H$16=1,_xll.xCalcSkew($A105,Z105-BS105,b)/100,0)</f>
        <v>#DIV/0!</v>
      </c>
      <c r="Z105" s="96">
        <f t="shared" ca="1" si="115"/>
        <v>2.44</v>
      </c>
      <c r="AC105" s="97">
        <f t="shared" ca="1" si="144"/>
        <v>2271</v>
      </c>
      <c r="AD105" s="97">
        <f t="shared" ca="1" si="145"/>
        <v>2270</v>
      </c>
      <c r="AE105" s="77">
        <f t="shared" ca="1" si="146"/>
        <v>5.3880351574115498E-2</v>
      </c>
      <c r="AF105" s="152">
        <f t="shared" si="116"/>
        <v>30</v>
      </c>
      <c r="AI105" s="97"/>
      <c r="AJ105" s="78"/>
      <c r="AK105" s="78">
        <f t="shared" ca="1" si="117"/>
        <v>0</v>
      </c>
      <c r="AL105" s="288" t="e">
        <f t="shared" ca="1" si="147"/>
        <v>#DIV/0!</v>
      </c>
      <c r="AM105" s="75">
        <f t="shared" ca="1" si="118"/>
        <v>0</v>
      </c>
      <c r="AN105" s="100">
        <f t="shared" ca="1" si="119"/>
        <v>0</v>
      </c>
      <c r="AO105" s="99">
        <f t="shared" ca="1" si="120"/>
        <v>0</v>
      </c>
      <c r="AP105" s="99">
        <f t="shared" ca="1" si="121"/>
        <v>0</v>
      </c>
      <c r="AQ105" s="99">
        <f t="shared" ca="1" si="122"/>
        <v>0</v>
      </c>
      <c r="AR105" s="101">
        <f t="shared" ca="1" si="148"/>
        <v>0</v>
      </c>
      <c r="AS105" s="101">
        <f t="shared" ca="1" si="149"/>
        <v>0</v>
      </c>
      <c r="AT105" s="101">
        <f t="shared" ca="1" si="150"/>
        <v>0</v>
      </c>
      <c r="AV105" s="78">
        <f t="shared" ca="1" si="123"/>
        <v>0</v>
      </c>
      <c r="AW105" s="288" t="e">
        <f t="shared" ca="1" si="151"/>
        <v>#DIV/0!</v>
      </c>
      <c r="AX105" s="75">
        <f t="shared" ca="1" si="124"/>
        <v>0</v>
      </c>
      <c r="AY105" s="100">
        <f t="shared" ca="1" si="125"/>
        <v>0</v>
      </c>
      <c r="AZ105" s="99">
        <f t="shared" ca="1" si="126"/>
        <v>0</v>
      </c>
      <c r="BA105" s="99">
        <f t="shared" ca="1" si="127"/>
        <v>0</v>
      </c>
      <c r="BB105" s="99">
        <f t="shared" ca="1" si="128"/>
        <v>0</v>
      </c>
      <c r="BC105" s="101">
        <f t="shared" ca="1" si="152"/>
        <v>0</v>
      </c>
      <c r="BD105" s="101">
        <f t="shared" ca="1" si="153"/>
        <v>0</v>
      </c>
      <c r="BE105" s="101">
        <f t="shared" ca="1" si="154"/>
        <v>0</v>
      </c>
      <c r="BG105" s="78">
        <f t="shared" ca="1" si="129"/>
        <v>0</v>
      </c>
      <c r="BH105" s="288" t="e">
        <f t="shared" ca="1" si="155"/>
        <v>#DIV/0!</v>
      </c>
      <c r="BI105" s="75">
        <f t="shared" ca="1" si="130"/>
        <v>0</v>
      </c>
      <c r="BJ105" s="100">
        <f t="shared" ca="1" si="131"/>
        <v>0</v>
      </c>
      <c r="BK105" s="99">
        <f t="shared" ca="1" si="132"/>
        <v>0</v>
      </c>
      <c r="BL105" s="99">
        <f t="shared" ca="1" si="133"/>
        <v>0</v>
      </c>
      <c r="BM105" s="99">
        <f t="shared" ca="1" si="134"/>
        <v>0</v>
      </c>
      <c r="BN105" s="101">
        <f t="shared" ca="1" si="156"/>
        <v>0</v>
      </c>
      <c r="BO105" s="101">
        <f t="shared" ca="1" si="157"/>
        <v>0</v>
      </c>
      <c r="BP105" s="101">
        <f t="shared" ca="1" si="158"/>
        <v>0</v>
      </c>
      <c r="BR105" s="78">
        <f t="shared" ca="1" si="135"/>
        <v>0</v>
      </c>
      <c r="BS105" s="288" t="e">
        <f t="shared" ca="1" si="159"/>
        <v>#DIV/0!</v>
      </c>
      <c r="BT105" s="75">
        <f t="shared" ca="1" si="136"/>
        <v>0</v>
      </c>
      <c r="BU105" s="100">
        <f t="shared" ca="1" si="137"/>
        <v>0</v>
      </c>
      <c r="BV105" s="99">
        <f t="shared" ca="1" si="138"/>
        <v>0</v>
      </c>
      <c r="BW105" s="99">
        <f t="shared" ca="1" si="139"/>
        <v>0</v>
      </c>
      <c r="BX105" s="99">
        <f t="shared" ca="1" si="140"/>
        <v>0</v>
      </c>
      <c r="BY105" s="101">
        <f t="shared" ca="1" si="160"/>
        <v>0</v>
      </c>
      <c r="BZ105" s="101">
        <f t="shared" ca="1" si="161"/>
        <v>0</v>
      </c>
      <c r="CA105" s="101">
        <f t="shared" ca="1" si="162"/>
        <v>0</v>
      </c>
    </row>
    <row r="106" spans="1:79" x14ac:dyDescent="0.25">
      <c r="A106" s="94">
        <f t="shared" si="141"/>
        <v>39569</v>
      </c>
      <c r="B106" s="95">
        <f t="shared" ca="1" si="142"/>
        <v>3.2339999999999991</v>
      </c>
      <c r="C106" s="77">
        <f t="shared" ca="1" si="143"/>
        <v>6.0822115996383493E-2</v>
      </c>
      <c r="D106" s="95">
        <f t="shared" ca="1" si="100"/>
        <v>0</v>
      </c>
      <c r="E106" s="97">
        <f t="shared" ca="1" si="101"/>
        <v>2300</v>
      </c>
      <c r="F106" s="77" t="e">
        <f t="shared" ca="1" si="102"/>
        <v>#DIV/0!</v>
      </c>
      <c r="G106" s="77" t="e">
        <f ca="1">IF(B$16=1,_xll.xCalcSkew(A106,H106-AL106,b)/100,0)</f>
        <v>#DIV/0!</v>
      </c>
      <c r="H106" s="96">
        <f t="shared" ca="1" si="103"/>
        <v>2.44</v>
      </c>
      <c r="J106" s="95">
        <f t="shared" ca="1" si="104"/>
        <v>0</v>
      </c>
      <c r="K106" s="97">
        <f t="shared" ca="1" si="105"/>
        <v>2300</v>
      </c>
      <c r="L106" s="172" t="e">
        <f t="shared" ca="1" si="106"/>
        <v>#DIV/0!</v>
      </c>
      <c r="M106" s="77" t="e">
        <f ca="1">IF(D$16=1,_xll.xCalcSkew($A106,N106-AW106,b)/100,0)</f>
        <v>#DIV/0!</v>
      </c>
      <c r="N106" s="96">
        <f t="shared" ca="1" si="107"/>
        <v>2.44</v>
      </c>
      <c r="P106" s="95">
        <f t="shared" ca="1" si="108"/>
        <v>0</v>
      </c>
      <c r="Q106" s="97">
        <f t="shared" ca="1" si="109"/>
        <v>2300</v>
      </c>
      <c r="R106" s="172" t="e">
        <f t="shared" ca="1" si="110"/>
        <v>#DIV/0!</v>
      </c>
      <c r="S106" s="77" t="e">
        <f ca="1">IF(F$16=1,_xll.xCalcSkew($A106,T106-BH106,b)/100,0)</f>
        <v>#DIV/0!</v>
      </c>
      <c r="T106" s="96">
        <f t="shared" ca="1" si="111"/>
        <v>2.44</v>
      </c>
      <c r="V106" s="95">
        <f t="shared" ca="1" si="112"/>
        <v>0</v>
      </c>
      <c r="W106" s="97">
        <f t="shared" ca="1" si="113"/>
        <v>2300</v>
      </c>
      <c r="X106" s="77" t="e">
        <f t="shared" ca="1" si="114"/>
        <v>#DIV/0!</v>
      </c>
      <c r="Y106" s="77" t="e">
        <f ca="1">IF(H$16=1,_xll.xCalcSkew($A106,Z106-BS106,b)/100,0)</f>
        <v>#DIV/0!</v>
      </c>
      <c r="Z106" s="96">
        <f t="shared" ca="1" si="115"/>
        <v>2.44</v>
      </c>
      <c r="AC106" s="97">
        <f t="shared" ca="1" si="144"/>
        <v>2303</v>
      </c>
      <c r="AD106" s="97">
        <f t="shared" ca="1" si="145"/>
        <v>2300</v>
      </c>
      <c r="AE106" s="77">
        <f t="shared" ca="1" si="146"/>
        <v>5.4061865330552898E-2</v>
      </c>
      <c r="AF106" s="152">
        <f t="shared" si="116"/>
        <v>31</v>
      </c>
      <c r="AI106" s="97"/>
      <c r="AJ106" s="78"/>
      <c r="AK106" s="78">
        <f t="shared" ca="1" si="117"/>
        <v>0</v>
      </c>
      <c r="AL106" s="288" t="e">
        <f t="shared" ca="1" si="147"/>
        <v>#DIV/0!</v>
      </c>
      <c r="AM106" s="75">
        <f t="shared" ca="1" si="118"/>
        <v>0</v>
      </c>
      <c r="AN106" s="100">
        <f t="shared" ca="1" si="119"/>
        <v>0</v>
      </c>
      <c r="AO106" s="99">
        <f t="shared" ca="1" si="120"/>
        <v>0</v>
      </c>
      <c r="AP106" s="99">
        <f t="shared" ca="1" si="121"/>
        <v>0</v>
      </c>
      <c r="AQ106" s="99">
        <f t="shared" ca="1" si="122"/>
        <v>0</v>
      </c>
      <c r="AR106" s="101">
        <f t="shared" ca="1" si="148"/>
        <v>0</v>
      </c>
      <c r="AS106" s="101">
        <f t="shared" ca="1" si="149"/>
        <v>0</v>
      </c>
      <c r="AT106" s="101">
        <f t="shared" ca="1" si="150"/>
        <v>0</v>
      </c>
      <c r="AV106" s="78">
        <f t="shared" ca="1" si="123"/>
        <v>0</v>
      </c>
      <c r="AW106" s="288" t="e">
        <f t="shared" ca="1" si="151"/>
        <v>#DIV/0!</v>
      </c>
      <c r="AX106" s="75">
        <f t="shared" ca="1" si="124"/>
        <v>0</v>
      </c>
      <c r="AY106" s="100">
        <f t="shared" ca="1" si="125"/>
        <v>0</v>
      </c>
      <c r="AZ106" s="99">
        <f t="shared" ca="1" si="126"/>
        <v>0</v>
      </c>
      <c r="BA106" s="99">
        <f t="shared" ca="1" si="127"/>
        <v>0</v>
      </c>
      <c r="BB106" s="99">
        <f t="shared" ca="1" si="128"/>
        <v>0</v>
      </c>
      <c r="BC106" s="101">
        <f t="shared" ca="1" si="152"/>
        <v>0</v>
      </c>
      <c r="BD106" s="101">
        <f t="shared" ca="1" si="153"/>
        <v>0</v>
      </c>
      <c r="BE106" s="101">
        <f t="shared" ca="1" si="154"/>
        <v>0</v>
      </c>
      <c r="BG106" s="78">
        <f t="shared" ca="1" si="129"/>
        <v>0</v>
      </c>
      <c r="BH106" s="288" t="e">
        <f t="shared" ca="1" si="155"/>
        <v>#DIV/0!</v>
      </c>
      <c r="BI106" s="75">
        <f t="shared" ca="1" si="130"/>
        <v>0</v>
      </c>
      <c r="BJ106" s="100">
        <f t="shared" ca="1" si="131"/>
        <v>0</v>
      </c>
      <c r="BK106" s="99">
        <f t="shared" ca="1" si="132"/>
        <v>0</v>
      </c>
      <c r="BL106" s="99">
        <f t="shared" ca="1" si="133"/>
        <v>0</v>
      </c>
      <c r="BM106" s="99">
        <f t="shared" ca="1" si="134"/>
        <v>0</v>
      </c>
      <c r="BN106" s="101">
        <f t="shared" ca="1" si="156"/>
        <v>0</v>
      </c>
      <c r="BO106" s="101">
        <f t="shared" ca="1" si="157"/>
        <v>0</v>
      </c>
      <c r="BP106" s="101">
        <f t="shared" ca="1" si="158"/>
        <v>0</v>
      </c>
      <c r="BR106" s="78">
        <f t="shared" ca="1" si="135"/>
        <v>0</v>
      </c>
      <c r="BS106" s="288" t="e">
        <f t="shared" ca="1" si="159"/>
        <v>#DIV/0!</v>
      </c>
      <c r="BT106" s="75">
        <f t="shared" ca="1" si="136"/>
        <v>0</v>
      </c>
      <c r="BU106" s="100">
        <f t="shared" ca="1" si="137"/>
        <v>0</v>
      </c>
      <c r="BV106" s="99">
        <f t="shared" ca="1" si="138"/>
        <v>0</v>
      </c>
      <c r="BW106" s="99">
        <f t="shared" ca="1" si="139"/>
        <v>0</v>
      </c>
      <c r="BX106" s="99">
        <f t="shared" ca="1" si="140"/>
        <v>0</v>
      </c>
      <c r="BY106" s="101">
        <f t="shared" ca="1" si="160"/>
        <v>0</v>
      </c>
      <c r="BZ106" s="101">
        <f t="shared" ca="1" si="161"/>
        <v>0</v>
      </c>
      <c r="CA106" s="101">
        <f t="shared" ca="1" si="162"/>
        <v>0</v>
      </c>
    </row>
    <row r="107" spans="1:79" x14ac:dyDescent="0.25">
      <c r="A107" s="94">
        <f t="shared" si="141"/>
        <v>39600</v>
      </c>
      <c r="B107" s="95">
        <f t="shared" ca="1" si="142"/>
        <v>3.2739999999999991</v>
      </c>
      <c r="C107" s="77">
        <f t="shared" ca="1" si="143"/>
        <v>6.0014885855790803E-2</v>
      </c>
      <c r="D107" s="95">
        <f t="shared" ca="1" si="100"/>
        <v>0</v>
      </c>
      <c r="E107" s="97">
        <f t="shared" ca="1" si="101"/>
        <v>2332</v>
      </c>
      <c r="F107" s="77" t="e">
        <f t="shared" ca="1" si="102"/>
        <v>#DIV/0!</v>
      </c>
      <c r="G107" s="77" t="e">
        <f ca="1">IF(B$16=1,_xll.xCalcSkew(A107,H107-AL107,b)/100,0)</f>
        <v>#DIV/0!</v>
      </c>
      <c r="H107" s="96">
        <f t="shared" ca="1" si="103"/>
        <v>2.44</v>
      </c>
      <c r="J107" s="95">
        <f t="shared" ca="1" si="104"/>
        <v>0</v>
      </c>
      <c r="K107" s="97">
        <f t="shared" ca="1" si="105"/>
        <v>2332</v>
      </c>
      <c r="L107" s="172" t="e">
        <f t="shared" ca="1" si="106"/>
        <v>#DIV/0!</v>
      </c>
      <c r="M107" s="77" t="e">
        <f ca="1">IF(D$16=1,_xll.xCalcSkew($A107,N107-AW107,b)/100,0)</f>
        <v>#DIV/0!</v>
      </c>
      <c r="N107" s="96">
        <f t="shared" ca="1" si="107"/>
        <v>2.44</v>
      </c>
      <c r="P107" s="95">
        <f t="shared" ca="1" si="108"/>
        <v>0</v>
      </c>
      <c r="Q107" s="97">
        <f t="shared" ca="1" si="109"/>
        <v>2332</v>
      </c>
      <c r="R107" s="172" t="e">
        <f t="shared" ca="1" si="110"/>
        <v>#DIV/0!</v>
      </c>
      <c r="S107" s="77" t="e">
        <f ca="1">IF(F$16=1,_xll.xCalcSkew($A107,T107-BH107,b)/100,0)</f>
        <v>#DIV/0!</v>
      </c>
      <c r="T107" s="96">
        <f t="shared" ca="1" si="111"/>
        <v>2.44</v>
      </c>
      <c r="V107" s="95">
        <f t="shared" ca="1" si="112"/>
        <v>0</v>
      </c>
      <c r="W107" s="97">
        <f t="shared" ca="1" si="113"/>
        <v>2332</v>
      </c>
      <c r="X107" s="77" t="e">
        <f t="shared" ca="1" si="114"/>
        <v>#DIV/0!</v>
      </c>
      <c r="Y107" s="77" t="e">
        <f ca="1">IF(H$16=1,_xll.xCalcSkew($A107,Z107-BS107,b)/100,0)</f>
        <v>#DIV/0!</v>
      </c>
      <c r="Z107" s="96">
        <f t="shared" ca="1" si="115"/>
        <v>2.44</v>
      </c>
      <c r="AC107" s="97">
        <f t="shared" ca="1" si="144"/>
        <v>2333</v>
      </c>
      <c r="AD107" s="97">
        <f t="shared" ca="1" si="145"/>
        <v>2332</v>
      </c>
      <c r="AE107" s="77">
        <f t="shared" ca="1" si="146"/>
        <v>5.4237523814977699E-2</v>
      </c>
      <c r="AF107" s="152">
        <f t="shared" si="116"/>
        <v>30</v>
      </c>
      <c r="AI107" s="97"/>
      <c r="AJ107" s="78"/>
      <c r="AK107" s="78">
        <f t="shared" ca="1" si="117"/>
        <v>0</v>
      </c>
      <c r="AL107" s="288" t="e">
        <f t="shared" ca="1" si="147"/>
        <v>#DIV/0!</v>
      </c>
      <c r="AM107" s="75">
        <f t="shared" ca="1" si="118"/>
        <v>0</v>
      </c>
      <c r="AN107" s="100">
        <f t="shared" ca="1" si="119"/>
        <v>0</v>
      </c>
      <c r="AO107" s="99">
        <f t="shared" ca="1" si="120"/>
        <v>0</v>
      </c>
      <c r="AP107" s="99">
        <f t="shared" ca="1" si="121"/>
        <v>0</v>
      </c>
      <c r="AQ107" s="99">
        <f t="shared" ca="1" si="122"/>
        <v>0</v>
      </c>
      <c r="AR107" s="101">
        <f t="shared" ca="1" si="148"/>
        <v>0</v>
      </c>
      <c r="AS107" s="101">
        <f t="shared" ca="1" si="149"/>
        <v>0</v>
      </c>
      <c r="AT107" s="101">
        <f t="shared" ca="1" si="150"/>
        <v>0</v>
      </c>
      <c r="AV107" s="78">
        <f t="shared" ca="1" si="123"/>
        <v>0</v>
      </c>
      <c r="AW107" s="288" t="e">
        <f t="shared" ca="1" si="151"/>
        <v>#DIV/0!</v>
      </c>
      <c r="AX107" s="75">
        <f t="shared" ca="1" si="124"/>
        <v>0</v>
      </c>
      <c r="AY107" s="100">
        <f t="shared" ca="1" si="125"/>
        <v>0</v>
      </c>
      <c r="AZ107" s="99">
        <f t="shared" ca="1" si="126"/>
        <v>0</v>
      </c>
      <c r="BA107" s="99">
        <f t="shared" ca="1" si="127"/>
        <v>0</v>
      </c>
      <c r="BB107" s="99">
        <f t="shared" ca="1" si="128"/>
        <v>0</v>
      </c>
      <c r="BC107" s="101">
        <f t="shared" ca="1" si="152"/>
        <v>0</v>
      </c>
      <c r="BD107" s="101">
        <f t="shared" ca="1" si="153"/>
        <v>0</v>
      </c>
      <c r="BE107" s="101">
        <f t="shared" ca="1" si="154"/>
        <v>0</v>
      </c>
      <c r="BG107" s="78">
        <f t="shared" ca="1" si="129"/>
        <v>0</v>
      </c>
      <c r="BH107" s="288" t="e">
        <f t="shared" ca="1" si="155"/>
        <v>#DIV/0!</v>
      </c>
      <c r="BI107" s="75">
        <f t="shared" ca="1" si="130"/>
        <v>0</v>
      </c>
      <c r="BJ107" s="100">
        <f t="shared" ca="1" si="131"/>
        <v>0</v>
      </c>
      <c r="BK107" s="99">
        <f t="shared" ca="1" si="132"/>
        <v>0</v>
      </c>
      <c r="BL107" s="99">
        <f t="shared" ca="1" si="133"/>
        <v>0</v>
      </c>
      <c r="BM107" s="99">
        <f t="shared" ca="1" si="134"/>
        <v>0</v>
      </c>
      <c r="BN107" s="101">
        <f t="shared" ca="1" si="156"/>
        <v>0</v>
      </c>
      <c r="BO107" s="101">
        <f t="shared" ca="1" si="157"/>
        <v>0</v>
      </c>
      <c r="BP107" s="101">
        <f t="shared" ca="1" si="158"/>
        <v>0</v>
      </c>
      <c r="BR107" s="78">
        <f t="shared" ca="1" si="135"/>
        <v>0</v>
      </c>
      <c r="BS107" s="288" t="e">
        <f t="shared" ca="1" si="159"/>
        <v>#DIV/0!</v>
      </c>
      <c r="BT107" s="75">
        <f t="shared" ca="1" si="136"/>
        <v>0</v>
      </c>
      <c r="BU107" s="100">
        <f t="shared" ca="1" si="137"/>
        <v>0</v>
      </c>
      <c r="BV107" s="99">
        <f t="shared" ca="1" si="138"/>
        <v>0</v>
      </c>
      <c r="BW107" s="99">
        <f t="shared" ca="1" si="139"/>
        <v>0</v>
      </c>
      <c r="BX107" s="99">
        <f t="shared" ca="1" si="140"/>
        <v>0</v>
      </c>
      <c r="BY107" s="101">
        <f t="shared" ca="1" si="160"/>
        <v>0</v>
      </c>
      <c r="BZ107" s="101">
        <f t="shared" ca="1" si="161"/>
        <v>0</v>
      </c>
      <c r="CA107" s="101">
        <f t="shared" ca="1" si="162"/>
        <v>0</v>
      </c>
    </row>
    <row r="108" spans="1:79" x14ac:dyDescent="0.25">
      <c r="A108" s="94">
        <f t="shared" ref="A108:A149" si="163">DATE(YEAR(A107),MONTH(A107)+1,1)</f>
        <v>39630</v>
      </c>
      <c r="B108" s="95">
        <f t="shared" ca="1" si="142"/>
        <v>3.3139999999999992</v>
      </c>
      <c r="C108" s="77">
        <f t="shared" ca="1" si="143"/>
        <v>5.9247971336297597E-2</v>
      </c>
      <c r="D108" s="95">
        <f t="shared" ca="1" si="100"/>
        <v>0</v>
      </c>
      <c r="E108" s="97">
        <f t="shared" ca="1" si="101"/>
        <v>2361</v>
      </c>
      <c r="F108" s="77" t="e">
        <f t="shared" ca="1" si="102"/>
        <v>#DIV/0!</v>
      </c>
      <c r="G108" s="77" t="e">
        <f ca="1">IF(B$16=1,_xll.xCalcSkew(A108,H108-AL108,b)/100,0)</f>
        <v>#DIV/0!</v>
      </c>
      <c r="H108" s="96">
        <f t="shared" ca="1" si="103"/>
        <v>2.44</v>
      </c>
      <c r="J108" s="95">
        <f t="shared" ca="1" si="104"/>
        <v>0</v>
      </c>
      <c r="K108" s="97">
        <f t="shared" ca="1" si="105"/>
        <v>2361</v>
      </c>
      <c r="L108" s="172" t="e">
        <f t="shared" ca="1" si="106"/>
        <v>#DIV/0!</v>
      </c>
      <c r="M108" s="77" t="e">
        <f ca="1">IF(D$16=1,_xll.xCalcSkew($A108,N108-AW108,b)/100,0)</f>
        <v>#DIV/0!</v>
      </c>
      <c r="N108" s="96">
        <f t="shared" ca="1" si="107"/>
        <v>2.44</v>
      </c>
      <c r="P108" s="95">
        <f t="shared" ca="1" si="108"/>
        <v>0</v>
      </c>
      <c r="Q108" s="97">
        <f t="shared" ca="1" si="109"/>
        <v>2361</v>
      </c>
      <c r="R108" s="172" t="e">
        <f t="shared" ca="1" si="110"/>
        <v>#DIV/0!</v>
      </c>
      <c r="S108" s="77" t="e">
        <f ca="1">IF(F$16=1,_xll.xCalcSkew($A108,T108-BH108,b)/100,0)</f>
        <v>#DIV/0!</v>
      </c>
      <c r="T108" s="96">
        <f t="shared" ca="1" si="111"/>
        <v>2.44</v>
      </c>
      <c r="V108" s="95">
        <f t="shared" ca="1" si="112"/>
        <v>0</v>
      </c>
      <c r="W108" s="97">
        <f t="shared" ca="1" si="113"/>
        <v>2361</v>
      </c>
      <c r="X108" s="77" t="e">
        <f t="shared" ca="1" si="114"/>
        <v>#DIV/0!</v>
      </c>
      <c r="Y108" s="77" t="e">
        <f ca="1">IF(H$16=1,_xll.xCalcSkew($A108,Z108-BS108,b)/100,0)</f>
        <v>#DIV/0!</v>
      </c>
      <c r="Z108" s="96">
        <f t="shared" ca="1" si="115"/>
        <v>2.44</v>
      </c>
      <c r="AC108" s="97">
        <f t="shared" ca="1" si="144"/>
        <v>2362</v>
      </c>
      <c r="AD108" s="97">
        <f t="shared" ca="1" si="145"/>
        <v>2361</v>
      </c>
      <c r="AE108" s="77">
        <f t="shared" ca="1" si="146"/>
        <v>5.4419037593017403E-2</v>
      </c>
      <c r="AF108" s="152">
        <f t="shared" si="116"/>
        <v>31</v>
      </c>
      <c r="AI108" s="97"/>
      <c r="AJ108" s="78"/>
      <c r="AK108" s="78">
        <f t="shared" ca="1" si="117"/>
        <v>0</v>
      </c>
      <c r="AL108" s="288" t="e">
        <f t="shared" ref="AL108:AL149" ca="1" si="164">AN108/AK108</f>
        <v>#DIV/0!</v>
      </c>
      <c r="AM108" s="75">
        <f t="shared" ca="1" si="118"/>
        <v>0</v>
      </c>
      <c r="AN108" s="100">
        <f t="shared" ca="1" si="119"/>
        <v>0</v>
      </c>
      <c r="AO108" s="99">
        <f t="shared" ca="1" si="120"/>
        <v>0</v>
      </c>
      <c r="AP108" s="99">
        <f t="shared" ca="1" si="121"/>
        <v>0</v>
      </c>
      <c r="AQ108" s="99">
        <f t="shared" ca="1" si="122"/>
        <v>0</v>
      </c>
      <c r="AR108" s="101">
        <f t="shared" ref="AR108:AR149" ca="1" si="165">AK108*AO108</f>
        <v>0</v>
      </c>
      <c r="AS108" s="101">
        <f t="shared" ref="AS108:AS149" ca="1" si="166">AK108*AP108</f>
        <v>0</v>
      </c>
      <c r="AT108" s="101">
        <f t="shared" ref="AT108:AT149" ca="1" si="167">AK108*AQ108</f>
        <v>0</v>
      </c>
      <c r="AV108" s="78">
        <f t="shared" ca="1" si="123"/>
        <v>0</v>
      </c>
      <c r="AW108" s="288" t="e">
        <f t="shared" ref="AW108:AW149" ca="1" si="168">AY108/AV108</f>
        <v>#DIV/0!</v>
      </c>
      <c r="AX108" s="75">
        <f t="shared" ca="1" si="124"/>
        <v>0</v>
      </c>
      <c r="AY108" s="100">
        <f t="shared" ca="1" si="125"/>
        <v>0</v>
      </c>
      <c r="AZ108" s="99">
        <f t="shared" ca="1" si="126"/>
        <v>0</v>
      </c>
      <c r="BA108" s="99">
        <f t="shared" ca="1" si="127"/>
        <v>0</v>
      </c>
      <c r="BB108" s="99">
        <f t="shared" ca="1" si="128"/>
        <v>0</v>
      </c>
      <c r="BC108" s="101">
        <f t="shared" ref="BC108:BC149" ca="1" si="169">AV108*AZ108</f>
        <v>0</v>
      </c>
      <c r="BD108" s="101">
        <f t="shared" ref="BD108:BD149" ca="1" si="170">AV108*BA108</f>
        <v>0</v>
      </c>
      <c r="BE108" s="101">
        <f t="shared" ref="BE108:BE149" ca="1" si="171">AV108*BB108</f>
        <v>0</v>
      </c>
      <c r="BG108" s="78">
        <f t="shared" ca="1" si="129"/>
        <v>0</v>
      </c>
      <c r="BH108" s="288" t="e">
        <f t="shared" ref="BH108:BH149" ca="1" si="172">BJ108/BG108</f>
        <v>#DIV/0!</v>
      </c>
      <c r="BI108" s="75">
        <f t="shared" ca="1" si="130"/>
        <v>0</v>
      </c>
      <c r="BJ108" s="100">
        <f t="shared" ca="1" si="131"/>
        <v>0</v>
      </c>
      <c r="BK108" s="99">
        <f t="shared" ca="1" si="132"/>
        <v>0</v>
      </c>
      <c r="BL108" s="99">
        <f t="shared" ca="1" si="133"/>
        <v>0</v>
      </c>
      <c r="BM108" s="99">
        <f t="shared" ca="1" si="134"/>
        <v>0</v>
      </c>
      <c r="BN108" s="101">
        <f t="shared" ref="BN108:BN149" ca="1" si="173">BG108*BK108</f>
        <v>0</v>
      </c>
      <c r="BO108" s="101">
        <f t="shared" ref="BO108:BO149" ca="1" si="174">BG108*BL108</f>
        <v>0</v>
      </c>
      <c r="BP108" s="101">
        <f t="shared" ref="BP108:BP149" ca="1" si="175">BG108*BM108</f>
        <v>0</v>
      </c>
      <c r="BR108" s="78">
        <f t="shared" ca="1" si="135"/>
        <v>0</v>
      </c>
      <c r="BS108" s="288" t="e">
        <f t="shared" ref="BS108:BS149" ca="1" si="176">BU108/BR108</f>
        <v>#DIV/0!</v>
      </c>
      <c r="BT108" s="75">
        <f t="shared" ca="1" si="136"/>
        <v>0</v>
      </c>
      <c r="BU108" s="100">
        <f t="shared" ca="1" si="137"/>
        <v>0</v>
      </c>
      <c r="BV108" s="99">
        <f t="shared" ca="1" si="138"/>
        <v>0</v>
      </c>
      <c r="BW108" s="99">
        <f t="shared" ca="1" si="139"/>
        <v>0</v>
      </c>
      <c r="BX108" s="99">
        <f t="shared" ca="1" si="140"/>
        <v>0</v>
      </c>
      <c r="BY108" s="101">
        <f t="shared" ref="BY108:BY149" ca="1" si="177">BR108*BV108</f>
        <v>0</v>
      </c>
      <c r="BZ108" s="101">
        <f t="shared" ref="BZ108:BZ149" ca="1" si="178">BR108*BW108</f>
        <v>0</v>
      </c>
      <c r="CA108" s="101">
        <f t="shared" ref="CA108:CA149" ca="1" si="179">BR108*BX108</f>
        <v>0</v>
      </c>
    </row>
    <row r="109" spans="1:79" x14ac:dyDescent="0.25">
      <c r="A109" s="94">
        <f t="shared" si="163"/>
        <v>39661</v>
      </c>
      <c r="B109" s="95">
        <f t="shared" ca="1" si="142"/>
        <v>3.3639999999999994</v>
      </c>
      <c r="C109" s="77">
        <f t="shared" ca="1" si="143"/>
        <v>5.831510302034857E-2</v>
      </c>
      <c r="D109" s="95">
        <f t="shared" ca="1" si="100"/>
        <v>0</v>
      </c>
      <c r="E109" s="97">
        <f t="shared" ca="1" si="101"/>
        <v>2394</v>
      </c>
      <c r="F109" s="77" t="e">
        <f t="shared" ca="1" si="102"/>
        <v>#DIV/0!</v>
      </c>
      <c r="G109" s="77" t="e">
        <f ca="1">IF(B$16=1,_xll.xCalcSkew(A109,H109-AL109,b)/100,0)</f>
        <v>#DIV/0!</v>
      </c>
      <c r="H109" s="96">
        <f t="shared" ca="1" si="103"/>
        <v>2.44</v>
      </c>
      <c r="J109" s="95">
        <f t="shared" ca="1" si="104"/>
        <v>0</v>
      </c>
      <c r="K109" s="97">
        <f t="shared" ca="1" si="105"/>
        <v>2394</v>
      </c>
      <c r="L109" s="172" t="e">
        <f t="shared" ca="1" si="106"/>
        <v>#DIV/0!</v>
      </c>
      <c r="M109" s="77" t="e">
        <f ca="1">IF(D$16=1,_xll.xCalcSkew($A109,N109-AW109,b)/100,0)</f>
        <v>#DIV/0!</v>
      </c>
      <c r="N109" s="96">
        <f t="shared" ca="1" si="107"/>
        <v>2.44</v>
      </c>
      <c r="P109" s="95">
        <f t="shared" ca="1" si="108"/>
        <v>0</v>
      </c>
      <c r="Q109" s="97">
        <f t="shared" ca="1" si="109"/>
        <v>2394</v>
      </c>
      <c r="R109" s="172" t="e">
        <f t="shared" ca="1" si="110"/>
        <v>#DIV/0!</v>
      </c>
      <c r="S109" s="77" t="e">
        <f ca="1">IF(F$16=1,_xll.xCalcSkew($A109,T109-BH109,b)/100,0)</f>
        <v>#DIV/0!</v>
      </c>
      <c r="T109" s="96">
        <f t="shared" ca="1" si="111"/>
        <v>2.44</v>
      </c>
      <c r="V109" s="95">
        <f t="shared" ca="1" si="112"/>
        <v>0</v>
      </c>
      <c r="W109" s="97">
        <f t="shared" ca="1" si="113"/>
        <v>2394</v>
      </c>
      <c r="X109" s="77" t="e">
        <f t="shared" ca="1" si="114"/>
        <v>#DIV/0!</v>
      </c>
      <c r="Y109" s="77" t="e">
        <f ca="1">IF(H$16=1,_xll.xCalcSkew($A109,Z109-BS109,b)/100,0)</f>
        <v>#DIV/0!</v>
      </c>
      <c r="Z109" s="96">
        <f t="shared" ca="1" si="115"/>
        <v>2.44</v>
      </c>
      <c r="AC109" s="97">
        <f t="shared" ca="1" si="144"/>
        <v>2395</v>
      </c>
      <c r="AD109" s="97">
        <f t="shared" ca="1" si="145"/>
        <v>2394</v>
      </c>
      <c r="AE109" s="77">
        <f t="shared" ca="1" si="146"/>
        <v>5.4594696098345899E-2</v>
      </c>
      <c r="AF109" s="152">
        <f t="shared" si="116"/>
        <v>31</v>
      </c>
      <c r="AI109" s="97"/>
      <c r="AJ109" s="78"/>
      <c r="AK109" s="78">
        <f t="shared" ca="1" si="117"/>
        <v>0</v>
      </c>
      <c r="AL109" s="288" t="e">
        <f t="shared" ca="1" si="164"/>
        <v>#DIV/0!</v>
      </c>
      <c r="AM109" s="75">
        <f t="shared" ca="1" si="118"/>
        <v>0</v>
      </c>
      <c r="AN109" s="100">
        <f t="shared" ca="1" si="119"/>
        <v>0</v>
      </c>
      <c r="AO109" s="99">
        <f t="shared" ca="1" si="120"/>
        <v>0</v>
      </c>
      <c r="AP109" s="99">
        <f t="shared" ca="1" si="121"/>
        <v>0</v>
      </c>
      <c r="AQ109" s="99">
        <f t="shared" ca="1" si="122"/>
        <v>0</v>
      </c>
      <c r="AR109" s="101">
        <f t="shared" ca="1" si="165"/>
        <v>0</v>
      </c>
      <c r="AS109" s="101">
        <f t="shared" ca="1" si="166"/>
        <v>0</v>
      </c>
      <c r="AT109" s="101">
        <f t="shared" ca="1" si="167"/>
        <v>0</v>
      </c>
      <c r="AV109" s="78">
        <f t="shared" ca="1" si="123"/>
        <v>0</v>
      </c>
      <c r="AW109" s="288" t="e">
        <f t="shared" ca="1" si="168"/>
        <v>#DIV/0!</v>
      </c>
      <c r="AX109" s="75">
        <f t="shared" ca="1" si="124"/>
        <v>0</v>
      </c>
      <c r="AY109" s="100">
        <f t="shared" ca="1" si="125"/>
        <v>0</v>
      </c>
      <c r="AZ109" s="99">
        <f t="shared" ca="1" si="126"/>
        <v>0</v>
      </c>
      <c r="BA109" s="99">
        <f t="shared" ca="1" si="127"/>
        <v>0</v>
      </c>
      <c r="BB109" s="99">
        <f t="shared" ca="1" si="128"/>
        <v>0</v>
      </c>
      <c r="BC109" s="101">
        <f t="shared" ca="1" si="169"/>
        <v>0</v>
      </c>
      <c r="BD109" s="101">
        <f t="shared" ca="1" si="170"/>
        <v>0</v>
      </c>
      <c r="BE109" s="101">
        <f t="shared" ca="1" si="171"/>
        <v>0</v>
      </c>
      <c r="BG109" s="78">
        <f t="shared" ca="1" si="129"/>
        <v>0</v>
      </c>
      <c r="BH109" s="288" t="e">
        <f t="shared" ca="1" si="172"/>
        <v>#DIV/0!</v>
      </c>
      <c r="BI109" s="75">
        <f t="shared" ca="1" si="130"/>
        <v>0</v>
      </c>
      <c r="BJ109" s="100">
        <f t="shared" ca="1" si="131"/>
        <v>0</v>
      </c>
      <c r="BK109" s="99">
        <f t="shared" ca="1" si="132"/>
        <v>0</v>
      </c>
      <c r="BL109" s="99">
        <f t="shared" ca="1" si="133"/>
        <v>0</v>
      </c>
      <c r="BM109" s="99">
        <f t="shared" ca="1" si="134"/>
        <v>0</v>
      </c>
      <c r="BN109" s="101">
        <f t="shared" ca="1" si="173"/>
        <v>0</v>
      </c>
      <c r="BO109" s="101">
        <f t="shared" ca="1" si="174"/>
        <v>0</v>
      </c>
      <c r="BP109" s="101">
        <f t="shared" ca="1" si="175"/>
        <v>0</v>
      </c>
      <c r="BR109" s="78">
        <f t="shared" ca="1" si="135"/>
        <v>0</v>
      </c>
      <c r="BS109" s="288" t="e">
        <f t="shared" ca="1" si="176"/>
        <v>#DIV/0!</v>
      </c>
      <c r="BT109" s="75">
        <f t="shared" ca="1" si="136"/>
        <v>0</v>
      </c>
      <c r="BU109" s="100">
        <f t="shared" ca="1" si="137"/>
        <v>0</v>
      </c>
      <c r="BV109" s="99">
        <f t="shared" ca="1" si="138"/>
        <v>0</v>
      </c>
      <c r="BW109" s="99">
        <f t="shared" ca="1" si="139"/>
        <v>0</v>
      </c>
      <c r="BX109" s="99">
        <f t="shared" ca="1" si="140"/>
        <v>0</v>
      </c>
      <c r="BY109" s="101">
        <f t="shared" ca="1" si="177"/>
        <v>0</v>
      </c>
      <c r="BZ109" s="101">
        <f t="shared" ca="1" si="178"/>
        <v>0</v>
      </c>
      <c r="CA109" s="101">
        <f t="shared" ca="1" si="179"/>
        <v>0</v>
      </c>
    </row>
    <row r="110" spans="1:79" x14ac:dyDescent="0.25">
      <c r="A110" s="94">
        <f t="shared" si="163"/>
        <v>39692</v>
      </c>
      <c r="B110" s="95">
        <f t="shared" ca="1" si="142"/>
        <v>3.3489999999999993</v>
      </c>
      <c r="C110" s="77">
        <f t="shared" ca="1" si="143"/>
        <v>5.8549121024772076E-2</v>
      </c>
      <c r="D110" s="95">
        <f t="shared" ca="1" si="100"/>
        <v>0</v>
      </c>
      <c r="E110" s="97">
        <f t="shared" ca="1" si="101"/>
        <v>2423</v>
      </c>
      <c r="F110" s="77" t="e">
        <f t="shared" ca="1" si="102"/>
        <v>#DIV/0!</v>
      </c>
      <c r="G110" s="77" t="e">
        <f ca="1">IF(B$16=1,_xll.xCalcSkew(A110,H110-AL110,b)/100,0)</f>
        <v>#DIV/0!</v>
      </c>
      <c r="H110" s="96">
        <f t="shared" ca="1" si="103"/>
        <v>2.44</v>
      </c>
      <c r="J110" s="95">
        <f t="shared" ca="1" si="104"/>
        <v>0</v>
      </c>
      <c r="K110" s="97">
        <f t="shared" ca="1" si="105"/>
        <v>2423</v>
      </c>
      <c r="L110" s="172" t="e">
        <f t="shared" ca="1" si="106"/>
        <v>#DIV/0!</v>
      </c>
      <c r="M110" s="77" t="e">
        <f ca="1">IF(D$16=1,_xll.xCalcSkew($A110,N110-AW110,b)/100,0)</f>
        <v>#DIV/0!</v>
      </c>
      <c r="N110" s="96">
        <f t="shared" ca="1" si="107"/>
        <v>2.44</v>
      </c>
      <c r="P110" s="95">
        <f t="shared" ca="1" si="108"/>
        <v>0</v>
      </c>
      <c r="Q110" s="97">
        <f t="shared" ca="1" si="109"/>
        <v>2423</v>
      </c>
      <c r="R110" s="172" t="e">
        <f t="shared" ca="1" si="110"/>
        <v>#DIV/0!</v>
      </c>
      <c r="S110" s="77" t="e">
        <f ca="1">IF(F$16=1,_xll.xCalcSkew($A110,T110-BH110,b)/100,0)</f>
        <v>#DIV/0!</v>
      </c>
      <c r="T110" s="96">
        <f t="shared" ca="1" si="111"/>
        <v>2.44</v>
      </c>
      <c r="V110" s="95">
        <f t="shared" ca="1" si="112"/>
        <v>0</v>
      </c>
      <c r="W110" s="97">
        <f t="shared" ca="1" si="113"/>
        <v>2423</v>
      </c>
      <c r="X110" s="77" t="e">
        <f t="shared" ca="1" si="114"/>
        <v>#DIV/0!</v>
      </c>
      <c r="Y110" s="77" t="e">
        <f ca="1">IF(H$16=1,_xll.xCalcSkew($A110,Z110-BS110,b)/100,0)</f>
        <v>#DIV/0!</v>
      </c>
      <c r="Z110" s="96">
        <f t="shared" ca="1" si="115"/>
        <v>2.44</v>
      </c>
      <c r="AC110" s="97">
        <f t="shared" ca="1" si="144"/>
        <v>2424</v>
      </c>
      <c r="AD110" s="97">
        <f t="shared" ca="1" si="145"/>
        <v>2423</v>
      </c>
      <c r="AE110" s="77">
        <f t="shared" ca="1" si="146"/>
        <v>5.47762098979847E-2</v>
      </c>
      <c r="AF110" s="152">
        <f t="shared" si="116"/>
        <v>30</v>
      </c>
      <c r="AI110" s="97"/>
      <c r="AJ110" s="78"/>
      <c r="AK110" s="78">
        <f t="shared" ca="1" si="117"/>
        <v>0</v>
      </c>
      <c r="AL110" s="288" t="e">
        <f t="shared" ca="1" si="164"/>
        <v>#DIV/0!</v>
      </c>
      <c r="AM110" s="75">
        <f t="shared" ca="1" si="118"/>
        <v>0</v>
      </c>
      <c r="AN110" s="100">
        <f t="shared" ca="1" si="119"/>
        <v>0</v>
      </c>
      <c r="AO110" s="99">
        <f t="shared" ca="1" si="120"/>
        <v>0</v>
      </c>
      <c r="AP110" s="99">
        <f t="shared" ca="1" si="121"/>
        <v>0</v>
      </c>
      <c r="AQ110" s="99">
        <f t="shared" ca="1" si="122"/>
        <v>0</v>
      </c>
      <c r="AR110" s="101">
        <f t="shared" ca="1" si="165"/>
        <v>0</v>
      </c>
      <c r="AS110" s="101">
        <f t="shared" ca="1" si="166"/>
        <v>0</v>
      </c>
      <c r="AT110" s="101">
        <f t="shared" ca="1" si="167"/>
        <v>0</v>
      </c>
      <c r="AV110" s="78">
        <f t="shared" ca="1" si="123"/>
        <v>0</v>
      </c>
      <c r="AW110" s="288" t="e">
        <f t="shared" ca="1" si="168"/>
        <v>#DIV/0!</v>
      </c>
      <c r="AX110" s="75">
        <f t="shared" ca="1" si="124"/>
        <v>0</v>
      </c>
      <c r="AY110" s="100">
        <f t="shared" ca="1" si="125"/>
        <v>0</v>
      </c>
      <c r="AZ110" s="99">
        <f t="shared" ca="1" si="126"/>
        <v>0</v>
      </c>
      <c r="BA110" s="99">
        <f t="shared" ca="1" si="127"/>
        <v>0</v>
      </c>
      <c r="BB110" s="99">
        <f t="shared" ca="1" si="128"/>
        <v>0</v>
      </c>
      <c r="BC110" s="101">
        <f t="shared" ca="1" si="169"/>
        <v>0</v>
      </c>
      <c r="BD110" s="101">
        <f t="shared" ca="1" si="170"/>
        <v>0</v>
      </c>
      <c r="BE110" s="101">
        <f t="shared" ca="1" si="171"/>
        <v>0</v>
      </c>
      <c r="BG110" s="78">
        <f t="shared" ca="1" si="129"/>
        <v>0</v>
      </c>
      <c r="BH110" s="288" t="e">
        <f t="shared" ca="1" si="172"/>
        <v>#DIV/0!</v>
      </c>
      <c r="BI110" s="75">
        <f t="shared" ca="1" si="130"/>
        <v>0</v>
      </c>
      <c r="BJ110" s="100">
        <f t="shared" ca="1" si="131"/>
        <v>0</v>
      </c>
      <c r="BK110" s="99">
        <f t="shared" ca="1" si="132"/>
        <v>0</v>
      </c>
      <c r="BL110" s="99">
        <f t="shared" ca="1" si="133"/>
        <v>0</v>
      </c>
      <c r="BM110" s="99">
        <f t="shared" ca="1" si="134"/>
        <v>0</v>
      </c>
      <c r="BN110" s="101">
        <f t="shared" ca="1" si="173"/>
        <v>0</v>
      </c>
      <c r="BO110" s="101">
        <f t="shared" ca="1" si="174"/>
        <v>0</v>
      </c>
      <c r="BP110" s="101">
        <f t="shared" ca="1" si="175"/>
        <v>0</v>
      </c>
      <c r="BR110" s="78">
        <f t="shared" ca="1" si="135"/>
        <v>0</v>
      </c>
      <c r="BS110" s="288" t="e">
        <f t="shared" ca="1" si="176"/>
        <v>#DIV/0!</v>
      </c>
      <c r="BT110" s="75">
        <f t="shared" ca="1" si="136"/>
        <v>0</v>
      </c>
      <c r="BU110" s="100">
        <f t="shared" ca="1" si="137"/>
        <v>0</v>
      </c>
      <c r="BV110" s="99">
        <f t="shared" ca="1" si="138"/>
        <v>0</v>
      </c>
      <c r="BW110" s="99">
        <f t="shared" ca="1" si="139"/>
        <v>0</v>
      </c>
      <c r="BX110" s="99">
        <f t="shared" ca="1" si="140"/>
        <v>0</v>
      </c>
      <c r="BY110" s="101">
        <f t="shared" ca="1" si="177"/>
        <v>0</v>
      </c>
      <c r="BZ110" s="101">
        <f t="shared" ca="1" si="178"/>
        <v>0</v>
      </c>
      <c r="CA110" s="101">
        <f t="shared" ca="1" si="179"/>
        <v>0</v>
      </c>
    </row>
    <row r="111" spans="1:79" x14ac:dyDescent="0.25">
      <c r="A111" s="94">
        <f t="shared" si="163"/>
        <v>39722</v>
      </c>
      <c r="B111" s="95">
        <f t="shared" ca="1" si="142"/>
        <v>3.3639999999999994</v>
      </c>
      <c r="C111" s="77">
        <f t="shared" ca="1" si="143"/>
        <v>5.8262635214945478E-2</v>
      </c>
      <c r="D111" s="95">
        <f t="shared" ca="1" si="100"/>
        <v>0</v>
      </c>
      <c r="E111" s="97">
        <f t="shared" ca="1" si="101"/>
        <v>2453</v>
      </c>
      <c r="F111" s="77" t="e">
        <f t="shared" ca="1" si="102"/>
        <v>#DIV/0!</v>
      </c>
      <c r="G111" s="77" t="e">
        <f ca="1">IF(B$16=1,_xll.xCalcSkew(A111,H111-AL111,b)/100,0)</f>
        <v>#DIV/0!</v>
      </c>
      <c r="H111" s="96">
        <f t="shared" ca="1" si="103"/>
        <v>2.44</v>
      </c>
      <c r="J111" s="95">
        <f t="shared" ca="1" si="104"/>
        <v>0</v>
      </c>
      <c r="K111" s="97">
        <f t="shared" ca="1" si="105"/>
        <v>2453</v>
      </c>
      <c r="L111" s="172" t="e">
        <f t="shared" ca="1" si="106"/>
        <v>#DIV/0!</v>
      </c>
      <c r="M111" s="77" t="e">
        <f ca="1">IF(D$16=1,_xll.xCalcSkew($A111,N111-AW111,b)/100,0)</f>
        <v>#DIV/0!</v>
      </c>
      <c r="N111" s="96">
        <f t="shared" ca="1" si="107"/>
        <v>2.44</v>
      </c>
      <c r="P111" s="95">
        <f t="shared" ca="1" si="108"/>
        <v>0</v>
      </c>
      <c r="Q111" s="97">
        <f t="shared" ca="1" si="109"/>
        <v>2453</v>
      </c>
      <c r="R111" s="172" t="e">
        <f t="shared" ca="1" si="110"/>
        <v>#DIV/0!</v>
      </c>
      <c r="S111" s="77" t="e">
        <f ca="1">IF(F$16=1,_xll.xCalcSkew($A111,T111-BH111,b)/100,0)</f>
        <v>#DIV/0!</v>
      </c>
      <c r="T111" s="96">
        <f t="shared" ca="1" si="111"/>
        <v>2.44</v>
      </c>
      <c r="V111" s="95">
        <f t="shared" ca="1" si="112"/>
        <v>0</v>
      </c>
      <c r="W111" s="97">
        <f t="shared" ca="1" si="113"/>
        <v>2453</v>
      </c>
      <c r="X111" s="77" t="e">
        <f t="shared" ca="1" si="114"/>
        <v>#DIV/0!</v>
      </c>
      <c r="Y111" s="77" t="e">
        <f ca="1">IF(H$16=1,_xll.xCalcSkew($A111,Z111-BS111,b)/100,0)</f>
        <v>#DIV/0!</v>
      </c>
      <c r="Z111" s="96">
        <f t="shared" ca="1" si="115"/>
        <v>2.44</v>
      </c>
      <c r="AC111" s="97">
        <f t="shared" ca="1" si="144"/>
        <v>2454</v>
      </c>
      <c r="AD111" s="97">
        <f t="shared" ca="1" si="145"/>
        <v>2453</v>
      </c>
      <c r="AE111" s="77">
        <f t="shared" ca="1" si="146"/>
        <v>5.4957723708598298E-2</v>
      </c>
      <c r="AF111" s="152">
        <f t="shared" si="116"/>
        <v>31</v>
      </c>
      <c r="AI111" s="97"/>
      <c r="AJ111" s="78"/>
      <c r="AK111" s="78">
        <f t="shared" ca="1" si="117"/>
        <v>0</v>
      </c>
      <c r="AL111" s="288" t="e">
        <f t="shared" ca="1" si="164"/>
        <v>#DIV/0!</v>
      </c>
      <c r="AM111" s="75">
        <f t="shared" ca="1" si="118"/>
        <v>0</v>
      </c>
      <c r="AN111" s="100">
        <f t="shared" ca="1" si="119"/>
        <v>0</v>
      </c>
      <c r="AO111" s="99">
        <f t="shared" ca="1" si="120"/>
        <v>0</v>
      </c>
      <c r="AP111" s="99">
        <f t="shared" ca="1" si="121"/>
        <v>0</v>
      </c>
      <c r="AQ111" s="99">
        <f t="shared" ca="1" si="122"/>
        <v>0</v>
      </c>
      <c r="AR111" s="101">
        <f t="shared" ca="1" si="165"/>
        <v>0</v>
      </c>
      <c r="AS111" s="101">
        <f t="shared" ca="1" si="166"/>
        <v>0</v>
      </c>
      <c r="AT111" s="101">
        <f t="shared" ca="1" si="167"/>
        <v>0</v>
      </c>
      <c r="AV111" s="78">
        <f t="shared" ca="1" si="123"/>
        <v>0</v>
      </c>
      <c r="AW111" s="288" t="e">
        <f t="shared" ca="1" si="168"/>
        <v>#DIV/0!</v>
      </c>
      <c r="AX111" s="75">
        <f t="shared" ca="1" si="124"/>
        <v>0</v>
      </c>
      <c r="AY111" s="100">
        <f t="shared" ca="1" si="125"/>
        <v>0</v>
      </c>
      <c r="AZ111" s="99">
        <f t="shared" ca="1" si="126"/>
        <v>0</v>
      </c>
      <c r="BA111" s="99">
        <f t="shared" ca="1" si="127"/>
        <v>0</v>
      </c>
      <c r="BB111" s="99">
        <f t="shared" ca="1" si="128"/>
        <v>0</v>
      </c>
      <c r="BC111" s="101">
        <f t="shared" ca="1" si="169"/>
        <v>0</v>
      </c>
      <c r="BD111" s="101">
        <f t="shared" ca="1" si="170"/>
        <v>0</v>
      </c>
      <c r="BE111" s="101">
        <f t="shared" ca="1" si="171"/>
        <v>0</v>
      </c>
      <c r="BG111" s="78">
        <f t="shared" ca="1" si="129"/>
        <v>0</v>
      </c>
      <c r="BH111" s="288" t="e">
        <f t="shared" ca="1" si="172"/>
        <v>#DIV/0!</v>
      </c>
      <c r="BI111" s="75">
        <f t="shared" ca="1" si="130"/>
        <v>0</v>
      </c>
      <c r="BJ111" s="100">
        <f t="shared" ca="1" si="131"/>
        <v>0</v>
      </c>
      <c r="BK111" s="99">
        <f t="shared" ca="1" si="132"/>
        <v>0</v>
      </c>
      <c r="BL111" s="99">
        <f t="shared" ca="1" si="133"/>
        <v>0</v>
      </c>
      <c r="BM111" s="99">
        <f t="shared" ca="1" si="134"/>
        <v>0</v>
      </c>
      <c r="BN111" s="101">
        <f t="shared" ca="1" si="173"/>
        <v>0</v>
      </c>
      <c r="BO111" s="101">
        <f t="shared" ca="1" si="174"/>
        <v>0</v>
      </c>
      <c r="BP111" s="101">
        <f t="shared" ca="1" si="175"/>
        <v>0</v>
      </c>
      <c r="BR111" s="78">
        <f t="shared" ca="1" si="135"/>
        <v>0</v>
      </c>
      <c r="BS111" s="288" t="e">
        <f t="shared" ca="1" si="176"/>
        <v>#DIV/0!</v>
      </c>
      <c r="BT111" s="75">
        <f t="shared" ca="1" si="136"/>
        <v>0</v>
      </c>
      <c r="BU111" s="100">
        <f t="shared" ca="1" si="137"/>
        <v>0</v>
      </c>
      <c r="BV111" s="99">
        <f t="shared" ca="1" si="138"/>
        <v>0</v>
      </c>
      <c r="BW111" s="99">
        <f t="shared" ca="1" si="139"/>
        <v>0</v>
      </c>
      <c r="BX111" s="99">
        <f t="shared" ca="1" si="140"/>
        <v>0</v>
      </c>
      <c r="BY111" s="101">
        <f t="shared" ca="1" si="177"/>
        <v>0</v>
      </c>
      <c r="BZ111" s="101">
        <f t="shared" ca="1" si="178"/>
        <v>0</v>
      </c>
      <c r="CA111" s="101">
        <f t="shared" ca="1" si="179"/>
        <v>0</v>
      </c>
    </row>
    <row r="112" spans="1:79" x14ac:dyDescent="0.25">
      <c r="A112" s="94">
        <f t="shared" si="163"/>
        <v>39753</v>
      </c>
      <c r="B112" s="95">
        <f t="shared" ca="1" si="142"/>
        <v>3.5089999999999995</v>
      </c>
      <c r="C112" s="77">
        <f t="shared" ca="1" si="143"/>
        <v>5.5821398141115995E-2</v>
      </c>
      <c r="D112" s="95">
        <f t="shared" ca="1" si="100"/>
        <v>0</v>
      </c>
      <c r="E112" s="97">
        <f t="shared" ca="1" si="101"/>
        <v>2486</v>
      </c>
      <c r="F112" s="77" t="e">
        <f t="shared" ca="1" si="102"/>
        <v>#DIV/0!</v>
      </c>
      <c r="G112" s="77" t="e">
        <f ca="1">IF(B$16=1,_xll.xCalcSkew(A112,H112-AL112,b)/100,0)</f>
        <v>#DIV/0!</v>
      </c>
      <c r="H112" s="96">
        <f t="shared" ca="1" si="103"/>
        <v>2.44</v>
      </c>
      <c r="J112" s="95">
        <f t="shared" ca="1" si="104"/>
        <v>0</v>
      </c>
      <c r="K112" s="97">
        <f t="shared" ca="1" si="105"/>
        <v>2486</v>
      </c>
      <c r="L112" s="172" t="e">
        <f t="shared" ca="1" si="106"/>
        <v>#DIV/0!</v>
      </c>
      <c r="M112" s="77" t="e">
        <f ca="1">IF(D$16=1,_xll.xCalcSkew($A112,N112-AW112,b)/100,0)</f>
        <v>#DIV/0!</v>
      </c>
      <c r="N112" s="96">
        <f t="shared" ca="1" si="107"/>
        <v>2.44</v>
      </c>
      <c r="P112" s="95">
        <f t="shared" ca="1" si="108"/>
        <v>0</v>
      </c>
      <c r="Q112" s="97">
        <f t="shared" ca="1" si="109"/>
        <v>2486</v>
      </c>
      <c r="R112" s="172" t="e">
        <f t="shared" ca="1" si="110"/>
        <v>#DIV/0!</v>
      </c>
      <c r="S112" s="77" t="e">
        <f ca="1">IF(F$16=1,_xll.xCalcSkew($A112,T112-BH112,b)/100,0)</f>
        <v>#DIV/0!</v>
      </c>
      <c r="T112" s="96">
        <f t="shared" ca="1" si="111"/>
        <v>2.44</v>
      </c>
      <c r="V112" s="95">
        <f t="shared" ca="1" si="112"/>
        <v>0</v>
      </c>
      <c r="W112" s="97">
        <f t="shared" ca="1" si="113"/>
        <v>2486</v>
      </c>
      <c r="X112" s="77" t="e">
        <f t="shared" ca="1" si="114"/>
        <v>#DIV/0!</v>
      </c>
      <c r="Y112" s="77" t="e">
        <f ca="1">IF(H$16=1,_xll.xCalcSkew($A112,Z112-BS112,b)/100,0)</f>
        <v>#DIV/0!</v>
      </c>
      <c r="Z112" s="96">
        <f t="shared" ca="1" si="115"/>
        <v>2.44</v>
      </c>
      <c r="AC112" s="97">
        <f t="shared" ca="1" si="144"/>
        <v>2487</v>
      </c>
      <c r="AD112" s="97">
        <f t="shared" ca="1" si="145"/>
        <v>2486</v>
      </c>
      <c r="AE112" s="77">
        <f t="shared" ca="1" si="146"/>
        <v>5.51333822454474E-2</v>
      </c>
      <c r="AF112" s="152">
        <f t="shared" si="116"/>
        <v>30</v>
      </c>
      <c r="AI112" s="97"/>
      <c r="AJ112" s="78"/>
      <c r="AK112" s="78">
        <f t="shared" ca="1" si="117"/>
        <v>0</v>
      </c>
      <c r="AL112" s="288" t="e">
        <f t="shared" ca="1" si="164"/>
        <v>#DIV/0!</v>
      </c>
      <c r="AM112" s="75">
        <f t="shared" ca="1" si="118"/>
        <v>0</v>
      </c>
      <c r="AN112" s="100">
        <f t="shared" ca="1" si="119"/>
        <v>0</v>
      </c>
      <c r="AO112" s="99">
        <f t="shared" ca="1" si="120"/>
        <v>0</v>
      </c>
      <c r="AP112" s="99">
        <f t="shared" ca="1" si="121"/>
        <v>0</v>
      </c>
      <c r="AQ112" s="99">
        <f t="shared" ca="1" si="122"/>
        <v>0</v>
      </c>
      <c r="AR112" s="101">
        <f t="shared" ca="1" si="165"/>
        <v>0</v>
      </c>
      <c r="AS112" s="101">
        <f t="shared" ca="1" si="166"/>
        <v>0</v>
      </c>
      <c r="AT112" s="101">
        <f t="shared" ca="1" si="167"/>
        <v>0</v>
      </c>
      <c r="AV112" s="78">
        <f t="shared" ca="1" si="123"/>
        <v>0</v>
      </c>
      <c r="AW112" s="288" t="e">
        <f t="shared" ca="1" si="168"/>
        <v>#DIV/0!</v>
      </c>
      <c r="AX112" s="75">
        <f t="shared" ca="1" si="124"/>
        <v>0</v>
      </c>
      <c r="AY112" s="100">
        <f t="shared" ca="1" si="125"/>
        <v>0</v>
      </c>
      <c r="AZ112" s="99">
        <f t="shared" ca="1" si="126"/>
        <v>0</v>
      </c>
      <c r="BA112" s="99">
        <f t="shared" ca="1" si="127"/>
        <v>0</v>
      </c>
      <c r="BB112" s="99">
        <f t="shared" ca="1" si="128"/>
        <v>0</v>
      </c>
      <c r="BC112" s="101">
        <f t="shared" ca="1" si="169"/>
        <v>0</v>
      </c>
      <c r="BD112" s="101">
        <f t="shared" ca="1" si="170"/>
        <v>0</v>
      </c>
      <c r="BE112" s="101">
        <f t="shared" ca="1" si="171"/>
        <v>0</v>
      </c>
      <c r="BG112" s="78">
        <f t="shared" ca="1" si="129"/>
        <v>0</v>
      </c>
      <c r="BH112" s="288" t="e">
        <f t="shared" ca="1" si="172"/>
        <v>#DIV/0!</v>
      </c>
      <c r="BI112" s="75">
        <f t="shared" ca="1" si="130"/>
        <v>0</v>
      </c>
      <c r="BJ112" s="100">
        <f t="shared" ca="1" si="131"/>
        <v>0</v>
      </c>
      <c r="BK112" s="99">
        <f t="shared" ca="1" si="132"/>
        <v>0</v>
      </c>
      <c r="BL112" s="99">
        <f t="shared" ca="1" si="133"/>
        <v>0</v>
      </c>
      <c r="BM112" s="99">
        <f t="shared" ca="1" si="134"/>
        <v>0</v>
      </c>
      <c r="BN112" s="101">
        <f t="shared" ca="1" si="173"/>
        <v>0</v>
      </c>
      <c r="BO112" s="101">
        <f t="shared" ca="1" si="174"/>
        <v>0</v>
      </c>
      <c r="BP112" s="101">
        <f t="shared" ca="1" si="175"/>
        <v>0</v>
      </c>
      <c r="BR112" s="78">
        <f t="shared" ca="1" si="135"/>
        <v>0</v>
      </c>
      <c r="BS112" s="288" t="e">
        <f t="shared" ca="1" si="176"/>
        <v>#DIV/0!</v>
      </c>
      <c r="BT112" s="75">
        <f t="shared" ca="1" si="136"/>
        <v>0</v>
      </c>
      <c r="BU112" s="100">
        <f t="shared" ca="1" si="137"/>
        <v>0</v>
      </c>
      <c r="BV112" s="99">
        <f t="shared" ca="1" si="138"/>
        <v>0</v>
      </c>
      <c r="BW112" s="99">
        <f t="shared" ca="1" si="139"/>
        <v>0</v>
      </c>
      <c r="BX112" s="99">
        <f t="shared" ca="1" si="140"/>
        <v>0</v>
      </c>
      <c r="BY112" s="101">
        <f t="shared" ca="1" si="177"/>
        <v>0</v>
      </c>
      <c r="BZ112" s="101">
        <f t="shared" ca="1" si="178"/>
        <v>0</v>
      </c>
      <c r="CA112" s="101">
        <f t="shared" ca="1" si="179"/>
        <v>0</v>
      </c>
    </row>
    <row r="113" spans="1:79" x14ac:dyDescent="0.25">
      <c r="A113" s="94">
        <f t="shared" si="163"/>
        <v>39783</v>
      </c>
      <c r="B113" s="95">
        <f t="shared" ca="1" si="142"/>
        <v>3.6439999999999992</v>
      </c>
      <c r="C113" s="77">
        <f t="shared" ca="1" si="143"/>
        <v>5.3745412900479246E-2</v>
      </c>
      <c r="D113" s="95">
        <f t="shared" ca="1" si="100"/>
        <v>0</v>
      </c>
      <c r="E113" s="97">
        <f t="shared" ca="1" si="101"/>
        <v>2513</v>
      </c>
      <c r="F113" s="77" t="e">
        <f t="shared" ca="1" si="102"/>
        <v>#DIV/0!</v>
      </c>
      <c r="G113" s="77" t="e">
        <f ca="1">IF(B$16=1,_xll.xCalcSkew(A113,H113-AL113,b)/100,0)</f>
        <v>#DIV/0!</v>
      </c>
      <c r="H113" s="96">
        <f t="shared" ca="1" si="103"/>
        <v>2.44</v>
      </c>
      <c r="J113" s="95">
        <f t="shared" ca="1" si="104"/>
        <v>0</v>
      </c>
      <c r="K113" s="97">
        <f t="shared" ca="1" si="105"/>
        <v>2513</v>
      </c>
      <c r="L113" s="172" t="e">
        <f t="shared" ca="1" si="106"/>
        <v>#DIV/0!</v>
      </c>
      <c r="M113" s="77" t="e">
        <f ca="1">IF(D$16=1,_xll.xCalcSkew($A113,N113-AW113,b)/100,0)</f>
        <v>#DIV/0!</v>
      </c>
      <c r="N113" s="96">
        <f t="shared" ca="1" si="107"/>
        <v>2.44</v>
      </c>
      <c r="P113" s="95">
        <f t="shared" ca="1" si="108"/>
        <v>0</v>
      </c>
      <c r="Q113" s="97">
        <f t="shared" ca="1" si="109"/>
        <v>2513</v>
      </c>
      <c r="R113" s="172" t="e">
        <f t="shared" ca="1" si="110"/>
        <v>#DIV/0!</v>
      </c>
      <c r="S113" s="77" t="e">
        <f ca="1">IF(F$16=1,_xll.xCalcSkew($A113,T113-BH113,b)/100,0)</f>
        <v>#DIV/0!</v>
      </c>
      <c r="T113" s="96">
        <f t="shared" ca="1" si="111"/>
        <v>2.44</v>
      </c>
      <c r="V113" s="95">
        <f t="shared" ca="1" si="112"/>
        <v>0</v>
      </c>
      <c r="W113" s="97">
        <f t="shared" ca="1" si="113"/>
        <v>2513</v>
      </c>
      <c r="X113" s="77" t="e">
        <f t="shared" ca="1" si="114"/>
        <v>#DIV/0!</v>
      </c>
      <c r="Y113" s="77" t="e">
        <f ca="1">IF(H$16=1,_xll.xCalcSkew($A113,Z113-BS113,b)/100,0)</f>
        <v>#DIV/0!</v>
      </c>
      <c r="Z113" s="96">
        <f t="shared" ca="1" si="115"/>
        <v>2.44</v>
      </c>
      <c r="AC113" s="97">
        <f t="shared" ca="1" si="144"/>
        <v>2514</v>
      </c>
      <c r="AD113" s="97">
        <f t="shared" ca="1" si="145"/>
        <v>2513</v>
      </c>
      <c r="AE113" s="77">
        <f t="shared" ca="1" si="146"/>
        <v>5.5314896077653899E-2</v>
      </c>
      <c r="AF113" s="152">
        <f t="shared" si="116"/>
        <v>31</v>
      </c>
      <c r="AI113" s="97"/>
      <c r="AJ113" s="78"/>
      <c r="AK113" s="78">
        <f t="shared" ca="1" si="117"/>
        <v>0</v>
      </c>
      <c r="AL113" s="288" t="e">
        <f t="shared" ca="1" si="164"/>
        <v>#DIV/0!</v>
      </c>
      <c r="AM113" s="75">
        <f t="shared" ca="1" si="118"/>
        <v>0</v>
      </c>
      <c r="AN113" s="100">
        <f t="shared" ca="1" si="119"/>
        <v>0</v>
      </c>
      <c r="AO113" s="99">
        <f t="shared" ca="1" si="120"/>
        <v>0</v>
      </c>
      <c r="AP113" s="99">
        <f t="shared" ca="1" si="121"/>
        <v>0</v>
      </c>
      <c r="AQ113" s="99">
        <f t="shared" ca="1" si="122"/>
        <v>0</v>
      </c>
      <c r="AR113" s="101">
        <f t="shared" ca="1" si="165"/>
        <v>0</v>
      </c>
      <c r="AS113" s="101">
        <f t="shared" ca="1" si="166"/>
        <v>0</v>
      </c>
      <c r="AT113" s="101">
        <f t="shared" ca="1" si="167"/>
        <v>0</v>
      </c>
      <c r="AV113" s="78">
        <f t="shared" ca="1" si="123"/>
        <v>0</v>
      </c>
      <c r="AW113" s="288" t="e">
        <f t="shared" ca="1" si="168"/>
        <v>#DIV/0!</v>
      </c>
      <c r="AX113" s="75">
        <f t="shared" ca="1" si="124"/>
        <v>0</v>
      </c>
      <c r="AY113" s="100">
        <f t="shared" ca="1" si="125"/>
        <v>0</v>
      </c>
      <c r="AZ113" s="99">
        <f t="shared" ca="1" si="126"/>
        <v>0</v>
      </c>
      <c r="BA113" s="99">
        <f t="shared" ca="1" si="127"/>
        <v>0</v>
      </c>
      <c r="BB113" s="99">
        <f t="shared" ca="1" si="128"/>
        <v>0</v>
      </c>
      <c r="BC113" s="101">
        <f t="shared" ca="1" si="169"/>
        <v>0</v>
      </c>
      <c r="BD113" s="101">
        <f t="shared" ca="1" si="170"/>
        <v>0</v>
      </c>
      <c r="BE113" s="101">
        <f t="shared" ca="1" si="171"/>
        <v>0</v>
      </c>
      <c r="BG113" s="78">
        <f t="shared" ca="1" si="129"/>
        <v>0</v>
      </c>
      <c r="BH113" s="288" t="e">
        <f t="shared" ca="1" si="172"/>
        <v>#DIV/0!</v>
      </c>
      <c r="BI113" s="75">
        <f t="shared" ca="1" si="130"/>
        <v>0</v>
      </c>
      <c r="BJ113" s="100">
        <f t="shared" ca="1" si="131"/>
        <v>0</v>
      </c>
      <c r="BK113" s="99">
        <f t="shared" ca="1" si="132"/>
        <v>0</v>
      </c>
      <c r="BL113" s="99">
        <f t="shared" ca="1" si="133"/>
        <v>0</v>
      </c>
      <c r="BM113" s="99">
        <f t="shared" ca="1" si="134"/>
        <v>0</v>
      </c>
      <c r="BN113" s="101">
        <f t="shared" ca="1" si="173"/>
        <v>0</v>
      </c>
      <c r="BO113" s="101">
        <f t="shared" ca="1" si="174"/>
        <v>0</v>
      </c>
      <c r="BP113" s="101">
        <f t="shared" ca="1" si="175"/>
        <v>0</v>
      </c>
      <c r="BR113" s="78">
        <f t="shared" ca="1" si="135"/>
        <v>0</v>
      </c>
      <c r="BS113" s="288" t="e">
        <f t="shared" ca="1" si="176"/>
        <v>#DIV/0!</v>
      </c>
      <c r="BT113" s="75">
        <f t="shared" ca="1" si="136"/>
        <v>0</v>
      </c>
      <c r="BU113" s="100">
        <f t="shared" ca="1" si="137"/>
        <v>0</v>
      </c>
      <c r="BV113" s="99">
        <f t="shared" ca="1" si="138"/>
        <v>0</v>
      </c>
      <c r="BW113" s="99">
        <f t="shared" ca="1" si="139"/>
        <v>0</v>
      </c>
      <c r="BX113" s="99">
        <f t="shared" ca="1" si="140"/>
        <v>0</v>
      </c>
      <c r="BY113" s="101">
        <f t="shared" ca="1" si="177"/>
        <v>0</v>
      </c>
      <c r="BZ113" s="101">
        <f t="shared" ca="1" si="178"/>
        <v>0</v>
      </c>
      <c r="CA113" s="101">
        <f t="shared" ca="1" si="179"/>
        <v>0</v>
      </c>
    </row>
    <row r="114" spans="1:79" x14ac:dyDescent="0.25">
      <c r="A114" s="94">
        <f t="shared" si="163"/>
        <v>39814</v>
      </c>
      <c r="B114" s="95">
        <f t="shared" ca="1" si="142"/>
        <v>3.6989999999999994</v>
      </c>
      <c r="C114" s="77">
        <f t="shared" ca="1" si="143"/>
        <v>5.293140184865263E-2</v>
      </c>
      <c r="D114" s="95">
        <f t="shared" ca="1" si="100"/>
        <v>0</v>
      </c>
      <c r="E114" s="97">
        <f t="shared" ca="1" si="101"/>
        <v>2545</v>
      </c>
      <c r="F114" s="77" t="e">
        <f t="shared" ca="1" si="102"/>
        <v>#DIV/0!</v>
      </c>
      <c r="G114" s="77" t="e">
        <f ca="1">IF(B$16=1,_xll.xCalcSkew(A114,H114-AL114,b)/100,0)</f>
        <v>#DIV/0!</v>
      </c>
      <c r="H114" s="96">
        <f t="shared" ca="1" si="103"/>
        <v>2.44</v>
      </c>
      <c r="J114" s="95">
        <f t="shared" ca="1" si="104"/>
        <v>0</v>
      </c>
      <c r="K114" s="97">
        <f t="shared" ca="1" si="105"/>
        <v>2545</v>
      </c>
      <c r="L114" s="172" t="e">
        <f t="shared" ca="1" si="106"/>
        <v>#DIV/0!</v>
      </c>
      <c r="M114" s="77" t="e">
        <f ca="1">IF(D$16=1,_xll.xCalcSkew($A114,N114-AW114,b)/100,0)</f>
        <v>#DIV/0!</v>
      </c>
      <c r="N114" s="96">
        <f t="shared" ca="1" si="107"/>
        <v>2.44</v>
      </c>
      <c r="P114" s="95">
        <f t="shared" ca="1" si="108"/>
        <v>0</v>
      </c>
      <c r="Q114" s="97">
        <f t="shared" ca="1" si="109"/>
        <v>2545</v>
      </c>
      <c r="R114" s="172" t="e">
        <f t="shared" ca="1" si="110"/>
        <v>#DIV/0!</v>
      </c>
      <c r="S114" s="77" t="e">
        <f ca="1">IF(F$16=1,_xll.xCalcSkew($A114,T114-BH114,b)/100,0)</f>
        <v>#DIV/0!</v>
      </c>
      <c r="T114" s="96">
        <f t="shared" ca="1" si="111"/>
        <v>2.44</v>
      </c>
      <c r="V114" s="95">
        <f t="shared" ca="1" si="112"/>
        <v>0</v>
      </c>
      <c r="W114" s="97">
        <f t="shared" ca="1" si="113"/>
        <v>2545</v>
      </c>
      <c r="X114" s="77" t="e">
        <f t="shared" ca="1" si="114"/>
        <v>#DIV/0!</v>
      </c>
      <c r="Y114" s="77" t="e">
        <f ca="1">IF(H$16=1,_xll.xCalcSkew($A114,Z114-BS114,b)/100,0)</f>
        <v>#DIV/0!</v>
      </c>
      <c r="Z114" s="96">
        <f t="shared" ca="1" si="115"/>
        <v>2.44</v>
      </c>
      <c r="AC114" s="97">
        <f t="shared" ca="1" si="144"/>
        <v>2548</v>
      </c>
      <c r="AD114" s="97">
        <f t="shared" ca="1" si="145"/>
        <v>2545</v>
      </c>
      <c r="AE114" s="77">
        <f t="shared" ca="1" si="146"/>
        <v>5.5490554635397898E-2</v>
      </c>
      <c r="AF114" s="152">
        <f t="shared" si="116"/>
        <v>31</v>
      </c>
      <c r="AI114" s="97"/>
      <c r="AJ114" s="78"/>
      <c r="AK114" s="78">
        <f t="shared" ca="1" si="117"/>
        <v>0</v>
      </c>
      <c r="AL114" s="288" t="e">
        <f t="shared" ca="1" si="164"/>
        <v>#DIV/0!</v>
      </c>
      <c r="AM114" s="75">
        <f t="shared" ca="1" si="118"/>
        <v>0</v>
      </c>
      <c r="AN114" s="100">
        <f t="shared" ca="1" si="119"/>
        <v>0</v>
      </c>
      <c r="AO114" s="99">
        <f t="shared" ca="1" si="120"/>
        <v>0</v>
      </c>
      <c r="AP114" s="99">
        <f t="shared" ca="1" si="121"/>
        <v>0</v>
      </c>
      <c r="AQ114" s="99">
        <f t="shared" ca="1" si="122"/>
        <v>0</v>
      </c>
      <c r="AR114" s="101">
        <f t="shared" ca="1" si="165"/>
        <v>0</v>
      </c>
      <c r="AS114" s="101">
        <f t="shared" ca="1" si="166"/>
        <v>0</v>
      </c>
      <c r="AT114" s="101">
        <f t="shared" ca="1" si="167"/>
        <v>0</v>
      </c>
      <c r="AV114" s="78">
        <f t="shared" ca="1" si="123"/>
        <v>0</v>
      </c>
      <c r="AW114" s="288" t="e">
        <f t="shared" ca="1" si="168"/>
        <v>#DIV/0!</v>
      </c>
      <c r="AX114" s="75">
        <f t="shared" ca="1" si="124"/>
        <v>0</v>
      </c>
      <c r="AY114" s="100">
        <f t="shared" ca="1" si="125"/>
        <v>0</v>
      </c>
      <c r="AZ114" s="99">
        <f t="shared" ca="1" si="126"/>
        <v>0</v>
      </c>
      <c r="BA114" s="99">
        <f t="shared" ca="1" si="127"/>
        <v>0</v>
      </c>
      <c r="BB114" s="99">
        <f t="shared" ca="1" si="128"/>
        <v>0</v>
      </c>
      <c r="BC114" s="101">
        <f t="shared" ca="1" si="169"/>
        <v>0</v>
      </c>
      <c r="BD114" s="101">
        <f t="shared" ca="1" si="170"/>
        <v>0</v>
      </c>
      <c r="BE114" s="101">
        <f t="shared" ca="1" si="171"/>
        <v>0</v>
      </c>
      <c r="BG114" s="78">
        <f t="shared" ca="1" si="129"/>
        <v>0</v>
      </c>
      <c r="BH114" s="288" t="e">
        <f t="shared" ca="1" si="172"/>
        <v>#DIV/0!</v>
      </c>
      <c r="BI114" s="75">
        <f t="shared" ca="1" si="130"/>
        <v>0</v>
      </c>
      <c r="BJ114" s="100">
        <f t="shared" ca="1" si="131"/>
        <v>0</v>
      </c>
      <c r="BK114" s="99">
        <f t="shared" ca="1" si="132"/>
        <v>0</v>
      </c>
      <c r="BL114" s="99">
        <f t="shared" ca="1" si="133"/>
        <v>0</v>
      </c>
      <c r="BM114" s="99">
        <f t="shared" ca="1" si="134"/>
        <v>0</v>
      </c>
      <c r="BN114" s="101">
        <f t="shared" ca="1" si="173"/>
        <v>0</v>
      </c>
      <c r="BO114" s="101">
        <f t="shared" ca="1" si="174"/>
        <v>0</v>
      </c>
      <c r="BP114" s="101">
        <f t="shared" ca="1" si="175"/>
        <v>0</v>
      </c>
      <c r="BR114" s="78">
        <f t="shared" ca="1" si="135"/>
        <v>0</v>
      </c>
      <c r="BS114" s="288" t="e">
        <f t="shared" ca="1" si="176"/>
        <v>#DIV/0!</v>
      </c>
      <c r="BT114" s="75">
        <f t="shared" ca="1" si="136"/>
        <v>0</v>
      </c>
      <c r="BU114" s="100">
        <f t="shared" ca="1" si="137"/>
        <v>0</v>
      </c>
      <c r="BV114" s="99">
        <f t="shared" ca="1" si="138"/>
        <v>0</v>
      </c>
      <c r="BW114" s="99">
        <f t="shared" ca="1" si="139"/>
        <v>0</v>
      </c>
      <c r="BX114" s="99">
        <f t="shared" ca="1" si="140"/>
        <v>0</v>
      </c>
      <c r="BY114" s="101">
        <f t="shared" ca="1" si="177"/>
        <v>0</v>
      </c>
      <c r="BZ114" s="101">
        <f t="shared" ca="1" si="178"/>
        <v>0</v>
      </c>
      <c r="CA114" s="101">
        <f t="shared" ca="1" si="179"/>
        <v>0</v>
      </c>
    </row>
    <row r="115" spans="1:79" x14ac:dyDescent="0.25">
      <c r="A115" s="94">
        <f t="shared" si="163"/>
        <v>39845</v>
      </c>
      <c r="B115" s="95">
        <f t="shared" ca="1" si="142"/>
        <v>3.5509999999999993</v>
      </c>
      <c r="C115" s="77">
        <f t="shared" ca="1" si="143"/>
        <v>5.5120002219985281E-2</v>
      </c>
      <c r="D115" s="95">
        <f t="shared" ca="1" si="100"/>
        <v>0</v>
      </c>
      <c r="E115" s="97">
        <f t="shared" ca="1" si="101"/>
        <v>2577</v>
      </c>
      <c r="F115" s="77" t="e">
        <f t="shared" ca="1" si="102"/>
        <v>#DIV/0!</v>
      </c>
      <c r="G115" s="77" t="e">
        <f ca="1">IF(B$16=1,_xll.xCalcSkew(A115,H115-AL115,b)/100,0)</f>
        <v>#DIV/0!</v>
      </c>
      <c r="H115" s="96">
        <f t="shared" ca="1" si="103"/>
        <v>2.44</v>
      </c>
      <c r="J115" s="95">
        <f t="shared" ca="1" si="104"/>
        <v>0</v>
      </c>
      <c r="K115" s="97">
        <f t="shared" ca="1" si="105"/>
        <v>2577</v>
      </c>
      <c r="L115" s="172" t="e">
        <f t="shared" ca="1" si="106"/>
        <v>#DIV/0!</v>
      </c>
      <c r="M115" s="77" t="e">
        <f ca="1">IF(D$16=1,_xll.xCalcSkew($A115,N115-AW115,b)/100,0)</f>
        <v>#DIV/0!</v>
      </c>
      <c r="N115" s="96">
        <f t="shared" ca="1" si="107"/>
        <v>2.44</v>
      </c>
      <c r="P115" s="95">
        <f t="shared" ca="1" si="108"/>
        <v>0</v>
      </c>
      <c r="Q115" s="97">
        <f t="shared" ca="1" si="109"/>
        <v>2577</v>
      </c>
      <c r="R115" s="172" t="e">
        <f t="shared" ca="1" si="110"/>
        <v>#DIV/0!</v>
      </c>
      <c r="S115" s="77" t="e">
        <f ca="1">IF(F$16=1,_xll.xCalcSkew($A115,T115-BH115,b)/100,0)</f>
        <v>#DIV/0!</v>
      </c>
      <c r="T115" s="96">
        <f t="shared" ca="1" si="111"/>
        <v>2.44</v>
      </c>
      <c r="V115" s="95">
        <f t="shared" ca="1" si="112"/>
        <v>0</v>
      </c>
      <c r="W115" s="97">
        <f t="shared" ca="1" si="113"/>
        <v>2577</v>
      </c>
      <c r="X115" s="77" t="e">
        <f t="shared" ca="1" si="114"/>
        <v>#DIV/0!</v>
      </c>
      <c r="Y115" s="77" t="e">
        <f ca="1">IF(H$16=1,_xll.xCalcSkew($A115,Z115-BS115,b)/100,0)</f>
        <v>#DIV/0!</v>
      </c>
      <c r="Z115" s="96">
        <f t="shared" ca="1" si="115"/>
        <v>2.44</v>
      </c>
      <c r="AC115" s="97">
        <f t="shared" ca="1" si="144"/>
        <v>2578</v>
      </c>
      <c r="AD115" s="97">
        <f t="shared" ca="1" si="145"/>
        <v>2577</v>
      </c>
      <c r="AE115" s="77">
        <f t="shared" ca="1" si="146"/>
        <v>5.5629285809112097E-2</v>
      </c>
      <c r="AF115" s="152">
        <f t="shared" si="116"/>
        <v>28</v>
      </c>
      <c r="AI115" s="97"/>
      <c r="AJ115" s="78"/>
      <c r="AK115" s="78">
        <f t="shared" ca="1" si="117"/>
        <v>0</v>
      </c>
      <c r="AL115" s="288" t="e">
        <f t="shared" ca="1" si="164"/>
        <v>#DIV/0!</v>
      </c>
      <c r="AM115" s="75">
        <f t="shared" ca="1" si="118"/>
        <v>0</v>
      </c>
      <c r="AN115" s="100">
        <f t="shared" ca="1" si="119"/>
        <v>0</v>
      </c>
      <c r="AO115" s="99">
        <f t="shared" ca="1" si="120"/>
        <v>0</v>
      </c>
      <c r="AP115" s="99">
        <f t="shared" ca="1" si="121"/>
        <v>0</v>
      </c>
      <c r="AQ115" s="99">
        <f t="shared" ca="1" si="122"/>
        <v>0</v>
      </c>
      <c r="AR115" s="101">
        <f t="shared" ca="1" si="165"/>
        <v>0</v>
      </c>
      <c r="AS115" s="101">
        <f t="shared" ca="1" si="166"/>
        <v>0</v>
      </c>
      <c r="AT115" s="101">
        <f t="shared" ca="1" si="167"/>
        <v>0</v>
      </c>
      <c r="AV115" s="78">
        <f t="shared" ca="1" si="123"/>
        <v>0</v>
      </c>
      <c r="AW115" s="288" t="e">
        <f t="shared" ca="1" si="168"/>
        <v>#DIV/0!</v>
      </c>
      <c r="AX115" s="75">
        <f t="shared" ca="1" si="124"/>
        <v>0</v>
      </c>
      <c r="AY115" s="100">
        <f t="shared" ca="1" si="125"/>
        <v>0</v>
      </c>
      <c r="AZ115" s="99">
        <f t="shared" ca="1" si="126"/>
        <v>0</v>
      </c>
      <c r="BA115" s="99">
        <f t="shared" ca="1" si="127"/>
        <v>0</v>
      </c>
      <c r="BB115" s="99">
        <f t="shared" ca="1" si="128"/>
        <v>0</v>
      </c>
      <c r="BC115" s="101">
        <f t="shared" ca="1" si="169"/>
        <v>0</v>
      </c>
      <c r="BD115" s="101">
        <f t="shared" ca="1" si="170"/>
        <v>0</v>
      </c>
      <c r="BE115" s="101">
        <f t="shared" ca="1" si="171"/>
        <v>0</v>
      </c>
      <c r="BG115" s="78">
        <f t="shared" ca="1" si="129"/>
        <v>0</v>
      </c>
      <c r="BH115" s="288" t="e">
        <f t="shared" ca="1" si="172"/>
        <v>#DIV/0!</v>
      </c>
      <c r="BI115" s="75">
        <f t="shared" ca="1" si="130"/>
        <v>0</v>
      </c>
      <c r="BJ115" s="100">
        <f t="shared" ca="1" si="131"/>
        <v>0</v>
      </c>
      <c r="BK115" s="99">
        <f t="shared" ca="1" si="132"/>
        <v>0</v>
      </c>
      <c r="BL115" s="99">
        <f t="shared" ca="1" si="133"/>
        <v>0</v>
      </c>
      <c r="BM115" s="99">
        <f t="shared" ca="1" si="134"/>
        <v>0</v>
      </c>
      <c r="BN115" s="101">
        <f t="shared" ca="1" si="173"/>
        <v>0</v>
      </c>
      <c r="BO115" s="101">
        <f t="shared" ca="1" si="174"/>
        <v>0</v>
      </c>
      <c r="BP115" s="101">
        <f t="shared" ca="1" si="175"/>
        <v>0</v>
      </c>
      <c r="BR115" s="78">
        <f t="shared" ca="1" si="135"/>
        <v>0</v>
      </c>
      <c r="BS115" s="288" t="e">
        <f t="shared" ca="1" si="176"/>
        <v>#DIV/0!</v>
      </c>
      <c r="BT115" s="75">
        <f t="shared" ca="1" si="136"/>
        <v>0</v>
      </c>
      <c r="BU115" s="100">
        <f t="shared" ca="1" si="137"/>
        <v>0</v>
      </c>
      <c r="BV115" s="99">
        <f t="shared" ca="1" si="138"/>
        <v>0</v>
      </c>
      <c r="BW115" s="99">
        <f t="shared" ca="1" si="139"/>
        <v>0</v>
      </c>
      <c r="BX115" s="99">
        <f t="shared" ca="1" si="140"/>
        <v>0</v>
      </c>
      <c r="BY115" s="101">
        <f t="shared" ca="1" si="177"/>
        <v>0</v>
      </c>
      <c r="BZ115" s="101">
        <f t="shared" ca="1" si="178"/>
        <v>0</v>
      </c>
      <c r="CA115" s="101">
        <f t="shared" ca="1" si="179"/>
        <v>0</v>
      </c>
    </row>
    <row r="116" spans="1:79" x14ac:dyDescent="0.25">
      <c r="A116" s="94">
        <f t="shared" si="163"/>
        <v>39873</v>
      </c>
      <c r="B116" s="95">
        <f t="shared" ca="1" si="142"/>
        <v>3.4999999999999991</v>
      </c>
      <c r="C116" s="77">
        <f t="shared" ca="1" si="143"/>
        <v>5.5903773547371957E-2</v>
      </c>
      <c r="D116" s="95">
        <f t="shared" ca="1" si="100"/>
        <v>0</v>
      </c>
      <c r="E116" s="97">
        <f t="shared" ca="1" si="101"/>
        <v>2605</v>
      </c>
      <c r="F116" s="77" t="e">
        <f t="shared" ca="1" si="102"/>
        <v>#DIV/0!</v>
      </c>
      <c r="G116" s="77" t="e">
        <f ca="1">IF(B$16=1,_xll.xCalcSkew(A116,H116-AL116,b)/100,0)</f>
        <v>#DIV/0!</v>
      </c>
      <c r="H116" s="96">
        <f t="shared" ca="1" si="103"/>
        <v>2.44</v>
      </c>
      <c r="J116" s="95">
        <f t="shared" ca="1" si="104"/>
        <v>0</v>
      </c>
      <c r="K116" s="97">
        <f t="shared" ca="1" si="105"/>
        <v>2605</v>
      </c>
      <c r="L116" s="172" t="e">
        <f t="shared" ca="1" si="106"/>
        <v>#DIV/0!</v>
      </c>
      <c r="M116" s="77" t="e">
        <f ca="1">IF(D$16=1,_xll.xCalcSkew($A116,N116-AW116,b)/100,0)</f>
        <v>#DIV/0!</v>
      </c>
      <c r="N116" s="96">
        <f t="shared" ca="1" si="107"/>
        <v>2.44</v>
      </c>
      <c r="P116" s="95">
        <f t="shared" ca="1" si="108"/>
        <v>0</v>
      </c>
      <c r="Q116" s="97">
        <f t="shared" ca="1" si="109"/>
        <v>2605</v>
      </c>
      <c r="R116" s="172" t="e">
        <f t="shared" ca="1" si="110"/>
        <v>#DIV/0!</v>
      </c>
      <c r="S116" s="77" t="e">
        <f ca="1">IF(F$16=1,_xll.xCalcSkew($A116,T116-BH116,b)/100,0)</f>
        <v>#DIV/0!</v>
      </c>
      <c r="T116" s="96">
        <f t="shared" ca="1" si="111"/>
        <v>2.44</v>
      </c>
      <c r="V116" s="95">
        <f t="shared" ca="1" si="112"/>
        <v>0</v>
      </c>
      <c r="W116" s="97">
        <f t="shared" ca="1" si="113"/>
        <v>2605</v>
      </c>
      <c r="X116" s="77" t="e">
        <f t="shared" ca="1" si="114"/>
        <v>#DIV/0!</v>
      </c>
      <c r="Y116" s="77" t="e">
        <f ca="1">IF(H$16=1,_xll.xCalcSkew($A116,Z116-BS116,b)/100,0)</f>
        <v>#DIV/0!</v>
      </c>
      <c r="Z116" s="96">
        <f t="shared" ca="1" si="115"/>
        <v>2.44</v>
      </c>
      <c r="AC116" s="97">
        <f t="shared" ca="1" si="144"/>
        <v>2606</v>
      </c>
      <c r="AD116" s="97">
        <f t="shared" ca="1" si="145"/>
        <v>2605</v>
      </c>
      <c r="AE116" s="77">
        <f t="shared" ca="1" si="146"/>
        <v>5.5732784192703999E-2</v>
      </c>
      <c r="AF116" s="152">
        <f t="shared" si="116"/>
        <v>31</v>
      </c>
      <c r="AI116" s="97"/>
      <c r="AJ116" s="78"/>
      <c r="AK116" s="78">
        <f t="shared" ca="1" si="117"/>
        <v>0</v>
      </c>
      <c r="AL116" s="288" t="e">
        <f t="shared" ca="1" si="164"/>
        <v>#DIV/0!</v>
      </c>
      <c r="AM116" s="75">
        <f t="shared" ca="1" si="118"/>
        <v>0</v>
      </c>
      <c r="AN116" s="100">
        <f t="shared" ca="1" si="119"/>
        <v>0</v>
      </c>
      <c r="AO116" s="99">
        <f t="shared" ca="1" si="120"/>
        <v>0</v>
      </c>
      <c r="AP116" s="99">
        <f t="shared" ca="1" si="121"/>
        <v>0</v>
      </c>
      <c r="AQ116" s="99">
        <f t="shared" ca="1" si="122"/>
        <v>0</v>
      </c>
      <c r="AR116" s="101">
        <f t="shared" ca="1" si="165"/>
        <v>0</v>
      </c>
      <c r="AS116" s="101">
        <f t="shared" ca="1" si="166"/>
        <v>0</v>
      </c>
      <c r="AT116" s="101">
        <f t="shared" ca="1" si="167"/>
        <v>0</v>
      </c>
      <c r="AV116" s="78">
        <f t="shared" ca="1" si="123"/>
        <v>0</v>
      </c>
      <c r="AW116" s="288" t="e">
        <f t="shared" ca="1" si="168"/>
        <v>#DIV/0!</v>
      </c>
      <c r="AX116" s="75">
        <f t="shared" ca="1" si="124"/>
        <v>0</v>
      </c>
      <c r="AY116" s="100">
        <f t="shared" ca="1" si="125"/>
        <v>0</v>
      </c>
      <c r="AZ116" s="99">
        <f t="shared" ca="1" si="126"/>
        <v>0</v>
      </c>
      <c r="BA116" s="99">
        <f t="shared" ca="1" si="127"/>
        <v>0</v>
      </c>
      <c r="BB116" s="99">
        <f t="shared" ca="1" si="128"/>
        <v>0</v>
      </c>
      <c r="BC116" s="101">
        <f t="shared" ca="1" si="169"/>
        <v>0</v>
      </c>
      <c r="BD116" s="101">
        <f t="shared" ca="1" si="170"/>
        <v>0</v>
      </c>
      <c r="BE116" s="101">
        <f t="shared" ca="1" si="171"/>
        <v>0</v>
      </c>
      <c r="BG116" s="78">
        <f t="shared" ca="1" si="129"/>
        <v>0</v>
      </c>
      <c r="BH116" s="288" t="e">
        <f t="shared" ca="1" si="172"/>
        <v>#DIV/0!</v>
      </c>
      <c r="BI116" s="75">
        <f t="shared" ca="1" si="130"/>
        <v>0</v>
      </c>
      <c r="BJ116" s="100">
        <f t="shared" ca="1" si="131"/>
        <v>0</v>
      </c>
      <c r="BK116" s="99">
        <f t="shared" ca="1" si="132"/>
        <v>0</v>
      </c>
      <c r="BL116" s="99">
        <f t="shared" ca="1" si="133"/>
        <v>0</v>
      </c>
      <c r="BM116" s="99">
        <f t="shared" ca="1" si="134"/>
        <v>0</v>
      </c>
      <c r="BN116" s="101">
        <f t="shared" ca="1" si="173"/>
        <v>0</v>
      </c>
      <c r="BO116" s="101">
        <f t="shared" ca="1" si="174"/>
        <v>0</v>
      </c>
      <c r="BP116" s="101">
        <f t="shared" ca="1" si="175"/>
        <v>0</v>
      </c>
      <c r="BR116" s="78">
        <f t="shared" ca="1" si="135"/>
        <v>0</v>
      </c>
      <c r="BS116" s="288" t="e">
        <f t="shared" ca="1" si="176"/>
        <v>#DIV/0!</v>
      </c>
      <c r="BT116" s="75">
        <f t="shared" ca="1" si="136"/>
        <v>0</v>
      </c>
      <c r="BU116" s="100">
        <f t="shared" ca="1" si="137"/>
        <v>0</v>
      </c>
      <c r="BV116" s="99">
        <f t="shared" ca="1" si="138"/>
        <v>0</v>
      </c>
      <c r="BW116" s="99">
        <f t="shared" ca="1" si="139"/>
        <v>0</v>
      </c>
      <c r="BX116" s="99">
        <f t="shared" ca="1" si="140"/>
        <v>0</v>
      </c>
      <c r="BY116" s="101">
        <f t="shared" ca="1" si="177"/>
        <v>0</v>
      </c>
      <c r="BZ116" s="101">
        <f t="shared" ca="1" si="178"/>
        <v>0</v>
      </c>
      <c r="CA116" s="101">
        <f t="shared" ca="1" si="179"/>
        <v>0</v>
      </c>
    </row>
    <row r="117" spans="1:79" x14ac:dyDescent="0.25">
      <c r="A117" s="94">
        <f t="shared" si="163"/>
        <v>39904</v>
      </c>
      <c r="B117" s="95">
        <f t="shared" ca="1" si="142"/>
        <v>3.2809999999999993</v>
      </c>
      <c r="C117" s="77">
        <f t="shared" ca="1" si="143"/>
        <v>5.9618856636164709E-2</v>
      </c>
      <c r="D117" s="95">
        <f t="shared" ca="1" si="100"/>
        <v>0</v>
      </c>
      <c r="E117" s="97">
        <f t="shared" ca="1" si="101"/>
        <v>2635</v>
      </c>
      <c r="F117" s="77" t="e">
        <f t="shared" ca="1" si="102"/>
        <v>#DIV/0!</v>
      </c>
      <c r="G117" s="77" t="e">
        <f ca="1">IF(B$16=1,_xll.xCalcSkew(A117,H117-AL117,b)/100,0)</f>
        <v>#DIV/0!</v>
      </c>
      <c r="H117" s="96">
        <f t="shared" ca="1" si="103"/>
        <v>2.44</v>
      </c>
      <c r="J117" s="95">
        <f t="shared" ca="1" si="104"/>
        <v>0</v>
      </c>
      <c r="K117" s="97">
        <f t="shared" ca="1" si="105"/>
        <v>2635</v>
      </c>
      <c r="L117" s="172" t="e">
        <f t="shared" ca="1" si="106"/>
        <v>#DIV/0!</v>
      </c>
      <c r="M117" s="77" t="e">
        <f ca="1">IF(D$16=1,_xll.xCalcSkew($A117,N117-AW117,b)/100,0)</f>
        <v>#DIV/0!</v>
      </c>
      <c r="N117" s="96">
        <f t="shared" ca="1" si="107"/>
        <v>2.44</v>
      </c>
      <c r="P117" s="95">
        <f t="shared" ca="1" si="108"/>
        <v>0</v>
      </c>
      <c r="Q117" s="97">
        <f t="shared" ca="1" si="109"/>
        <v>2635</v>
      </c>
      <c r="R117" s="172" t="e">
        <f t="shared" ca="1" si="110"/>
        <v>#DIV/0!</v>
      </c>
      <c r="S117" s="77" t="e">
        <f ca="1">IF(F$16=1,_xll.xCalcSkew($A117,T117-BH117,b)/100,0)</f>
        <v>#DIV/0!</v>
      </c>
      <c r="T117" s="96">
        <f t="shared" ca="1" si="111"/>
        <v>2.44</v>
      </c>
      <c r="V117" s="95">
        <f t="shared" ca="1" si="112"/>
        <v>0</v>
      </c>
      <c r="W117" s="97">
        <f t="shared" ca="1" si="113"/>
        <v>2635</v>
      </c>
      <c r="X117" s="77" t="e">
        <f t="shared" ca="1" si="114"/>
        <v>#DIV/0!</v>
      </c>
      <c r="Y117" s="77" t="e">
        <f ca="1">IF(H$16=1,_xll.xCalcSkew($A117,Z117-BS117,b)/100,0)</f>
        <v>#DIV/0!</v>
      </c>
      <c r="Z117" s="96">
        <f t="shared" ca="1" si="115"/>
        <v>2.44</v>
      </c>
      <c r="AC117" s="97">
        <f t="shared" ca="1" si="144"/>
        <v>2636</v>
      </c>
      <c r="AD117" s="97">
        <f t="shared" ca="1" si="145"/>
        <v>2635</v>
      </c>
      <c r="AE117" s="77">
        <f t="shared" ca="1" si="146"/>
        <v>5.5826266606755499E-2</v>
      </c>
      <c r="AF117" s="152">
        <f t="shared" si="116"/>
        <v>30</v>
      </c>
      <c r="AI117" s="97"/>
      <c r="AJ117" s="78"/>
      <c r="AK117" s="78">
        <f t="shared" ca="1" si="117"/>
        <v>0</v>
      </c>
      <c r="AL117" s="288" t="e">
        <f t="shared" ca="1" si="164"/>
        <v>#DIV/0!</v>
      </c>
      <c r="AM117" s="75">
        <f t="shared" ca="1" si="118"/>
        <v>0</v>
      </c>
      <c r="AN117" s="100">
        <f t="shared" ca="1" si="119"/>
        <v>0</v>
      </c>
      <c r="AO117" s="99">
        <f t="shared" ca="1" si="120"/>
        <v>0</v>
      </c>
      <c r="AP117" s="99">
        <f t="shared" ca="1" si="121"/>
        <v>0</v>
      </c>
      <c r="AQ117" s="99">
        <f t="shared" ca="1" si="122"/>
        <v>0</v>
      </c>
      <c r="AR117" s="101">
        <f t="shared" ca="1" si="165"/>
        <v>0</v>
      </c>
      <c r="AS117" s="101">
        <f t="shared" ca="1" si="166"/>
        <v>0</v>
      </c>
      <c r="AT117" s="101">
        <f t="shared" ca="1" si="167"/>
        <v>0</v>
      </c>
      <c r="AV117" s="78">
        <f t="shared" ca="1" si="123"/>
        <v>0</v>
      </c>
      <c r="AW117" s="288" t="e">
        <f t="shared" ca="1" si="168"/>
        <v>#DIV/0!</v>
      </c>
      <c r="AX117" s="75">
        <f t="shared" ca="1" si="124"/>
        <v>0</v>
      </c>
      <c r="AY117" s="100">
        <f t="shared" ca="1" si="125"/>
        <v>0</v>
      </c>
      <c r="AZ117" s="99">
        <f t="shared" ca="1" si="126"/>
        <v>0</v>
      </c>
      <c r="BA117" s="99">
        <f t="shared" ca="1" si="127"/>
        <v>0</v>
      </c>
      <c r="BB117" s="99">
        <f t="shared" ca="1" si="128"/>
        <v>0</v>
      </c>
      <c r="BC117" s="101">
        <f t="shared" ca="1" si="169"/>
        <v>0</v>
      </c>
      <c r="BD117" s="101">
        <f t="shared" ca="1" si="170"/>
        <v>0</v>
      </c>
      <c r="BE117" s="101">
        <f t="shared" ca="1" si="171"/>
        <v>0</v>
      </c>
      <c r="BG117" s="78">
        <f t="shared" ca="1" si="129"/>
        <v>0</v>
      </c>
      <c r="BH117" s="288" t="e">
        <f t="shared" ca="1" si="172"/>
        <v>#DIV/0!</v>
      </c>
      <c r="BI117" s="75">
        <f t="shared" ca="1" si="130"/>
        <v>0</v>
      </c>
      <c r="BJ117" s="100">
        <f t="shared" ca="1" si="131"/>
        <v>0</v>
      </c>
      <c r="BK117" s="99">
        <f t="shared" ca="1" si="132"/>
        <v>0</v>
      </c>
      <c r="BL117" s="99">
        <f t="shared" ca="1" si="133"/>
        <v>0</v>
      </c>
      <c r="BM117" s="99">
        <f t="shared" ca="1" si="134"/>
        <v>0</v>
      </c>
      <c r="BN117" s="101">
        <f t="shared" ca="1" si="173"/>
        <v>0</v>
      </c>
      <c r="BO117" s="101">
        <f t="shared" ca="1" si="174"/>
        <v>0</v>
      </c>
      <c r="BP117" s="101">
        <f t="shared" ca="1" si="175"/>
        <v>0</v>
      </c>
      <c r="BR117" s="78">
        <f t="shared" ca="1" si="135"/>
        <v>0</v>
      </c>
      <c r="BS117" s="288" t="e">
        <f t="shared" ca="1" si="176"/>
        <v>#DIV/0!</v>
      </c>
      <c r="BT117" s="75">
        <f t="shared" ca="1" si="136"/>
        <v>0</v>
      </c>
      <c r="BU117" s="100">
        <f t="shared" ca="1" si="137"/>
        <v>0</v>
      </c>
      <c r="BV117" s="99">
        <f t="shared" ca="1" si="138"/>
        <v>0</v>
      </c>
      <c r="BW117" s="99">
        <f t="shared" ca="1" si="139"/>
        <v>0</v>
      </c>
      <c r="BX117" s="99">
        <f t="shared" ca="1" si="140"/>
        <v>0</v>
      </c>
      <c r="BY117" s="101">
        <f t="shared" ca="1" si="177"/>
        <v>0</v>
      </c>
      <c r="BZ117" s="101">
        <f t="shared" ca="1" si="178"/>
        <v>0</v>
      </c>
      <c r="CA117" s="101">
        <f t="shared" ca="1" si="179"/>
        <v>0</v>
      </c>
    </row>
    <row r="118" spans="1:79" x14ac:dyDescent="0.25">
      <c r="A118" s="94">
        <f t="shared" si="163"/>
        <v>39934</v>
      </c>
      <c r="B118" s="95">
        <f t="shared" ca="1" si="142"/>
        <v>3.2839999999999989</v>
      </c>
      <c r="C118" s="77">
        <f t="shared" ca="1" si="143"/>
        <v>5.9545742761150204E-2</v>
      </c>
      <c r="D118" s="95">
        <f t="shared" ca="1" si="100"/>
        <v>0</v>
      </c>
      <c r="E118" s="97">
        <f t="shared" ca="1" si="101"/>
        <v>2667</v>
      </c>
      <c r="F118" s="77" t="e">
        <f t="shared" ca="1" si="102"/>
        <v>#DIV/0!</v>
      </c>
      <c r="G118" s="77" t="e">
        <f ca="1">IF(B$16=1,_xll.xCalcSkew(A118,H118-AL118,b)/100,0)</f>
        <v>#DIV/0!</v>
      </c>
      <c r="H118" s="96">
        <f t="shared" ca="1" si="103"/>
        <v>2.44</v>
      </c>
      <c r="J118" s="95">
        <f t="shared" ca="1" si="104"/>
        <v>0</v>
      </c>
      <c r="K118" s="97">
        <f t="shared" ca="1" si="105"/>
        <v>2667</v>
      </c>
      <c r="L118" s="172" t="e">
        <f t="shared" ca="1" si="106"/>
        <v>#DIV/0!</v>
      </c>
      <c r="M118" s="77" t="e">
        <f ca="1">IF(D$16=1,_xll.xCalcSkew($A118,N118-AW118,b)/100,0)</f>
        <v>#DIV/0!</v>
      </c>
      <c r="N118" s="96">
        <f t="shared" ca="1" si="107"/>
        <v>2.44</v>
      </c>
      <c r="P118" s="95">
        <f t="shared" ca="1" si="108"/>
        <v>0</v>
      </c>
      <c r="Q118" s="97">
        <f t="shared" ca="1" si="109"/>
        <v>2667</v>
      </c>
      <c r="R118" s="172" t="e">
        <f t="shared" ca="1" si="110"/>
        <v>#DIV/0!</v>
      </c>
      <c r="S118" s="77" t="e">
        <f ca="1">IF(F$16=1,_xll.xCalcSkew($A118,T118-BH118,b)/100,0)</f>
        <v>#DIV/0!</v>
      </c>
      <c r="T118" s="96">
        <f t="shared" ca="1" si="111"/>
        <v>2.44</v>
      </c>
      <c r="V118" s="95">
        <f t="shared" ca="1" si="112"/>
        <v>0</v>
      </c>
      <c r="W118" s="97">
        <f t="shared" ca="1" si="113"/>
        <v>2667</v>
      </c>
      <c r="X118" s="77" t="e">
        <f t="shared" ca="1" si="114"/>
        <v>#DIV/0!</v>
      </c>
      <c r="Y118" s="77" t="e">
        <f ca="1">IF(H$16=1,_xll.xCalcSkew($A118,Z118-BS118,b)/100,0)</f>
        <v>#DIV/0!</v>
      </c>
      <c r="Z118" s="96">
        <f t="shared" ca="1" si="115"/>
        <v>2.44</v>
      </c>
      <c r="AC118" s="97">
        <f t="shared" ca="1" si="144"/>
        <v>2668</v>
      </c>
      <c r="AD118" s="97">
        <f t="shared" ca="1" si="145"/>
        <v>2667</v>
      </c>
      <c r="AE118" s="77">
        <f t="shared" ca="1" si="146"/>
        <v>5.5929764997134403E-2</v>
      </c>
      <c r="AF118" s="152">
        <f t="shared" si="116"/>
        <v>31</v>
      </c>
      <c r="AI118" s="97"/>
      <c r="AJ118" s="78"/>
      <c r="AK118" s="78">
        <f t="shared" ca="1" si="117"/>
        <v>0</v>
      </c>
      <c r="AL118" s="288" t="e">
        <f t="shared" ca="1" si="164"/>
        <v>#DIV/0!</v>
      </c>
      <c r="AM118" s="75">
        <f t="shared" ca="1" si="118"/>
        <v>0</v>
      </c>
      <c r="AN118" s="100">
        <f t="shared" ca="1" si="119"/>
        <v>0</v>
      </c>
      <c r="AO118" s="99">
        <f t="shared" ca="1" si="120"/>
        <v>0</v>
      </c>
      <c r="AP118" s="99">
        <f t="shared" ca="1" si="121"/>
        <v>0</v>
      </c>
      <c r="AQ118" s="99">
        <f t="shared" ca="1" si="122"/>
        <v>0</v>
      </c>
      <c r="AR118" s="101">
        <f t="shared" ca="1" si="165"/>
        <v>0</v>
      </c>
      <c r="AS118" s="101">
        <f t="shared" ca="1" si="166"/>
        <v>0</v>
      </c>
      <c r="AT118" s="101">
        <f t="shared" ca="1" si="167"/>
        <v>0</v>
      </c>
      <c r="AV118" s="78">
        <f t="shared" ca="1" si="123"/>
        <v>0</v>
      </c>
      <c r="AW118" s="288" t="e">
        <f t="shared" ca="1" si="168"/>
        <v>#DIV/0!</v>
      </c>
      <c r="AX118" s="75">
        <f t="shared" ca="1" si="124"/>
        <v>0</v>
      </c>
      <c r="AY118" s="100">
        <f t="shared" ca="1" si="125"/>
        <v>0</v>
      </c>
      <c r="AZ118" s="99">
        <f t="shared" ca="1" si="126"/>
        <v>0</v>
      </c>
      <c r="BA118" s="99">
        <f t="shared" ca="1" si="127"/>
        <v>0</v>
      </c>
      <c r="BB118" s="99">
        <f t="shared" ca="1" si="128"/>
        <v>0</v>
      </c>
      <c r="BC118" s="101">
        <f t="shared" ca="1" si="169"/>
        <v>0</v>
      </c>
      <c r="BD118" s="101">
        <f t="shared" ca="1" si="170"/>
        <v>0</v>
      </c>
      <c r="BE118" s="101">
        <f t="shared" ca="1" si="171"/>
        <v>0</v>
      </c>
      <c r="BG118" s="78">
        <f t="shared" ca="1" si="129"/>
        <v>0</v>
      </c>
      <c r="BH118" s="288" t="e">
        <f t="shared" ca="1" si="172"/>
        <v>#DIV/0!</v>
      </c>
      <c r="BI118" s="75">
        <f t="shared" ca="1" si="130"/>
        <v>0</v>
      </c>
      <c r="BJ118" s="100">
        <f t="shared" ca="1" si="131"/>
        <v>0</v>
      </c>
      <c r="BK118" s="99">
        <f t="shared" ca="1" si="132"/>
        <v>0</v>
      </c>
      <c r="BL118" s="99">
        <f t="shared" ca="1" si="133"/>
        <v>0</v>
      </c>
      <c r="BM118" s="99">
        <f t="shared" ca="1" si="134"/>
        <v>0</v>
      </c>
      <c r="BN118" s="101">
        <f t="shared" ca="1" si="173"/>
        <v>0</v>
      </c>
      <c r="BO118" s="101">
        <f t="shared" ca="1" si="174"/>
        <v>0</v>
      </c>
      <c r="BP118" s="101">
        <f t="shared" ca="1" si="175"/>
        <v>0</v>
      </c>
      <c r="BR118" s="78">
        <f t="shared" ca="1" si="135"/>
        <v>0</v>
      </c>
      <c r="BS118" s="288" t="e">
        <f t="shared" ca="1" si="176"/>
        <v>#DIV/0!</v>
      </c>
      <c r="BT118" s="75">
        <f t="shared" ca="1" si="136"/>
        <v>0</v>
      </c>
      <c r="BU118" s="100">
        <f t="shared" ca="1" si="137"/>
        <v>0</v>
      </c>
      <c r="BV118" s="99">
        <f t="shared" ca="1" si="138"/>
        <v>0</v>
      </c>
      <c r="BW118" s="99">
        <f t="shared" ca="1" si="139"/>
        <v>0</v>
      </c>
      <c r="BX118" s="99">
        <f t="shared" ca="1" si="140"/>
        <v>0</v>
      </c>
      <c r="BY118" s="101">
        <f t="shared" ca="1" si="177"/>
        <v>0</v>
      </c>
      <c r="BZ118" s="101">
        <f t="shared" ca="1" si="178"/>
        <v>0</v>
      </c>
      <c r="CA118" s="101">
        <f t="shared" ca="1" si="179"/>
        <v>0</v>
      </c>
    </row>
    <row r="119" spans="1:79" x14ac:dyDescent="0.25">
      <c r="A119" s="94">
        <f t="shared" si="163"/>
        <v>39965</v>
      </c>
      <c r="B119" s="95">
        <f t="shared" ca="1" si="142"/>
        <v>3.323999999999999</v>
      </c>
      <c r="C119" s="77">
        <f t="shared" ca="1" si="143"/>
        <v>5.8814851263607248E-2</v>
      </c>
      <c r="D119" s="95">
        <f t="shared" ca="1" si="100"/>
        <v>0</v>
      </c>
      <c r="E119" s="97">
        <f t="shared" ca="1" si="101"/>
        <v>2696</v>
      </c>
      <c r="F119" s="77" t="e">
        <f t="shared" ca="1" si="102"/>
        <v>#DIV/0!</v>
      </c>
      <c r="G119" s="77" t="e">
        <f ca="1">IF(B$16=1,_xll.xCalcSkew(A119,H119-AL119,b)/100,0)</f>
        <v>#DIV/0!</v>
      </c>
      <c r="H119" s="96">
        <f t="shared" ca="1" si="103"/>
        <v>2.44</v>
      </c>
      <c r="J119" s="95">
        <f t="shared" ca="1" si="104"/>
        <v>0</v>
      </c>
      <c r="K119" s="97">
        <f t="shared" ca="1" si="105"/>
        <v>2696</v>
      </c>
      <c r="L119" s="172" t="e">
        <f t="shared" ca="1" si="106"/>
        <v>#DIV/0!</v>
      </c>
      <c r="M119" s="77" t="e">
        <f ca="1">IF(D$16=1,_xll.xCalcSkew($A119,N119-AW119,b)/100,0)</f>
        <v>#DIV/0!</v>
      </c>
      <c r="N119" s="96">
        <f t="shared" ca="1" si="107"/>
        <v>2.44</v>
      </c>
      <c r="P119" s="95">
        <f t="shared" ca="1" si="108"/>
        <v>0</v>
      </c>
      <c r="Q119" s="97">
        <f t="shared" ca="1" si="109"/>
        <v>2696</v>
      </c>
      <c r="R119" s="172" t="e">
        <f t="shared" ca="1" si="110"/>
        <v>#DIV/0!</v>
      </c>
      <c r="S119" s="77" t="e">
        <f ca="1">IF(F$16=1,_xll.xCalcSkew($A119,T119-BH119,b)/100,0)</f>
        <v>#DIV/0!</v>
      </c>
      <c r="T119" s="96">
        <f t="shared" ca="1" si="111"/>
        <v>2.44</v>
      </c>
      <c r="V119" s="95">
        <f t="shared" ca="1" si="112"/>
        <v>0</v>
      </c>
      <c r="W119" s="97">
        <f t="shared" ca="1" si="113"/>
        <v>2696</v>
      </c>
      <c r="X119" s="77" t="e">
        <f t="shared" ca="1" si="114"/>
        <v>#DIV/0!</v>
      </c>
      <c r="Y119" s="77" t="e">
        <f ca="1">IF(H$16=1,_xll.xCalcSkew($A119,Z119-BS119,b)/100,0)</f>
        <v>#DIV/0!</v>
      </c>
      <c r="Z119" s="96">
        <f t="shared" ca="1" si="115"/>
        <v>2.44</v>
      </c>
      <c r="AC119" s="97">
        <f t="shared" ca="1" si="144"/>
        <v>2697</v>
      </c>
      <c r="AD119" s="97">
        <f t="shared" ca="1" si="145"/>
        <v>2696</v>
      </c>
      <c r="AE119" s="77">
        <f t="shared" ca="1" si="146"/>
        <v>5.6029924733155503E-2</v>
      </c>
      <c r="AF119" s="152">
        <f t="shared" si="116"/>
        <v>30</v>
      </c>
      <c r="AI119" s="97"/>
      <c r="AJ119" s="78"/>
      <c r="AK119" s="78">
        <f t="shared" ca="1" si="117"/>
        <v>0</v>
      </c>
      <c r="AL119" s="288" t="e">
        <f t="shared" ca="1" si="164"/>
        <v>#DIV/0!</v>
      </c>
      <c r="AM119" s="75">
        <f t="shared" ca="1" si="118"/>
        <v>0</v>
      </c>
      <c r="AN119" s="100">
        <f t="shared" ca="1" si="119"/>
        <v>0</v>
      </c>
      <c r="AO119" s="99">
        <f t="shared" ca="1" si="120"/>
        <v>0</v>
      </c>
      <c r="AP119" s="99">
        <f t="shared" ca="1" si="121"/>
        <v>0</v>
      </c>
      <c r="AQ119" s="99">
        <f t="shared" ca="1" si="122"/>
        <v>0</v>
      </c>
      <c r="AR119" s="101">
        <f t="shared" ca="1" si="165"/>
        <v>0</v>
      </c>
      <c r="AS119" s="101">
        <f t="shared" ca="1" si="166"/>
        <v>0</v>
      </c>
      <c r="AT119" s="101">
        <f t="shared" ca="1" si="167"/>
        <v>0</v>
      </c>
      <c r="AV119" s="78">
        <f t="shared" ca="1" si="123"/>
        <v>0</v>
      </c>
      <c r="AW119" s="288" t="e">
        <f t="shared" ca="1" si="168"/>
        <v>#DIV/0!</v>
      </c>
      <c r="AX119" s="75">
        <f t="shared" ca="1" si="124"/>
        <v>0</v>
      </c>
      <c r="AY119" s="100">
        <f t="shared" ca="1" si="125"/>
        <v>0</v>
      </c>
      <c r="AZ119" s="99">
        <f t="shared" ca="1" si="126"/>
        <v>0</v>
      </c>
      <c r="BA119" s="99">
        <f t="shared" ca="1" si="127"/>
        <v>0</v>
      </c>
      <c r="BB119" s="99">
        <f t="shared" ca="1" si="128"/>
        <v>0</v>
      </c>
      <c r="BC119" s="101">
        <f t="shared" ca="1" si="169"/>
        <v>0</v>
      </c>
      <c r="BD119" s="101">
        <f t="shared" ca="1" si="170"/>
        <v>0</v>
      </c>
      <c r="BE119" s="101">
        <f t="shared" ca="1" si="171"/>
        <v>0</v>
      </c>
      <c r="BG119" s="78">
        <f t="shared" ca="1" si="129"/>
        <v>0</v>
      </c>
      <c r="BH119" s="288" t="e">
        <f t="shared" ca="1" si="172"/>
        <v>#DIV/0!</v>
      </c>
      <c r="BI119" s="75">
        <f t="shared" ca="1" si="130"/>
        <v>0</v>
      </c>
      <c r="BJ119" s="100">
        <f t="shared" ca="1" si="131"/>
        <v>0</v>
      </c>
      <c r="BK119" s="99">
        <f t="shared" ca="1" si="132"/>
        <v>0</v>
      </c>
      <c r="BL119" s="99">
        <f t="shared" ca="1" si="133"/>
        <v>0</v>
      </c>
      <c r="BM119" s="99">
        <f t="shared" ca="1" si="134"/>
        <v>0</v>
      </c>
      <c r="BN119" s="101">
        <f t="shared" ca="1" si="173"/>
        <v>0</v>
      </c>
      <c r="BO119" s="101">
        <f t="shared" ca="1" si="174"/>
        <v>0</v>
      </c>
      <c r="BP119" s="101">
        <f t="shared" ca="1" si="175"/>
        <v>0</v>
      </c>
      <c r="BR119" s="78">
        <f t="shared" ca="1" si="135"/>
        <v>0</v>
      </c>
      <c r="BS119" s="288" t="e">
        <f t="shared" ca="1" si="176"/>
        <v>#DIV/0!</v>
      </c>
      <c r="BT119" s="75">
        <f t="shared" ca="1" si="136"/>
        <v>0</v>
      </c>
      <c r="BU119" s="100">
        <f t="shared" ca="1" si="137"/>
        <v>0</v>
      </c>
      <c r="BV119" s="99">
        <f t="shared" ca="1" si="138"/>
        <v>0</v>
      </c>
      <c r="BW119" s="99">
        <f t="shared" ca="1" si="139"/>
        <v>0</v>
      </c>
      <c r="BX119" s="99">
        <f t="shared" ca="1" si="140"/>
        <v>0</v>
      </c>
      <c r="BY119" s="101">
        <f t="shared" ca="1" si="177"/>
        <v>0</v>
      </c>
      <c r="BZ119" s="101">
        <f t="shared" ca="1" si="178"/>
        <v>0</v>
      </c>
      <c r="CA119" s="101">
        <f t="shared" ca="1" si="179"/>
        <v>0</v>
      </c>
    </row>
    <row r="120" spans="1:79" x14ac:dyDescent="0.25">
      <c r="A120" s="94">
        <f t="shared" si="163"/>
        <v>39995</v>
      </c>
      <c r="B120" s="95">
        <f t="shared" ca="1" si="142"/>
        <v>3.363999999999999</v>
      </c>
      <c r="C120" s="77">
        <f t="shared" ca="1" si="143"/>
        <v>5.8105392627399784E-2</v>
      </c>
      <c r="D120" s="95">
        <f t="shared" ca="1" si="100"/>
        <v>0</v>
      </c>
      <c r="E120" s="97">
        <f t="shared" ca="1" si="101"/>
        <v>2726</v>
      </c>
      <c r="F120" s="77" t="e">
        <f t="shared" ca="1" si="102"/>
        <v>#DIV/0!</v>
      </c>
      <c r="G120" s="77" t="e">
        <f ca="1">IF(B$16=1,_xll.xCalcSkew(A120,H120-AL120,b)/100,0)</f>
        <v>#DIV/0!</v>
      </c>
      <c r="H120" s="96">
        <f t="shared" ca="1" si="103"/>
        <v>2.44</v>
      </c>
      <c r="J120" s="95">
        <f t="shared" ca="1" si="104"/>
        <v>0</v>
      </c>
      <c r="K120" s="97">
        <f t="shared" ca="1" si="105"/>
        <v>2726</v>
      </c>
      <c r="L120" s="172" t="e">
        <f t="shared" ca="1" si="106"/>
        <v>#DIV/0!</v>
      </c>
      <c r="M120" s="77" t="e">
        <f ca="1">IF(D$16=1,_xll.xCalcSkew($A120,N120-AW120,b)/100,0)</f>
        <v>#DIV/0!</v>
      </c>
      <c r="N120" s="96">
        <f t="shared" ca="1" si="107"/>
        <v>2.44</v>
      </c>
      <c r="P120" s="95">
        <f t="shared" ca="1" si="108"/>
        <v>0</v>
      </c>
      <c r="Q120" s="97">
        <f t="shared" ca="1" si="109"/>
        <v>2726</v>
      </c>
      <c r="R120" s="172" t="e">
        <f t="shared" ca="1" si="110"/>
        <v>#DIV/0!</v>
      </c>
      <c r="S120" s="77" t="e">
        <f ca="1">IF(F$16=1,_xll.xCalcSkew($A120,T120-BH120,b)/100,0)</f>
        <v>#DIV/0!</v>
      </c>
      <c r="T120" s="96">
        <f t="shared" ca="1" si="111"/>
        <v>2.44</v>
      </c>
      <c r="V120" s="95">
        <f t="shared" ca="1" si="112"/>
        <v>0</v>
      </c>
      <c r="W120" s="97">
        <f t="shared" ca="1" si="113"/>
        <v>2726</v>
      </c>
      <c r="X120" s="77" t="e">
        <f t="shared" ca="1" si="114"/>
        <v>#DIV/0!</v>
      </c>
      <c r="Y120" s="77" t="e">
        <f ca="1">IF(H$16=1,_xll.xCalcSkew($A120,Z120-BS120,b)/100,0)</f>
        <v>#DIV/0!</v>
      </c>
      <c r="Z120" s="96">
        <f t="shared" ca="1" si="115"/>
        <v>2.44</v>
      </c>
      <c r="AC120" s="97">
        <f t="shared" ca="1" si="144"/>
        <v>2727</v>
      </c>
      <c r="AD120" s="97">
        <f t="shared" ca="1" si="145"/>
        <v>2726</v>
      </c>
      <c r="AE120" s="77">
        <f t="shared" ca="1" si="146"/>
        <v>5.6133423130551502E-2</v>
      </c>
      <c r="AF120" s="152">
        <f t="shared" si="116"/>
        <v>31</v>
      </c>
      <c r="AI120" s="97"/>
      <c r="AJ120" s="78"/>
      <c r="AK120" s="78">
        <f t="shared" ca="1" si="117"/>
        <v>0</v>
      </c>
      <c r="AL120" s="288" t="e">
        <f t="shared" ca="1" si="164"/>
        <v>#DIV/0!</v>
      </c>
      <c r="AM120" s="75">
        <f t="shared" ca="1" si="118"/>
        <v>0</v>
      </c>
      <c r="AN120" s="100">
        <f t="shared" ca="1" si="119"/>
        <v>0</v>
      </c>
      <c r="AO120" s="99">
        <f t="shared" ca="1" si="120"/>
        <v>0</v>
      </c>
      <c r="AP120" s="99">
        <f t="shared" ca="1" si="121"/>
        <v>0</v>
      </c>
      <c r="AQ120" s="99">
        <f t="shared" ca="1" si="122"/>
        <v>0</v>
      </c>
      <c r="AR120" s="101">
        <f t="shared" ca="1" si="165"/>
        <v>0</v>
      </c>
      <c r="AS120" s="101">
        <f t="shared" ca="1" si="166"/>
        <v>0</v>
      </c>
      <c r="AT120" s="101">
        <f t="shared" ca="1" si="167"/>
        <v>0</v>
      </c>
      <c r="AV120" s="78">
        <f t="shared" ca="1" si="123"/>
        <v>0</v>
      </c>
      <c r="AW120" s="288" t="e">
        <f t="shared" ca="1" si="168"/>
        <v>#DIV/0!</v>
      </c>
      <c r="AX120" s="75">
        <f t="shared" ca="1" si="124"/>
        <v>0</v>
      </c>
      <c r="AY120" s="100">
        <f t="shared" ca="1" si="125"/>
        <v>0</v>
      </c>
      <c r="AZ120" s="99">
        <f t="shared" ca="1" si="126"/>
        <v>0</v>
      </c>
      <c r="BA120" s="99">
        <f t="shared" ca="1" si="127"/>
        <v>0</v>
      </c>
      <c r="BB120" s="99">
        <f t="shared" ca="1" si="128"/>
        <v>0</v>
      </c>
      <c r="BC120" s="101">
        <f t="shared" ca="1" si="169"/>
        <v>0</v>
      </c>
      <c r="BD120" s="101">
        <f t="shared" ca="1" si="170"/>
        <v>0</v>
      </c>
      <c r="BE120" s="101">
        <f t="shared" ca="1" si="171"/>
        <v>0</v>
      </c>
      <c r="BG120" s="78">
        <f t="shared" ca="1" si="129"/>
        <v>0</v>
      </c>
      <c r="BH120" s="288" t="e">
        <f t="shared" ca="1" si="172"/>
        <v>#DIV/0!</v>
      </c>
      <c r="BI120" s="75">
        <f t="shared" ca="1" si="130"/>
        <v>0</v>
      </c>
      <c r="BJ120" s="100">
        <f t="shared" ca="1" si="131"/>
        <v>0</v>
      </c>
      <c r="BK120" s="99">
        <f t="shared" ca="1" si="132"/>
        <v>0</v>
      </c>
      <c r="BL120" s="99">
        <f t="shared" ca="1" si="133"/>
        <v>0</v>
      </c>
      <c r="BM120" s="99">
        <f t="shared" ca="1" si="134"/>
        <v>0</v>
      </c>
      <c r="BN120" s="101">
        <f t="shared" ca="1" si="173"/>
        <v>0</v>
      </c>
      <c r="BO120" s="101">
        <f t="shared" ca="1" si="174"/>
        <v>0</v>
      </c>
      <c r="BP120" s="101">
        <f t="shared" ca="1" si="175"/>
        <v>0</v>
      </c>
      <c r="BR120" s="78">
        <f t="shared" ca="1" si="135"/>
        <v>0</v>
      </c>
      <c r="BS120" s="288" t="e">
        <f t="shared" ca="1" si="176"/>
        <v>#DIV/0!</v>
      </c>
      <c r="BT120" s="75">
        <f t="shared" ca="1" si="136"/>
        <v>0</v>
      </c>
      <c r="BU120" s="100">
        <f t="shared" ca="1" si="137"/>
        <v>0</v>
      </c>
      <c r="BV120" s="99">
        <f t="shared" ca="1" si="138"/>
        <v>0</v>
      </c>
      <c r="BW120" s="99">
        <f t="shared" ca="1" si="139"/>
        <v>0</v>
      </c>
      <c r="BX120" s="99">
        <f t="shared" ca="1" si="140"/>
        <v>0</v>
      </c>
      <c r="BY120" s="101">
        <f t="shared" ca="1" si="177"/>
        <v>0</v>
      </c>
      <c r="BZ120" s="101">
        <f t="shared" ca="1" si="178"/>
        <v>0</v>
      </c>
      <c r="CA120" s="101">
        <f t="shared" ca="1" si="179"/>
        <v>0</v>
      </c>
    </row>
    <row r="121" spans="1:79" x14ac:dyDescent="0.25">
      <c r="A121" s="94">
        <f t="shared" si="163"/>
        <v>40026</v>
      </c>
      <c r="B121" s="95">
        <f t="shared" ca="1" si="142"/>
        <v>3.4139999999999993</v>
      </c>
      <c r="C121" s="77">
        <f t="shared" ca="1" si="143"/>
        <v>5.7242430130690823E-2</v>
      </c>
      <c r="D121" s="95">
        <f t="shared" ca="1" si="100"/>
        <v>0</v>
      </c>
      <c r="E121" s="97">
        <f t="shared" ca="1" si="101"/>
        <v>2759</v>
      </c>
      <c r="F121" s="77" t="e">
        <f t="shared" ca="1" si="102"/>
        <v>#DIV/0!</v>
      </c>
      <c r="G121" s="77" t="e">
        <f ca="1">IF(B$16=1,_xll.xCalcSkew(A121,H121-AL121,b)/100,0)</f>
        <v>#DIV/0!</v>
      </c>
      <c r="H121" s="96">
        <f t="shared" ca="1" si="103"/>
        <v>2.44</v>
      </c>
      <c r="J121" s="95">
        <f t="shared" ca="1" si="104"/>
        <v>0</v>
      </c>
      <c r="K121" s="97">
        <f t="shared" ca="1" si="105"/>
        <v>2759</v>
      </c>
      <c r="L121" s="172" t="e">
        <f t="shared" ca="1" si="106"/>
        <v>#DIV/0!</v>
      </c>
      <c r="M121" s="77" t="e">
        <f ca="1">IF(D$16=1,_xll.xCalcSkew($A121,N121-AW121,b)/100,0)</f>
        <v>#DIV/0!</v>
      </c>
      <c r="N121" s="96">
        <f t="shared" ca="1" si="107"/>
        <v>2.44</v>
      </c>
      <c r="P121" s="95">
        <f t="shared" ca="1" si="108"/>
        <v>0</v>
      </c>
      <c r="Q121" s="97">
        <f t="shared" ca="1" si="109"/>
        <v>2759</v>
      </c>
      <c r="R121" s="172" t="e">
        <f t="shared" ca="1" si="110"/>
        <v>#DIV/0!</v>
      </c>
      <c r="S121" s="77" t="e">
        <f ca="1">IF(F$16=1,_xll.xCalcSkew($A121,T121-BH121,b)/100,0)</f>
        <v>#DIV/0!</v>
      </c>
      <c r="T121" s="96">
        <f t="shared" ca="1" si="111"/>
        <v>2.44</v>
      </c>
      <c r="V121" s="95">
        <f t="shared" ca="1" si="112"/>
        <v>0</v>
      </c>
      <c r="W121" s="97">
        <f t="shared" ca="1" si="113"/>
        <v>2759</v>
      </c>
      <c r="X121" s="77" t="e">
        <f t="shared" ca="1" si="114"/>
        <v>#DIV/0!</v>
      </c>
      <c r="Y121" s="77" t="e">
        <f ca="1">IF(H$16=1,_xll.xCalcSkew($A121,Z121-BS121,b)/100,0)</f>
        <v>#DIV/0!</v>
      </c>
      <c r="Z121" s="96">
        <f t="shared" ca="1" si="115"/>
        <v>2.44</v>
      </c>
      <c r="AC121" s="97">
        <f t="shared" ca="1" si="144"/>
        <v>2760</v>
      </c>
      <c r="AD121" s="97">
        <f t="shared" ca="1" si="145"/>
        <v>2759</v>
      </c>
      <c r="AE121" s="77">
        <f t="shared" ca="1" si="146"/>
        <v>5.6233582873363101E-2</v>
      </c>
      <c r="AF121" s="152">
        <f t="shared" si="116"/>
        <v>31</v>
      </c>
      <c r="AI121" s="97"/>
      <c r="AJ121" s="78"/>
      <c r="AK121" s="78">
        <f t="shared" ca="1" si="117"/>
        <v>0</v>
      </c>
      <c r="AL121" s="288" t="e">
        <f t="shared" ca="1" si="164"/>
        <v>#DIV/0!</v>
      </c>
      <c r="AM121" s="75">
        <f t="shared" ca="1" si="118"/>
        <v>0</v>
      </c>
      <c r="AN121" s="100">
        <f t="shared" ca="1" si="119"/>
        <v>0</v>
      </c>
      <c r="AO121" s="99">
        <f t="shared" ca="1" si="120"/>
        <v>0</v>
      </c>
      <c r="AP121" s="99">
        <f t="shared" ca="1" si="121"/>
        <v>0</v>
      </c>
      <c r="AQ121" s="99">
        <f t="shared" ca="1" si="122"/>
        <v>0</v>
      </c>
      <c r="AR121" s="101">
        <f t="shared" ca="1" si="165"/>
        <v>0</v>
      </c>
      <c r="AS121" s="101">
        <f t="shared" ca="1" si="166"/>
        <v>0</v>
      </c>
      <c r="AT121" s="101">
        <f t="shared" ca="1" si="167"/>
        <v>0</v>
      </c>
      <c r="AV121" s="78">
        <f t="shared" ca="1" si="123"/>
        <v>0</v>
      </c>
      <c r="AW121" s="288" t="e">
        <f t="shared" ca="1" si="168"/>
        <v>#DIV/0!</v>
      </c>
      <c r="AX121" s="75">
        <f t="shared" ca="1" si="124"/>
        <v>0</v>
      </c>
      <c r="AY121" s="100">
        <f t="shared" ca="1" si="125"/>
        <v>0</v>
      </c>
      <c r="AZ121" s="99">
        <f t="shared" ca="1" si="126"/>
        <v>0</v>
      </c>
      <c r="BA121" s="99">
        <f t="shared" ca="1" si="127"/>
        <v>0</v>
      </c>
      <c r="BB121" s="99">
        <f t="shared" ca="1" si="128"/>
        <v>0</v>
      </c>
      <c r="BC121" s="101">
        <f t="shared" ca="1" si="169"/>
        <v>0</v>
      </c>
      <c r="BD121" s="101">
        <f t="shared" ca="1" si="170"/>
        <v>0</v>
      </c>
      <c r="BE121" s="101">
        <f t="shared" ca="1" si="171"/>
        <v>0</v>
      </c>
      <c r="BG121" s="78">
        <f t="shared" ca="1" si="129"/>
        <v>0</v>
      </c>
      <c r="BH121" s="288" t="e">
        <f t="shared" ca="1" si="172"/>
        <v>#DIV/0!</v>
      </c>
      <c r="BI121" s="75">
        <f t="shared" ca="1" si="130"/>
        <v>0</v>
      </c>
      <c r="BJ121" s="100">
        <f t="shared" ca="1" si="131"/>
        <v>0</v>
      </c>
      <c r="BK121" s="99">
        <f t="shared" ca="1" si="132"/>
        <v>0</v>
      </c>
      <c r="BL121" s="99">
        <f t="shared" ca="1" si="133"/>
        <v>0</v>
      </c>
      <c r="BM121" s="99">
        <f t="shared" ca="1" si="134"/>
        <v>0</v>
      </c>
      <c r="BN121" s="101">
        <f t="shared" ca="1" si="173"/>
        <v>0</v>
      </c>
      <c r="BO121" s="101">
        <f t="shared" ca="1" si="174"/>
        <v>0</v>
      </c>
      <c r="BP121" s="101">
        <f t="shared" ca="1" si="175"/>
        <v>0</v>
      </c>
      <c r="BR121" s="78">
        <f t="shared" ca="1" si="135"/>
        <v>0</v>
      </c>
      <c r="BS121" s="288" t="e">
        <f t="shared" ca="1" si="176"/>
        <v>#DIV/0!</v>
      </c>
      <c r="BT121" s="75">
        <f t="shared" ca="1" si="136"/>
        <v>0</v>
      </c>
      <c r="BU121" s="100">
        <f t="shared" ca="1" si="137"/>
        <v>0</v>
      </c>
      <c r="BV121" s="99">
        <f t="shared" ca="1" si="138"/>
        <v>0</v>
      </c>
      <c r="BW121" s="99">
        <f t="shared" ca="1" si="139"/>
        <v>0</v>
      </c>
      <c r="BX121" s="99">
        <f t="shared" ca="1" si="140"/>
        <v>0</v>
      </c>
      <c r="BY121" s="101">
        <f t="shared" ca="1" si="177"/>
        <v>0</v>
      </c>
      <c r="BZ121" s="101">
        <f t="shared" ca="1" si="178"/>
        <v>0</v>
      </c>
      <c r="CA121" s="101">
        <f t="shared" ca="1" si="179"/>
        <v>0</v>
      </c>
    </row>
    <row r="122" spans="1:79" x14ac:dyDescent="0.25">
      <c r="A122" s="94">
        <f t="shared" si="163"/>
        <v>40057</v>
      </c>
      <c r="B122" s="95">
        <f t="shared" ca="1" si="142"/>
        <v>3.3989999999999991</v>
      </c>
      <c r="C122" s="77">
        <f t="shared" ca="1" si="143"/>
        <v>5.74978003469497E-2</v>
      </c>
      <c r="D122" s="95">
        <f t="shared" ca="1" si="100"/>
        <v>0</v>
      </c>
      <c r="E122" s="97">
        <f t="shared" ca="1" si="101"/>
        <v>2788</v>
      </c>
      <c r="F122" s="77" t="e">
        <f t="shared" ca="1" si="102"/>
        <v>#DIV/0!</v>
      </c>
      <c r="G122" s="77" t="e">
        <f ca="1">IF(B$16=1,_xll.xCalcSkew(A122,H122-AL122,b)/100,0)</f>
        <v>#DIV/0!</v>
      </c>
      <c r="H122" s="96">
        <f t="shared" ca="1" si="103"/>
        <v>2.44</v>
      </c>
      <c r="J122" s="95">
        <f t="shared" ca="1" si="104"/>
        <v>0</v>
      </c>
      <c r="K122" s="97">
        <f t="shared" ca="1" si="105"/>
        <v>2788</v>
      </c>
      <c r="L122" s="172" t="e">
        <f t="shared" ca="1" si="106"/>
        <v>#DIV/0!</v>
      </c>
      <c r="M122" s="77" t="e">
        <f ca="1">IF(D$16=1,_xll.xCalcSkew($A122,N122-AW122,b)/100,0)</f>
        <v>#DIV/0!</v>
      </c>
      <c r="N122" s="96">
        <f t="shared" ca="1" si="107"/>
        <v>2.44</v>
      </c>
      <c r="P122" s="95">
        <f t="shared" ca="1" si="108"/>
        <v>0</v>
      </c>
      <c r="Q122" s="97">
        <f t="shared" ca="1" si="109"/>
        <v>2788</v>
      </c>
      <c r="R122" s="172" t="e">
        <f t="shared" ca="1" si="110"/>
        <v>#DIV/0!</v>
      </c>
      <c r="S122" s="77" t="e">
        <f ca="1">IF(F$16=1,_xll.xCalcSkew($A122,T122-BH122,b)/100,0)</f>
        <v>#DIV/0!</v>
      </c>
      <c r="T122" s="96">
        <f t="shared" ca="1" si="111"/>
        <v>2.44</v>
      </c>
      <c r="V122" s="95">
        <f t="shared" ca="1" si="112"/>
        <v>0</v>
      </c>
      <c r="W122" s="97">
        <f t="shared" ca="1" si="113"/>
        <v>2788</v>
      </c>
      <c r="X122" s="77" t="e">
        <f t="shared" ca="1" si="114"/>
        <v>#DIV/0!</v>
      </c>
      <c r="Y122" s="77" t="e">
        <f ca="1">IF(H$16=1,_xll.xCalcSkew($A122,Z122-BS122,b)/100,0)</f>
        <v>#DIV/0!</v>
      </c>
      <c r="Z122" s="96">
        <f t="shared" ca="1" si="115"/>
        <v>2.44</v>
      </c>
      <c r="AC122" s="97">
        <f t="shared" ca="1" si="144"/>
        <v>2789</v>
      </c>
      <c r="AD122" s="97">
        <f t="shared" ca="1" si="145"/>
        <v>2788</v>
      </c>
      <c r="AE122" s="77">
        <f t="shared" ca="1" si="146"/>
        <v>5.6337081277775702E-2</v>
      </c>
      <c r="AF122" s="152">
        <f t="shared" si="116"/>
        <v>30</v>
      </c>
      <c r="AI122" s="97"/>
      <c r="AJ122" s="78"/>
      <c r="AK122" s="78">
        <f t="shared" ca="1" si="117"/>
        <v>0</v>
      </c>
      <c r="AL122" s="288" t="e">
        <f t="shared" ca="1" si="164"/>
        <v>#DIV/0!</v>
      </c>
      <c r="AM122" s="75">
        <f t="shared" ca="1" si="118"/>
        <v>0</v>
      </c>
      <c r="AN122" s="100">
        <f t="shared" ca="1" si="119"/>
        <v>0</v>
      </c>
      <c r="AO122" s="99">
        <f t="shared" ca="1" si="120"/>
        <v>0</v>
      </c>
      <c r="AP122" s="99">
        <f t="shared" ca="1" si="121"/>
        <v>0</v>
      </c>
      <c r="AQ122" s="99">
        <f t="shared" ca="1" si="122"/>
        <v>0</v>
      </c>
      <c r="AR122" s="101">
        <f t="shared" ca="1" si="165"/>
        <v>0</v>
      </c>
      <c r="AS122" s="101">
        <f t="shared" ca="1" si="166"/>
        <v>0</v>
      </c>
      <c r="AT122" s="101">
        <f t="shared" ca="1" si="167"/>
        <v>0</v>
      </c>
      <c r="AV122" s="78">
        <f t="shared" ca="1" si="123"/>
        <v>0</v>
      </c>
      <c r="AW122" s="288" t="e">
        <f t="shared" ca="1" si="168"/>
        <v>#DIV/0!</v>
      </c>
      <c r="AX122" s="75">
        <f t="shared" ca="1" si="124"/>
        <v>0</v>
      </c>
      <c r="AY122" s="100">
        <f t="shared" ca="1" si="125"/>
        <v>0</v>
      </c>
      <c r="AZ122" s="99">
        <f t="shared" ca="1" si="126"/>
        <v>0</v>
      </c>
      <c r="BA122" s="99">
        <f t="shared" ca="1" si="127"/>
        <v>0</v>
      </c>
      <c r="BB122" s="99">
        <f t="shared" ca="1" si="128"/>
        <v>0</v>
      </c>
      <c r="BC122" s="101">
        <f t="shared" ca="1" si="169"/>
        <v>0</v>
      </c>
      <c r="BD122" s="101">
        <f t="shared" ca="1" si="170"/>
        <v>0</v>
      </c>
      <c r="BE122" s="101">
        <f t="shared" ca="1" si="171"/>
        <v>0</v>
      </c>
      <c r="BG122" s="78">
        <f t="shared" ca="1" si="129"/>
        <v>0</v>
      </c>
      <c r="BH122" s="288" t="e">
        <f t="shared" ca="1" si="172"/>
        <v>#DIV/0!</v>
      </c>
      <c r="BI122" s="75">
        <f t="shared" ca="1" si="130"/>
        <v>0</v>
      </c>
      <c r="BJ122" s="100">
        <f t="shared" ca="1" si="131"/>
        <v>0</v>
      </c>
      <c r="BK122" s="99">
        <f t="shared" ca="1" si="132"/>
        <v>0</v>
      </c>
      <c r="BL122" s="99">
        <f t="shared" ca="1" si="133"/>
        <v>0</v>
      </c>
      <c r="BM122" s="99">
        <f t="shared" ca="1" si="134"/>
        <v>0</v>
      </c>
      <c r="BN122" s="101">
        <f t="shared" ca="1" si="173"/>
        <v>0</v>
      </c>
      <c r="BO122" s="101">
        <f t="shared" ca="1" si="174"/>
        <v>0</v>
      </c>
      <c r="BP122" s="101">
        <f t="shared" ca="1" si="175"/>
        <v>0</v>
      </c>
      <c r="BR122" s="78">
        <f t="shared" ca="1" si="135"/>
        <v>0</v>
      </c>
      <c r="BS122" s="288" t="e">
        <f t="shared" ca="1" si="176"/>
        <v>#DIV/0!</v>
      </c>
      <c r="BT122" s="75">
        <f t="shared" ca="1" si="136"/>
        <v>0</v>
      </c>
      <c r="BU122" s="100">
        <f t="shared" ca="1" si="137"/>
        <v>0</v>
      </c>
      <c r="BV122" s="99">
        <f t="shared" ca="1" si="138"/>
        <v>0</v>
      </c>
      <c r="BW122" s="99">
        <f t="shared" ca="1" si="139"/>
        <v>0</v>
      </c>
      <c r="BX122" s="99">
        <f t="shared" ca="1" si="140"/>
        <v>0</v>
      </c>
      <c r="BY122" s="101">
        <f t="shared" ca="1" si="177"/>
        <v>0</v>
      </c>
      <c r="BZ122" s="101">
        <f t="shared" ca="1" si="178"/>
        <v>0</v>
      </c>
      <c r="CA122" s="101">
        <f t="shared" ca="1" si="179"/>
        <v>0</v>
      </c>
    </row>
    <row r="123" spans="1:79" x14ac:dyDescent="0.25">
      <c r="A123" s="94">
        <f t="shared" si="163"/>
        <v>40087</v>
      </c>
      <c r="B123" s="95">
        <f t="shared" ca="1" si="142"/>
        <v>3.4139999999999993</v>
      </c>
      <c r="C123" s="77">
        <f t="shared" ca="1" si="143"/>
        <v>5.7249517386932521E-2</v>
      </c>
      <c r="D123" s="95">
        <f t="shared" ca="1" si="100"/>
        <v>0</v>
      </c>
      <c r="E123" s="97">
        <f t="shared" ca="1" si="101"/>
        <v>2818</v>
      </c>
      <c r="F123" s="77" t="e">
        <f t="shared" ca="1" si="102"/>
        <v>#DIV/0!</v>
      </c>
      <c r="G123" s="77" t="e">
        <f ca="1">IF(B$16=1,_xll.xCalcSkew(A123,H123-AL123,b)/100,0)</f>
        <v>#DIV/0!</v>
      </c>
      <c r="H123" s="96">
        <f t="shared" ca="1" si="103"/>
        <v>2.44</v>
      </c>
      <c r="J123" s="95">
        <f t="shared" ca="1" si="104"/>
        <v>0</v>
      </c>
      <c r="K123" s="97">
        <f t="shared" ca="1" si="105"/>
        <v>2818</v>
      </c>
      <c r="L123" s="172" t="e">
        <f t="shared" ca="1" si="106"/>
        <v>#DIV/0!</v>
      </c>
      <c r="M123" s="77" t="e">
        <f ca="1">IF(D$16=1,_xll.xCalcSkew($A123,N123-AW123,b)/100,0)</f>
        <v>#DIV/0!</v>
      </c>
      <c r="N123" s="96">
        <f t="shared" ca="1" si="107"/>
        <v>2.44</v>
      </c>
      <c r="P123" s="95">
        <f t="shared" ca="1" si="108"/>
        <v>0</v>
      </c>
      <c r="Q123" s="97">
        <f t="shared" ca="1" si="109"/>
        <v>2818</v>
      </c>
      <c r="R123" s="172" t="e">
        <f t="shared" ca="1" si="110"/>
        <v>#DIV/0!</v>
      </c>
      <c r="S123" s="77" t="e">
        <f ca="1">IF(F$16=1,_xll.xCalcSkew($A123,T123-BH123,b)/100,0)</f>
        <v>#DIV/0!</v>
      </c>
      <c r="T123" s="96">
        <f t="shared" ca="1" si="111"/>
        <v>2.44</v>
      </c>
      <c r="V123" s="95">
        <f t="shared" ca="1" si="112"/>
        <v>0</v>
      </c>
      <c r="W123" s="97">
        <f t="shared" ca="1" si="113"/>
        <v>2818</v>
      </c>
      <c r="X123" s="77" t="e">
        <f t="shared" ca="1" si="114"/>
        <v>#DIV/0!</v>
      </c>
      <c r="Y123" s="77" t="e">
        <f ca="1">IF(H$16=1,_xll.xCalcSkew($A123,Z123-BS123,b)/100,0)</f>
        <v>#DIV/0!</v>
      </c>
      <c r="Z123" s="96">
        <f t="shared" ca="1" si="115"/>
        <v>2.44</v>
      </c>
      <c r="AC123" s="97">
        <f t="shared" ca="1" si="144"/>
        <v>2821</v>
      </c>
      <c r="AD123" s="97">
        <f t="shared" ca="1" si="145"/>
        <v>2818</v>
      </c>
      <c r="AE123" s="77">
        <f t="shared" ca="1" si="146"/>
        <v>5.6440579685754798E-2</v>
      </c>
      <c r="AF123" s="152">
        <f t="shared" si="116"/>
        <v>31</v>
      </c>
      <c r="AI123" s="97"/>
      <c r="AJ123" s="78"/>
      <c r="AK123" s="78">
        <f t="shared" ca="1" si="117"/>
        <v>0</v>
      </c>
      <c r="AL123" s="288" t="e">
        <f t="shared" ca="1" si="164"/>
        <v>#DIV/0!</v>
      </c>
      <c r="AM123" s="75">
        <f t="shared" ca="1" si="118"/>
        <v>0</v>
      </c>
      <c r="AN123" s="100">
        <f t="shared" ca="1" si="119"/>
        <v>0</v>
      </c>
      <c r="AO123" s="99">
        <f t="shared" ca="1" si="120"/>
        <v>0</v>
      </c>
      <c r="AP123" s="99">
        <f t="shared" ca="1" si="121"/>
        <v>0</v>
      </c>
      <c r="AQ123" s="99">
        <f t="shared" ca="1" si="122"/>
        <v>0</v>
      </c>
      <c r="AR123" s="101">
        <f t="shared" ca="1" si="165"/>
        <v>0</v>
      </c>
      <c r="AS123" s="101">
        <f t="shared" ca="1" si="166"/>
        <v>0</v>
      </c>
      <c r="AT123" s="101">
        <f t="shared" ca="1" si="167"/>
        <v>0</v>
      </c>
      <c r="AV123" s="78">
        <f t="shared" ca="1" si="123"/>
        <v>0</v>
      </c>
      <c r="AW123" s="288" t="e">
        <f t="shared" ca="1" si="168"/>
        <v>#DIV/0!</v>
      </c>
      <c r="AX123" s="75">
        <f t="shared" ca="1" si="124"/>
        <v>0</v>
      </c>
      <c r="AY123" s="100">
        <f t="shared" ca="1" si="125"/>
        <v>0</v>
      </c>
      <c r="AZ123" s="99">
        <f t="shared" ca="1" si="126"/>
        <v>0</v>
      </c>
      <c r="BA123" s="99">
        <f t="shared" ca="1" si="127"/>
        <v>0</v>
      </c>
      <c r="BB123" s="99">
        <f t="shared" ca="1" si="128"/>
        <v>0</v>
      </c>
      <c r="BC123" s="101">
        <f t="shared" ca="1" si="169"/>
        <v>0</v>
      </c>
      <c r="BD123" s="101">
        <f t="shared" ca="1" si="170"/>
        <v>0</v>
      </c>
      <c r="BE123" s="101">
        <f t="shared" ca="1" si="171"/>
        <v>0</v>
      </c>
      <c r="BG123" s="78">
        <f t="shared" ca="1" si="129"/>
        <v>0</v>
      </c>
      <c r="BH123" s="288" t="e">
        <f t="shared" ca="1" si="172"/>
        <v>#DIV/0!</v>
      </c>
      <c r="BI123" s="75">
        <f t="shared" ca="1" si="130"/>
        <v>0</v>
      </c>
      <c r="BJ123" s="100">
        <f t="shared" ca="1" si="131"/>
        <v>0</v>
      </c>
      <c r="BK123" s="99">
        <f t="shared" ca="1" si="132"/>
        <v>0</v>
      </c>
      <c r="BL123" s="99">
        <f t="shared" ca="1" si="133"/>
        <v>0</v>
      </c>
      <c r="BM123" s="99">
        <f t="shared" ca="1" si="134"/>
        <v>0</v>
      </c>
      <c r="BN123" s="101">
        <f t="shared" ca="1" si="173"/>
        <v>0</v>
      </c>
      <c r="BO123" s="101">
        <f t="shared" ca="1" si="174"/>
        <v>0</v>
      </c>
      <c r="BP123" s="101">
        <f t="shared" ca="1" si="175"/>
        <v>0</v>
      </c>
      <c r="BR123" s="78">
        <f t="shared" ca="1" si="135"/>
        <v>0</v>
      </c>
      <c r="BS123" s="288" t="e">
        <f t="shared" ca="1" si="176"/>
        <v>#DIV/0!</v>
      </c>
      <c r="BT123" s="75">
        <f t="shared" ca="1" si="136"/>
        <v>0</v>
      </c>
      <c r="BU123" s="100">
        <f t="shared" ca="1" si="137"/>
        <v>0</v>
      </c>
      <c r="BV123" s="99">
        <f t="shared" ca="1" si="138"/>
        <v>0</v>
      </c>
      <c r="BW123" s="99">
        <f t="shared" ca="1" si="139"/>
        <v>0</v>
      </c>
      <c r="BX123" s="99">
        <f t="shared" ca="1" si="140"/>
        <v>0</v>
      </c>
      <c r="BY123" s="101">
        <f t="shared" ca="1" si="177"/>
        <v>0</v>
      </c>
      <c r="BZ123" s="101">
        <f t="shared" ca="1" si="178"/>
        <v>0</v>
      </c>
      <c r="CA123" s="101">
        <f t="shared" ca="1" si="179"/>
        <v>0</v>
      </c>
    </row>
    <row r="124" spans="1:79" x14ac:dyDescent="0.25">
      <c r="A124" s="94">
        <f t="shared" si="163"/>
        <v>40118</v>
      </c>
      <c r="B124" s="95">
        <f t="shared" ca="1" si="142"/>
        <v>3.5589999999999993</v>
      </c>
      <c r="C124" s="77">
        <f t="shared" ca="1" si="143"/>
        <v>5.4917031138292001E-2</v>
      </c>
      <c r="D124" s="95">
        <f t="shared" ca="1" si="100"/>
        <v>0</v>
      </c>
      <c r="E124" s="97">
        <f t="shared" ca="1" si="101"/>
        <v>2850</v>
      </c>
      <c r="F124" s="77" t="e">
        <f t="shared" ca="1" si="102"/>
        <v>#DIV/0!</v>
      </c>
      <c r="G124" s="77" t="e">
        <f ca="1">IF(B$16=1,_xll.xCalcSkew(A124,H124-AL124,b)/100,0)</f>
        <v>#DIV/0!</v>
      </c>
      <c r="H124" s="96">
        <f t="shared" ca="1" si="103"/>
        <v>2.44</v>
      </c>
      <c r="J124" s="95">
        <f t="shared" ca="1" si="104"/>
        <v>0</v>
      </c>
      <c r="K124" s="97">
        <f t="shared" ca="1" si="105"/>
        <v>2850</v>
      </c>
      <c r="L124" s="172" t="e">
        <f t="shared" ca="1" si="106"/>
        <v>#DIV/0!</v>
      </c>
      <c r="M124" s="77" t="e">
        <f ca="1">IF(D$16=1,_xll.xCalcSkew($A124,N124-AW124,b)/100,0)</f>
        <v>#DIV/0!</v>
      </c>
      <c r="N124" s="96">
        <f t="shared" ca="1" si="107"/>
        <v>2.44</v>
      </c>
      <c r="P124" s="95">
        <f t="shared" ca="1" si="108"/>
        <v>0</v>
      </c>
      <c r="Q124" s="97">
        <f t="shared" ca="1" si="109"/>
        <v>2850</v>
      </c>
      <c r="R124" s="172" t="e">
        <f t="shared" ca="1" si="110"/>
        <v>#DIV/0!</v>
      </c>
      <c r="S124" s="77" t="e">
        <f ca="1">IF(F$16=1,_xll.xCalcSkew($A124,T124-BH124,b)/100,0)</f>
        <v>#DIV/0!</v>
      </c>
      <c r="T124" s="96">
        <f t="shared" ca="1" si="111"/>
        <v>2.44</v>
      </c>
      <c r="V124" s="95">
        <f t="shared" ca="1" si="112"/>
        <v>0</v>
      </c>
      <c r="W124" s="97">
        <f t="shared" ca="1" si="113"/>
        <v>2850</v>
      </c>
      <c r="X124" s="77" t="e">
        <f t="shared" ca="1" si="114"/>
        <v>#DIV/0!</v>
      </c>
      <c r="Y124" s="77" t="e">
        <f ca="1">IF(H$16=1,_xll.xCalcSkew($A124,Z124-BS124,b)/100,0)</f>
        <v>#DIV/0!</v>
      </c>
      <c r="Z124" s="96">
        <f t="shared" ca="1" si="115"/>
        <v>2.44</v>
      </c>
      <c r="AC124" s="97">
        <f t="shared" ca="1" si="144"/>
        <v>2851</v>
      </c>
      <c r="AD124" s="97">
        <f t="shared" ca="1" si="145"/>
        <v>2850</v>
      </c>
      <c r="AE124" s="77">
        <f t="shared" ca="1" si="146"/>
        <v>5.6540739438806199E-2</v>
      </c>
      <c r="AF124" s="152">
        <f t="shared" si="116"/>
        <v>30</v>
      </c>
      <c r="AI124" s="97"/>
      <c r="AJ124" s="78"/>
      <c r="AK124" s="78">
        <f t="shared" ca="1" si="117"/>
        <v>0</v>
      </c>
      <c r="AL124" s="288" t="e">
        <f t="shared" ca="1" si="164"/>
        <v>#DIV/0!</v>
      </c>
      <c r="AM124" s="75">
        <f t="shared" ca="1" si="118"/>
        <v>0</v>
      </c>
      <c r="AN124" s="100">
        <f t="shared" ca="1" si="119"/>
        <v>0</v>
      </c>
      <c r="AO124" s="99">
        <f t="shared" ca="1" si="120"/>
        <v>0</v>
      </c>
      <c r="AP124" s="99">
        <f t="shared" ca="1" si="121"/>
        <v>0</v>
      </c>
      <c r="AQ124" s="99">
        <f t="shared" ca="1" si="122"/>
        <v>0</v>
      </c>
      <c r="AR124" s="101">
        <f t="shared" ca="1" si="165"/>
        <v>0</v>
      </c>
      <c r="AS124" s="101">
        <f t="shared" ca="1" si="166"/>
        <v>0</v>
      </c>
      <c r="AT124" s="101">
        <f t="shared" ca="1" si="167"/>
        <v>0</v>
      </c>
      <c r="AV124" s="78">
        <f t="shared" ca="1" si="123"/>
        <v>0</v>
      </c>
      <c r="AW124" s="288" t="e">
        <f t="shared" ca="1" si="168"/>
        <v>#DIV/0!</v>
      </c>
      <c r="AX124" s="75">
        <f t="shared" ca="1" si="124"/>
        <v>0</v>
      </c>
      <c r="AY124" s="100">
        <f t="shared" ca="1" si="125"/>
        <v>0</v>
      </c>
      <c r="AZ124" s="99">
        <f t="shared" ca="1" si="126"/>
        <v>0</v>
      </c>
      <c r="BA124" s="99">
        <f t="shared" ca="1" si="127"/>
        <v>0</v>
      </c>
      <c r="BB124" s="99">
        <f t="shared" ca="1" si="128"/>
        <v>0</v>
      </c>
      <c r="BC124" s="101">
        <f t="shared" ca="1" si="169"/>
        <v>0</v>
      </c>
      <c r="BD124" s="101">
        <f t="shared" ca="1" si="170"/>
        <v>0</v>
      </c>
      <c r="BE124" s="101">
        <f t="shared" ca="1" si="171"/>
        <v>0</v>
      </c>
      <c r="BG124" s="78">
        <f t="shared" ca="1" si="129"/>
        <v>0</v>
      </c>
      <c r="BH124" s="288" t="e">
        <f t="shared" ca="1" si="172"/>
        <v>#DIV/0!</v>
      </c>
      <c r="BI124" s="75">
        <f t="shared" ca="1" si="130"/>
        <v>0</v>
      </c>
      <c r="BJ124" s="100">
        <f t="shared" ca="1" si="131"/>
        <v>0</v>
      </c>
      <c r="BK124" s="99">
        <f t="shared" ca="1" si="132"/>
        <v>0</v>
      </c>
      <c r="BL124" s="99">
        <f t="shared" ca="1" si="133"/>
        <v>0</v>
      </c>
      <c r="BM124" s="99">
        <f t="shared" ca="1" si="134"/>
        <v>0</v>
      </c>
      <c r="BN124" s="101">
        <f t="shared" ca="1" si="173"/>
        <v>0</v>
      </c>
      <c r="BO124" s="101">
        <f t="shared" ca="1" si="174"/>
        <v>0</v>
      </c>
      <c r="BP124" s="101">
        <f t="shared" ca="1" si="175"/>
        <v>0</v>
      </c>
      <c r="BR124" s="78">
        <f t="shared" ca="1" si="135"/>
        <v>0</v>
      </c>
      <c r="BS124" s="288" t="e">
        <f t="shared" ca="1" si="176"/>
        <v>#DIV/0!</v>
      </c>
      <c r="BT124" s="75">
        <f t="shared" ca="1" si="136"/>
        <v>0</v>
      </c>
      <c r="BU124" s="100">
        <f t="shared" ca="1" si="137"/>
        <v>0</v>
      </c>
      <c r="BV124" s="99">
        <f t="shared" ca="1" si="138"/>
        <v>0</v>
      </c>
      <c r="BW124" s="99">
        <f t="shared" ca="1" si="139"/>
        <v>0</v>
      </c>
      <c r="BX124" s="99">
        <f t="shared" ca="1" si="140"/>
        <v>0</v>
      </c>
      <c r="BY124" s="101">
        <f t="shared" ca="1" si="177"/>
        <v>0</v>
      </c>
      <c r="BZ124" s="101">
        <f t="shared" ca="1" si="178"/>
        <v>0</v>
      </c>
      <c r="CA124" s="101">
        <f t="shared" ca="1" si="179"/>
        <v>0</v>
      </c>
    </row>
    <row r="125" spans="1:79" x14ac:dyDescent="0.25">
      <c r="A125" s="94">
        <f t="shared" si="163"/>
        <v>40148</v>
      </c>
      <c r="B125" s="95">
        <f t="shared" ca="1" si="142"/>
        <v>3.6939999999999991</v>
      </c>
      <c r="C125" s="77">
        <f t="shared" ca="1" si="143"/>
        <v>5.2920232059881493E-2</v>
      </c>
      <c r="D125" s="95">
        <f t="shared" ca="1" si="100"/>
        <v>0</v>
      </c>
      <c r="E125" s="97">
        <f t="shared" ca="1" si="101"/>
        <v>2878</v>
      </c>
      <c r="F125" s="77" t="e">
        <f t="shared" ca="1" si="102"/>
        <v>#DIV/0!</v>
      </c>
      <c r="G125" s="77" t="e">
        <f ca="1">IF(B$16=1,_xll.xCalcSkew(A125,H125-AL125,b)/100,0)</f>
        <v>#DIV/0!</v>
      </c>
      <c r="H125" s="96">
        <f t="shared" ca="1" si="103"/>
        <v>2.44</v>
      </c>
      <c r="J125" s="95">
        <f t="shared" ca="1" si="104"/>
        <v>0</v>
      </c>
      <c r="K125" s="97">
        <f t="shared" ca="1" si="105"/>
        <v>2878</v>
      </c>
      <c r="L125" s="172" t="e">
        <f t="shared" ca="1" si="106"/>
        <v>#DIV/0!</v>
      </c>
      <c r="M125" s="77" t="e">
        <f ca="1">IF(D$16=1,_xll.xCalcSkew($A125,N125-AW125,b)/100,0)</f>
        <v>#DIV/0!</v>
      </c>
      <c r="N125" s="96">
        <f t="shared" ca="1" si="107"/>
        <v>2.44</v>
      </c>
      <c r="P125" s="95">
        <f t="shared" ca="1" si="108"/>
        <v>0</v>
      </c>
      <c r="Q125" s="97">
        <f t="shared" ca="1" si="109"/>
        <v>2878</v>
      </c>
      <c r="R125" s="172" t="e">
        <f t="shared" ca="1" si="110"/>
        <v>#DIV/0!</v>
      </c>
      <c r="S125" s="77" t="e">
        <f ca="1">IF(F$16=1,_xll.xCalcSkew($A125,T125-BH125,b)/100,0)</f>
        <v>#DIV/0!</v>
      </c>
      <c r="T125" s="96">
        <f t="shared" ca="1" si="111"/>
        <v>2.44</v>
      </c>
      <c r="V125" s="95">
        <f t="shared" ca="1" si="112"/>
        <v>0</v>
      </c>
      <c r="W125" s="97">
        <f t="shared" ca="1" si="113"/>
        <v>2878</v>
      </c>
      <c r="X125" s="77" t="e">
        <f t="shared" ca="1" si="114"/>
        <v>#DIV/0!</v>
      </c>
      <c r="Y125" s="77" t="e">
        <f ca="1">IF(H$16=1,_xll.xCalcSkew($A125,Z125-BS125,b)/100,0)</f>
        <v>#DIV/0!</v>
      </c>
      <c r="Z125" s="96">
        <f t="shared" ca="1" si="115"/>
        <v>2.44</v>
      </c>
      <c r="AC125" s="97">
        <f t="shared" ca="1" si="144"/>
        <v>2879</v>
      </c>
      <c r="AD125" s="97">
        <f t="shared" ca="1" si="145"/>
        <v>2878</v>
      </c>
      <c r="AE125" s="77">
        <f t="shared" ca="1" si="146"/>
        <v>5.66442378538001E-2</v>
      </c>
      <c r="AF125" s="152">
        <f t="shared" si="116"/>
        <v>31</v>
      </c>
      <c r="AI125" s="97"/>
      <c r="AJ125" s="78"/>
      <c r="AK125" s="78">
        <f t="shared" ca="1" si="117"/>
        <v>0</v>
      </c>
      <c r="AL125" s="288" t="e">
        <f t="shared" ca="1" si="164"/>
        <v>#DIV/0!</v>
      </c>
      <c r="AM125" s="75">
        <f t="shared" ca="1" si="118"/>
        <v>0</v>
      </c>
      <c r="AN125" s="100">
        <f t="shared" ca="1" si="119"/>
        <v>0</v>
      </c>
      <c r="AO125" s="99">
        <f t="shared" ca="1" si="120"/>
        <v>0</v>
      </c>
      <c r="AP125" s="99">
        <f t="shared" ca="1" si="121"/>
        <v>0</v>
      </c>
      <c r="AQ125" s="99">
        <f t="shared" ca="1" si="122"/>
        <v>0</v>
      </c>
      <c r="AR125" s="101">
        <f t="shared" ca="1" si="165"/>
        <v>0</v>
      </c>
      <c r="AS125" s="101">
        <f t="shared" ca="1" si="166"/>
        <v>0</v>
      </c>
      <c r="AT125" s="101">
        <f t="shared" ca="1" si="167"/>
        <v>0</v>
      </c>
      <c r="AV125" s="78">
        <f t="shared" ca="1" si="123"/>
        <v>0</v>
      </c>
      <c r="AW125" s="288" t="e">
        <f t="shared" ca="1" si="168"/>
        <v>#DIV/0!</v>
      </c>
      <c r="AX125" s="75">
        <f t="shared" ca="1" si="124"/>
        <v>0</v>
      </c>
      <c r="AY125" s="100">
        <f t="shared" ca="1" si="125"/>
        <v>0</v>
      </c>
      <c r="AZ125" s="99">
        <f t="shared" ca="1" si="126"/>
        <v>0</v>
      </c>
      <c r="BA125" s="99">
        <f t="shared" ca="1" si="127"/>
        <v>0</v>
      </c>
      <c r="BB125" s="99">
        <f t="shared" ca="1" si="128"/>
        <v>0</v>
      </c>
      <c r="BC125" s="101">
        <f t="shared" ca="1" si="169"/>
        <v>0</v>
      </c>
      <c r="BD125" s="101">
        <f t="shared" ca="1" si="170"/>
        <v>0</v>
      </c>
      <c r="BE125" s="101">
        <f t="shared" ca="1" si="171"/>
        <v>0</v>
      </c>
      <c r="BG125" s="78">
        <f t="shared" ca="1" si="129"/>
        <v>0</v>
      </c>
      <c r="BH125" s="288" t="e">
        <f t="shared" ca="1" si="172"/>
        <v>#DIV/0!</v>
      </c>
      <c r="BI125" s="75">
        <f t="shared" ca="1" si="130"/>
        <v>0</v>
      </c>
      <c r="BJ125" s="100">
        <f t="shared" ca="1" si="131"/>
        <v>0</v>
      </c>
      <c r="BK125" s="99">
        <f t="shared" ca="1" si="132"/>
        <v>0</v>
      </c>
      <c r="BL125" s="99">
        <f t="shared" ca="1" si="133"/>
        <v>0</v>
      </c>
      <c r="BM125" s="99">
        <f t="shared" ca="1" si="134"/>
        <v>0</v>
      </c>
      <c r="BN125" s="101">
        <f t="shared" ca="1" si="173"/>
        <v>0</v>
      </c>
      <c r="BO125" s="101">
        <f t="shared" ca="1" si="174"/>
        <v>0</v>
      </c>
      <c r="BP125" s="101">
        <f t="shared" ca="1" si="175"/>
        <v>0</v>
      </c>
      <c r="BR125" s="78">
        <f t="shared" ca="1" si="135"/>
        <v>0</v>
      </c>
      <c r="BS125" s="288" t="e">
        <f t="shared" ca="1" si="176"/>
        <v>#DIV/0!</v>
      </c>
      <c r="BT125" s="75">
        <f t="shared" ca="1" si="136"/>
        <v>0</v>
      </c>
      <c r="BU125" s="100">
        <f t="shared" ca="1" si="137"/>
        <v>0</v>
      </c>
      <c r="BV125" s="99">
        <f t="shared" ca="1" si="138"/>
        <v>0</v>
      </c>
      <c r="BW125" s="99">
        <f t="shared" ca="1" si="139"/>
        <v>0</v>
      </c>
      <c r="BX125" s="99">
        <f t="shared" ca="1" si="140"/>
        <v>0</v>
      </c>
      <c r="BY125" s="101">
        <f t="shared" ca="1" si="177"/>
        <v>0</v>
      </c>
      <c r="BZ125" s="101">
        <f t="shared" ca="1" si="178"/>
        <v>0</v>
      </c>
      <c r="CA125" s="101">
        <f t="shared" ca="1" si="179"/>
        <v>0</v>
      </c>
    </row>
    <row r="126" spans="1:79" x14ac:dyDescent="0.25">
      <c r="A126" s="94">
        <f t="shared" si="163"/>
        <v>40179</v>
      </c>
      <c r="B126" s="95">
        <f t="shared" ca="1" si="142"/>
        <v>3.7489999999999992</v>
      </c>
      <c r="C126" s="77">
        <f t="shared" ca="1" si="143"/>
        <v>5.2153206611682386E-2</v>
      </c>
      <c r="D126" s="95">
        <f t="shared" ca="1" si="100"/>
        <v>0</v>
      </c>
      <c r="E126" s="97">
        <f t="shared" ca="1" si="101"/>
        <v>2912</v>
      </c>
      <c r="F126" s="77" t="e">
        <f t="shared" ca="1" si="102"/>
        <v>#DIV/0!</v>
      </c>
      <c r="G126" s="77" t="e">
        <f ca="1">IF(B$16=1,_xll.xCalcSkew(A126,H126-AL126,b)/100,0)</f>
        <v>#DIV/0!</v>
      </c>
      <c r="H126" s="96">
        <f t="shared" ca="1" si="103"/>
        <v>2.44</v>
      </c>
      <c r="J126" s="95">
        <f t="shared" ca="1" si="104"/>
        <v>0</v>
      </c>
      <c r="K126" s="97">
        <f t="shared" ca="1" si="105"/>
        <v>2912</v>
      </c>
      <c r="L126" s="172" t="e">
        <f t="shared" ca="1" si="106"/>
        <v>#DIV/0!</v>
      </c>
      <c r="M126" s="77" t="e">
        <f ca="1">IF(D$16=1,_xll.xCalcSkew($A126,N126-AW126,b)/100,0)</f>
        <v>#DIV/0!</v>
      </c>
      <c r="N126" s="96">
        <f t="shared" ca="1" si="107"/>
        <v>2.44</v>
      </c>
      <c r="P126" s="95">
        <f t="shared" ca="1" si="108"/>
        <v>0</v>
      </c>
      <c r="Q126" s="97">
        <f t="shared" ca="1" si="109"/>
        <v>2912</v>
      </c>
      <c r="R126" s="172" t="e">
        <f t="shared" ca="1" si="110"/>
        <v>#DIV/0!</v>
      </c>
      <c r="S126" s="77" t="e">
        <f ca="1">IF(F$16=1,_xll.xCalcSkew($A126,T126-BH126,b)/100,0)</f>
        <v>#DIV/0!</v>
      </c>
      <c r="T126" s="96">
        <f t="shared" ca="1" si="111"/>
        <v>2.44</v>
      </c>
      <c r="V126" s="95">
        <f t="shared" ca="1" si="112"/>
        <v>0</v>
      </c>
      <c r="W126" s="97">
        <f t="shared" ca="1" si="113"/>
        <v>2912</v>
      </c>
      <c r="X126" s="77" t="e">
        <f t="shared" ca="1" si="114"/>
        <v>#DIV/0!</v>
      </c>
      <c r="Y126" s="77" t="e">
        <f ca="1">IF(H$16=1,_xll.xCalcSkew($A126,Z126-BS126,b)/100,0)</f>
        <v>#DIV/0!</v>
      </c>
      <c r="Z126" s="96">
        <f t="shared" ca="1" si="115"/>
        <v>2.44</v>
      </c>
      <c r="AC126" s="97">
        <f t="shared" ca="1" si="144"/>
        <v>2913</v>
      </c>
      <c r="AD126" s="97">
        <f t="shared" ca="1" si="145"/>
        <v>2912</v>
      </c>
      <c r="AE126" s="77">
        <f t="shared" ca="1" si="146"/>
        <v>5.67443976136408E-2</v>
      </c>
      <c r="AF126" s="152">
        <f t="shared" si="116"/>
        <v>31</v>
      </c>
      <c r="AI126" s="97"/>
      <c r="AJ126" s="78"/>
      <c r="AK126" s="78">
        <f t="shared" ca="1" si="117"/>
        <v>0</v>
      </c>
      <c r="AL126" s="288" t="e">
        <f t="shared" ca="1" si="164"/>
        <v>#DIV/0!</v>
      </c>
      <c r="AM126" s="75">
        <f t="shared" ca="1" si="118"/>
        <v>0</v>
      </c>
      <c r="AN126" s="100">
        <f t="shared" ca="1" si="119"/>
        <v>0</v>
      </c>
      <c r="AO126" s="99">
        <f t="shared" ca="1" si="120"/>
        <v>0</v>
      </c>
      <c r="AP126" s="99">
        <f t="shared" ca="1" si="121"/>
        <v>0</v>
      </c>
      <c r="AQ126" s="99">
        <f t="shared" ca="1" si="122"/>
        <v>0</v>
      </c>
      <c r="AR126" s="101">
        <f t="shared" ca="1" si="165"/>
        <v>0</v>
      </c>
      <c r="AS126" s="101">
        <f t="shared" ca="1" si="166"/>
        <v>0</v>
      </c>
      <c r="AT126" s="101">
        <f t="shared" ca="1" si="167"/>
        <v>0</v>
      </c>
      <c r="AV126" s="78">
        <f t="shared" ca="1" si="123"/>
        <v>0</v>
      </c>
      <c r="AW126" s="288" t="e">
        <f t="shared" ca="1" si="168"/>
        <v>#DIV/0!</v>
      </c>
      <c r="AX126" s="75">
        <f t="shared" ca="1" si="124"/>
        <v>0</v>
      </c>
      <c r="AY126" s="100">
        <f t="shared" ca="1" si="125"/>
        <v>0</v>
      </c>
      <c r="AZ126" s="99">
        <f t="shared" ca="1" si="126"/>
        <v>0</v>
      </c>
      <c r="BA126" s="99">
        <f t="shared" ca="1" si="127"/>
        <v>0</v>
      </c>
      <c r="BB126" s="99">
        <f t="shared" ca="1" si="128"/>
        <v>0</v>
      </c>
      <c r="BC126" s="101">
        <f t="shared" ca="1" si="169"/>
        <v>0</v>
      </c>
      <c r="BD126" s="101">
        <f t="shared" ca="1" si="170"/>
        <v>0</v>
      </c>
      <c r="BE126" s="101">
        <f t="shared" ca="1" si="171"/>
        <v>0</v>
      </c>
      <c r="BG126" s="78">
        <f t="shared" ca="1" si="129"/>
        <v>0</v>
      </c>
      <c r="BH126" s="288" t="e">
        <f t="shared" ca="1" si="172"/>
        <v>#DIV/0!</v>
      </c>
      <c r="BI126" s="75">
        <f t="shared" ca="1" si="130"/>
        <v>0</v>
      </c>
      <c r="BJ126" s="100">
        <f t="shared" ca="1" si="131"/>
        <v>0</v>
      </c>
      <c r="BK126" s="99">
        <f t="shared" ca="1" si="132"/>
        <v>0</v>
      </c>
      <c r="BL126" s="99">
        <f t="shared" ca="1" si="133"/>
        <v>0</v>
      </c>
      <c r="BM126" s="99">
        <f t="shared" ca="1" si="134"/>
        <v>0</v>
      </c>
      <c r="BN126" s="101">
        <f t="shared" ca="1" si="173"/>
        <v>0</v>
      </c>
      <c r="BO126" s="101">
        <f t="shared" ca="1" si="174"/>
        <v>0</v>
      </c>
      <c r="BP126" s="101">
        <f t="shared" ca="1" si="175"/>
        <v>0</v>
      </c>
      <c r="BR126" s="78">
        <f t="shared" ca="1" si="135"/>
        <v>0</v>
      </c>
      <c r="BS126" s="288" t="e">
        <f t="shared" ca="1" si="176"/>
        <v>#DIV/0!</v>
      </c>
      <c r="BT126" s="75">
        <f t="shared" ca="1" si="136"/>
        <v>0</v>
      </c>
      <c r="BU126" s="100">
        <f t="shared" ca="1" si="137"/>
        <v>0</v>
      </c>
      <c r="BV126" s="99">
        <f t="shared" ca="1" si="138"/>
        <v>0</v>
      </c>
      <c r="BW126" s="99">
        <f t="shared" ca="1" si="139"/>
        <v>0</v>
      </c>
      <c r="BX126" s="99">
        <f t="shared" ca="1" si="140"/>
        <v>0</v>
      </c>
      <c r="BY126" s="101">
        <f t="shared" ca="1" si="177"/>
        <v>0</v>
      </c>
      <c r="BZ126" s="101">
        <f t="shared" ca="1" si="178"/>
        <v>0</v>
      </c>
      <c r="CA126" s="101">
        <f t="shared" ca="1" si="179"/>
        <v>0</v>
      </c>
    </row>
    <row r="127" spans="1:79" x14ac:dyDescent="0.25">
      <c r="A127" s="94">
        <f t="shared" si="163"/>
        <v>40210</v>
      </c>
      <c r="B127" s="95">
        <f t="shared" ca="1" si="142"/>
        <v>3.6009999999999991</v>
      </c>
      <c r="C127" s="77">
        <f t="shared" ca="1" si="143"/>
        <v>5.4322714103574886E-2</v>
      </c>
      <c r="D127" s="95">
        <f t="shared" ca="1" si="100"/>
        <v>0</v>
      </c>
      <c r="E127" s="97">
        <f t="shared" ref="E127:E158" ca="1" si="180">IF(D$28="NYMEX",$AD127,$AC127)</f>
        <v>2941</v>
      </c>
      <c r="F127" s="77" t="e">
        <f t="shared" ref="F127:F158" ca="1" si="181">($C127+G127)+B$15</f>
        <v>#DIV/0!</v>
      </c>
      <c r="G127" s="77" t="e">
        <f ca="1">IF(B$16=1,_xll.xCalcSkew(A127,H127-AL127,b)/100,0)</f>
        <v>#DIV/0!</v>
      </c>
      <c r="H127" s="96">
        <f t="shared" ref="H127:H149" ca="1" si="182">IF($B$19=4,$AL127,$B$18)</f>
        <v>2.44</v>
      </c>
      <c r="J127" s="95">
        <f t="shared" ca="1" si="104"/>
        <v>0</v>
      </c>
      <c r="K127" s="97">
        <f t="shared" ref="K127:K158" ca="1" si="183">IF(J$28="NYMEX",$AD127,$AC127)</f>
        <v>2941</v>
      </c>
      <c r="L127" s="172" t="e">
        <f t="shared" ref="L127:L158" ca="1" si="184">($C127+M127)+D$15</f>
        <v>#DIV/0!</v>
      </c>
      <c r="M127" s="77" t="e">
        <f ca="1">IF(D$16=1,_xll.xCalcSkew($A127,N127-AW127,b)/100,0)</f>
        <v>#DIV/0!</v>
      </c>
      <c r="N127" s="96">
        <f t="shared" ref="N127:N149" ca="1" si="185">IF($D$19=4,$AW127,$D$18)</f>
        <v>2.44</v>
      </c>
      <c r="P127" s="95">
        <f t="shared" ca="1" si="108"/>
        <v>0</v>
      </c>
      <c r="Q127" s="97">
        <f t="shared" ref="Q127:Q158" ca="1" si="186">IF(P$28="NYMEX",$AD127,$AC127)</f>
        <v>2941</v>
      </c>
      <c r="R127" s="172" t="e">
        <f t="shared" ref="R127:R158" ca="1" si="187">($C127+S127)+F$15</f>
        <v>#DIV/0!</v>
      </c>
      <c r="S127" s="77" t="e">
        <f ca="1">IF(F$16=1,_xll.xCalcSkew($A127,T127-BH127,b)/100,0)</f>
        <v>#DIV/0!</v>
      </c>
      <c r="T127" s="96">
        <f t="shared" ref="T127:T149" ca="1" si="188">IF($F$19=4,$BH127,$F$18)</f>
        <v>2.44</v>
      </c>
      <c r="V127" s="95">
        <f t="shared" ca="1" si="112"/>
        <v>0</v>
      </c>
      <c r="W127" s="97">
        <f t="shared" ref="W127:W158" ca="1" si="189">IF(V$28="NYMEX",$AD127,$AC127)</f>
        <v>2941</v>
      </c>
      <c r="X127" s="77" t="e">
        <f t="shared" ref="X127:X158" ca="1" si="190">($C127+Y127)+H$15</f>
        <v>#DIV/0!</v>
      </c>
      <c r="Y127" s="77" t="e">
        <f ca="1">IF(H$16=1,_xll.xCalcSkew($A127,Z127-BS127,b)/100,0)</f>
        <v>#DIV/0!</v>
      </c>
      <c r="Z127" s="96">
        <f t="shared" ref="Z127:Z149" ca="1" si="191">IF($H$19=4,$BS127,$H$18)</f>
        <v>2.44</v>
      </c>
      <c r="AC127" s="97">
        <f t="shared" ca="1" si="144"/>
        <v>2942</v>
      </c>
      <c r="AD127" s="97">
        <f t="shared" ca="1" si="145"/>
        <v>2941</v>
      </c>
      <c r="AE127" s="77">
        <f t="shared" ca="1" si="146"/>
        <v>5.6847896035649603E-2</v>
      </c>
      <c r="AF127" s="152">
        <f t="shared" si="116"/>
        <v>28</v>
      </c>
      <c r="AI127" s="97"/>
      <c r="AJ127" s="78"/>
      <c r="AK127" s="78">
        <f t="shared" ref="AK127:AK158" ca="1" si="192">IF($A127&gt;=AL$25,IF($A127&lt;=AL$26,$AF127,0),0)</f>
        <v>0</v>
      </c>
      <c r="AL127" s="288" t="e">
        <f t="shared" ca="1" si="164"/>
        <v>#DIV/0!</v>
      </c>
      <c r="AM127" s="75">
        <f t="shared" ref="AM127:AM149" ca="1" si="193">AK127*($B127+B$13)</f>
        <v>0</v>
      </c>
      <c r="AN127" s="100">
        <f t="shared" ref="AN127:AN158" ca="1" si="194">IF(ISNUMBER(((AM127/AK127)+B$14+$D127)*AK127),((AM127/AK127)+B$14+$D127)*AK127,0)</f>
        <v>0</v>
      </c>
      <c r="AO127" s="99">
        <f t="shared" ref="AO127:AO158" ca="1" si="195">IF(AK127=0,0,bsd(1,AP$27,AL127,$H127,$E127,$F127,$AE127,0.1))</f>
        <v>0</v>
      </c>
      <c r="AP127" s="99">
        <f t="shared" ref="AP127:AP149" ca="1" si="196">IF(AK127=0,0,bsd(2,AP$27,AL127,$H127,$E127,$F127,$AE127,0.1))</f>
        <v>0</v>
      </c>
      <c r="AQ127" s="99">
        <f t="shared" ref="AQ127:AQ158" ca="1" si="197">IF(AK127=0,0,bsd(AP$28,AP$27,AL127,$H127,$E127,$F127,$AE127,0.1))</f>
        <v>0</v>
      </c>
      <c r="AR127" s="101">
        <f t="shared" ca="1" si="165"/>
        <v>0</v>
      </c>
      <c r="AS127" s="101">
        <f t="shared" ca="1" si="166"/>
        <v>0</v>
      </c>
      <c r="AT127" s="101">
        <f t="shared" ca="1" si="167"/>
        <v>0</v>
      </c>
      <c r="AV127" s="78">
        <f t="shared" ref="AV127:AV158" ca="1" si="198">IF($A127&gt;=AW$25,IF($A127&lt;=AW$26,$AF127,0),0)</f>
        <v>0</v>
      </c>
      <c r="AW127" s="288" t="e">
        <f t="shared" ca="1" si="168"/>
        <v>#DIV/0!</v>
      </c>
      <c r="AX127" s="75">
        <f t="shared" ref="AX127:AX149" ca="1" si="199">AV127*($B127+D$13)</f>
        <v>0</v>
      </c>
      <c r="AY127" s="100">
        <f t="shared" ref="AY127:AY158" ca="1" si="200">IF(ISNUMBER(((AX127/AV127)+D$14+$J127)*AV127),((AX127/AV127)+D$14+$J127)*AV127,0)</f>
        <v>0</v>
      </c>
      <c r="AZ127" s="99">
        <f t="shared" ref="AZ127:AZ158" ca="1" si="201">IF(AV127=0,0,bsd(1,BA$27,AW127,$N127,$K127,$L127,$AE127,0.1))</f>
        <v>0</v>
      </c>
      <c r="BA127" s="99">
        <f t="shared" ref="BA127:BA149" ca="1" si="202">IF(AV127=0,0,bsd(2,BA$27,AW127,$N127,$K127,$L127,$AE127,0.1))</f>
        <v>0</v>
      </c>
      <c r="BB127" s="99">
        <f t="shared" ref="BB127:BB158" ca="1" si="203">IF(AV127=0,0,bsd(BA$28,BA$27,AW127,$N127,$K127,$L127,$AE127,0.1))</f>
        <v>0</v>
      </c>
      <c r="BC127" s="101">
        <f t="shared" ca="1" si="169"/>
        <v>0</v>
      </c>
      <c r="BD127" s="101">
        <f t="shared" ca="1" si="170"/>
        <v>0</v>
      </c>
      <c r="BE127" s="101">
        <f t="shared" ca="1" si="171"/>
        <v>0</v>
      </c>
      <c r="BG127" s="78">
        <f t="shared" ref="BG127:BG158" ca="1" si="204">IF($A127&gt;=BH$25,IF($A127&lt;=BH$26,$AF127,0),0)</f>
        <v>0</v>
      </c>
      <c r="BH127" s="288" t="e">
        <f t="shared" ca="1" si="172"/>
        <v>#DIV/0!</v>
      </c>
      <c r="BI127" s="75">
        <f t="shared" ref="BI127:BI149" ca="1" si="205">BG127*($B127+F$13)</f>
        <v>0</v>
      </c>
      <c r="BJ127" s="100">
        <f t="shared" ref="BJ127:BJ158" ca="1" si="206">IF(ISNUMBER(((BI127/BG127)+F$14+$P127)*BG127),((BI127/BG127)+F$14+$P127)*BG127,0)</f>
        <v>0</v>
      </c>
      <c r="BK127" s="99">
        <f t="shared" ref="BK127:BK158" ca="1" si="207">IF(BG127=0,0,bsd(1,BL$27,BH127,$T127,$Q127,$R127,$AE127,0.1))</f>
        <v>0</v>
      </c>
      <c r="BL127" s="99">
        <f t="shared" ref="BL127:BL149" ca="1" si="208">IF(BG127=0,0,bsd(2,BL$27,BH127,$T127,$Q127,$R127,$AE127,0.1))</f>
        <v>0</v>
      </c>
      <c r="BM127" s="99">
        <f t="shared" ref="BM127:BM158" ca="1" si="209">IF(BG127=0,0,bsd(BL$28,BL$27,BH127,$T127,$Q127,$R127,$AE127,0.1))</f>
        <v>0</v>
      </c>
      <c r="BN127" s="101">
        <f t="shared" ca="1" si="173"/>
        <v>0</v>
      </c>
      <c r="BO127" s="101">
        <f t="shared" ca="1" si="174"/>
        <v>0</v>
      </c>
      <c r="BP127" s="101">
        <f t="shared" ca="1" si="175"/>
        <v>0</v>
      </c>
      <c r="BR127" s="78">
        <f t="shared" ref="BR127:BR158" ca="1" si="210">IF($A127&gt;=BS$25,IF($A127&lt;=BS$26,$AF127,0),0)</f>
        <v>0</v>
      </c>
      <c r="BS127" s="288" t="e">
        <f t="shared" ca="1" si="176"/>
        <v>#DIV/0!</v>
      </c>
      <c r="BT127" s="75">
        <f t="shared" ref="BT127:BT149" ca="1" si="211">BR127*($B127+H$13)</f>
        <v>0</v>
      </c>
      <c r="BU127" s="100">
        <f t="shared" ref="BU127:BU158" ca="1" si="212">IF(ISNUMBER(((BT127/BR127)+H$14+$V127)*BR127),((BT127/BR127)+H$14+$V127)*BR127,0)</f>
        <v>0</v>
      </c>
      <c r="BV127" s="99">
        <f t="shared" ref="BV127:BV158" ca="1" si="213">IF(BR127=0,0,bsd(1,BW$27,BS127,$Z127,$W127,$X127,$AE127,0.1))</f>
        <v>0</v>
      </c>
      <c r="BW127" s="99">
        <f t="shared" ref="BW127:BW149" ca="1" si="214">IF(BR127=0,0,bsd(2,BW$27,BS127,$Z127,$W127,$X127,$AE127,0.1))</f>
        <v>0</v>
      </c>
      <c r="BX127" s="99">
        <f t="shared" ref="BX127:BX158" ca="1" si="215">IF(BR127=0,0,bsd(BW$28,BW$27,BS127,$Z127,$W127,$X127,$AE127,0.1))</f>
        <v>0</v>
      </c>
      <c r="BY127" s="101">
        <f t="shared" ca="1" si="177"/>
        <v>0</v>
      </c>
      <c r="BZ127" s="101">
        <f t="shared" ca="1" si="178"/>
        <v>0</v>
      </c>
      <c r="CA127" s="101">
        <f t="shared" ca="1" si="179"/>
        <v>0</v>
      </c>
    </row>
    <row r="128" spans="1:79" x14ac:dyDescent="0.25">
      <c r="A128" s="94">
        <f t="shared" si="163"/>
        <v>40238</v>
      </c>
      <c r="B128" s="95">
        <f t="shared" ca="1" si="142"/>
        <v>3.5499999999999989</v>
      </c>
      <c r="C128" s="77">
        <f t="shared" ca="1" si="143"/>
        <v>5.5131500425465461E-2</v>
      </c>
      <c r="D128" s="95">
        <f t="shared" ca="1" si="100"/>
        <v>0</v>
      </c>
      <c r="E128" s="97">
        <f t="shared" ca="1" si="180"/>
        <v>2969</v>
      </c>
      <c r="F128" s="77" t="e">
        <f t="shared" ca="1" si="181"/>
        <v>#DIV/0!</v>
      </c>
      <c r="G128" s="77" t="e">
        <f ca="1">IF(B$16=1,_xll.xCalcSkew(A128,H128-AL128,b)/100,0)</f>
        <v>#DIV/0!</v>
      </c>
      <c r="H128" s="96">
        <f t="shared" ca="1" si="182"/>
        <v>2.44</v>
      </c>
      <c r="J128" s="95">
        <f t="shared" ca="1" si="104"/>
        <v>0</v>
      </c>
      <c r="K128" s="97">
        <f t="shared" ca="1" si="183"/>
        <v>2969</v>
      </c>
      <c r="L128" s="172" t="e">
        <f t="shared" ca="1" si="184"/>
        <v>#DIV/0!</v>
      </c>
      <c r="M128" s="77" t="e">
        <f ca="1">IF(D$16=1,_xll.xCalcSkew($A128,N128-AW128,b)/100,0)</f>
        <v>#DIV/0!</v>
      </c>
      <c r="N128" s="96">
        <f t="shared" ca="1" si="185"/>
        <v>2.44</v>
      </c>
      <c r="P128" s="95">
        <f t="shared" ca="1" si="108"/>
        <v>0</v>
      </c>
      <c r="Q128" s="97">
        <f t="shared" ca="1" si="186"/>
        <v>2969</v>
      </c>
      <c r="R128" s="172" t="e">
        <f t="shared" ca="1" si="187"/>
        <v>#DIV/0!</v>
      </c>
      <c r="S128" s="77" t="e">
        <f ca="1">IF(F$16=1,_xll.xCalcSkew($A128,T128-BH128,b)/100,0)</f>
        <v>#DIV/0!</v>
      </c>
      <c r="T128" s="96">
        <f t="shared" ca="1" si="188"/>
        <v>2.44</v>
      </c>
      <c r="V128" s="95">
        <f t="shared" ca="1" si="112"/>
        <v>0</v>
      </c>
      <c r="W128" s="97">
        <f t="shared" ca="1" si="189"/>
        <v>2969</v>
      </c>
      <c r="X128" s="77" t="e">
        <f t="shared" ca="1" si="190"/>
        <v>#DIV/0!</v>
      </c>
      <c r="Y128" s="77" t="e">
        <f ca="1">IF(H$16=1,_xll.xCalcSkew($A128,Z128-BS128,b)/100,0)</f>
        <v>#DIV/0!</v>
      </c>
      <c r="Z128" s="96">
        <f t="shared" ca="1" si="191"/>
        <v>2.44</v>
      </c>
      <c r="AC128" s="97">
        <f t="shared" ca="1" si="144"/>
        <v>2970</v>
      </c>
      <c r="AD128" s="97">
        <f t="shared" ca="1" si="145"/>
        <v>2969</v>
      </c>
      <c r="AE128" s="77">
        <f t="shared" ca="1" si="146"/>
        <v>5.6951394461223E-2</v>
      </c>
      <c r="AF128" s="152">
        <f t="shared" si="116"/>
        <v>31</v>
      </c>
      <c r="AI128" s="97"/>
      <c r="AJ128" s="78"/>
      <c r="AK128" s="78">
        <f t="shared" ca="1" si="192"/>
        <v>0</v>
      </c>
      <c r="AL128" s="288" t="e">
        <f t="shared" ca="1" si="164"/>
        <v>#DIV/0!</v>
      </c>
      <c r="AM128" s="75">
        <f t="shared" ca="1" si="193"/>
        <v>0</v>
      </c>
      <c r="AN128" s="100">
        <f t="shared" ca="1" si="194"/>
        <v>0</v>
      </c>
      <c r="AO128" s="99">
        <f t="shared" ca="1" si="195"/>
        <v>0</v>
      </c>
      <c r="AP128" s="99">
        <f t="shared" ca="1" si="196"/>
        <v>0</v>
      </c>
      <c r="AQ128" s="99">
        <f t="shared" ca="1" si="197"/>
        <v>0</v>
      </c>
      <c r="AR128" s="101">
        <f t="shared" ca="1" si="165"/>
        <v>0</v>
      </c>
      <c r="AS128" s="101">
        <f t="shared" ca="1" si="166"/>
        <v>0</v>
      </c>
      <c r="AT128" s="101">
        <f t="shared" ca="1" si="167"/>
        <v>0</v>
      </c>
      <c r="AV128" s="78">
        <f t="shared" ca="1" si="198"/>
        <v>0</v>
      </c>
      <c r="AW128" s="288" t="e">
        <f t="shared" ca="1" si="168"/>
        <v>#DIV/0!</v>
      </c>
      <c r="AX128" s="75">
        <f t="shared" ca="1" si="199"/>
        <v>0</v>
      </c>
      <c r="AY128" s="100">
        <f t="shared" ca="1" si="200"/>
        <v>0</v>
      </c>
      <c r="AZ128" s="99">
        <f t="shared" ca="1" si="201"/>
        <v>0</v>
      </c>
      <c r="BA128" s="99">
        <f t="shared" ca="1" si="202"/>
        <v>0</v>
      </c>
      <c r="BB128" s="99">
        <f t="shared" ca="1" si="203"/>
        <v>0</v>
      </c>
      <c r="BC128" s="101">
        <f t="shared" ca="1" si="169"/>
        <v>0</v>
      </c>
      <c r="BD128" s="101">
        <f t="shared" ca="1" si="170"/>
        <v>0</v>
      </c>
      <c r="BE128" s="101">
        <f t="shared" ca="1" si="171"/>
        <v>0</v>
      </c>
      <c r="BG128" s="78">
        <f t="shared" ca="1" si="204"/>
        <v>0</v>
      </c>
      <c r="BH128" s="288" t="e">
        <f t="shared" ca="1" si="172"/>
        <v>#DIV/0!</v>
      </c>
      <c r="BI128" s="75">
        <f t="shared" ca="1" si="205"/>
        <v>0</v>
      </c>
      <c r="BJ128" s="100">
        <f t="shared" ca="1" si="206"/>
        <v>0</v>
      </c>
      <c r="BK128" s="99">
        <f t="shared" ca="1" si="207"/>
        <v>0</v>
      </c>
      <c r="BL128" s="99">
        <f t="shared" ca="1" si="208"/>
        <v>0</v>
      </c>
      <c r="BM128" s="99">
        <f t="shared" ca="1" si="209"/>
        <v>0</v>
      </c>
      <c r="BN128" s="101">
        <f t="shared" ca="1" si="173"/>
        <v>0</v>
      </c>
      <c r="BO128" s="101">
        <f t="shared" ca="1" si="174"/>
        <v>0</v>
      </c>
      <c r="BP128" s="101">
        <f t="shared" ca="1" si="175"/>
        <v>0</v>
      </c>
      <c r="BR128" s="78">
        <f t="shared" ca="1" si="210"/>
        <v>0</v>
      </c>
      <c r="BS128" s="288" t="e">
        <f t="shared" ca="1" si="176"/>
        <v>#DIV/0!</v>
      </c>
      <c r="BT128" s="75">
        <f t="shared" ca="1" si="211"/>
        <v>0</v>
      </c>
      <c r="BU128" s="100">
        <f t="shared" ca="1" si="212"/>
        <v>0</v>
      </c>
      <c r="BV128" s="99">
        <f t="shared" ca="1" si="213"/>
        <v>0</v>
      </c>
      <c r="BW128" s="99">
        <f t="shared" ca="1" si="214"/>
        <v>0</v>
      </c>
      <c r="BX128" s="99">
        <f t="shared" ca="1" si="215"/>
        <v>0</v>
      </c>
      <c r="BY128" s="101">
        <f t="shared" ca="1" si="177"/>
        <v>0</v>
      </c>
      <c r="BZ128" s="101">
        <f t="shared" ca="1" si="178"/>
        <v>0</v>
      </c>
      <c r="CA128" s="101">
        <f t="shared" ca="1" si="179"/>
        <v>0</v>
      </c>
    </row>
    <row r="129" spans="1:79" x14ac:dyDescent="0.25">
      <c r="A129" s="94">
        <f t="shared" si="163"/>
        <v>40269</v>
      </c>
      <c r="B129" s="95">
        <f t="shared" ca="1" si="142"/>
        <v>3.3309999999999991</v>
      </c>
      <c r="C129" s="77">
        <f t="shared" ca="1" si="143"/>
        <v>5.879099130453156E-2</v>
      </c>
      <c r="D129" s="95">
        <f t="shared" ca="1" si="100"/>
        <v>0</v>
      </c>
      <c r="E129" s="97">
        <f t="shared" ca="1" si="180"/>
        <v>3000</v>
      </c>
      <c r="F129" s="77" t="e">
        <f t="shared" ca="1" si="181"/>
        <v>#DIV/0!</v>
      </c>
      <c r="G129" s="77" t="e">
        <f ca="1">IF(B$16=1,_xll.xCalcSkew(A129,H129-AL129,b)/100,0)</f>
        <v>#DIV/0!</v>
      </c>
      <c r="H129" s="96">
        <f t="shared" ca="1" si="182"/>
        <v>2.44</v>
      </c>
      <c r="J129" s="95">
        <f t="shared" ca="1" si="104"/>
        <v>0</v>
      </c>
      <c r="K129" s="97">
        <f t="shared" ca="1" si="183"/>
        <v>3000</v>
      </c>
      <c r="L129" s="172" t="e">
        <f t="shared" ca="1" si="184"/>
        <v>#DIV/0!</v>
      </c>
      <c r="M129" s="77" t="e">
        <f ca="1">IF(D$16=1,_xll.xCalcSkew($A129,N129-AW129,b)/100,0)</f>
        <v>#DIV/0!</v>
      </c>
      <c r="N129" s="96">
        <f t="shared" ca="1" si="185"/>
        <v>2.44</v>
      </c>
      <c r="P129" s="95">
        <f t="shared" ca="1" si="108"/>
        <v>0</v>
      </c>
      <c r="Q129" s="97">
        <f t="shared" ca="1" si="186"/>
        <v>3000</v>
      </c>
      <c r="R129" s="172" t="e">
        <f t="shared" ca="1" si="187"/>
        <v>#DIV/0!</v>
      </c>
      <c r="S129" s="77" t="e">
        <f ca="1">IF(F$16=1,_xll.xCalcSkew($A129,T129-BH129,b)/100,0)</f>
        <v>#DIV/0!</v>
      </c>
      <c r="T129" s="96">
        <f t="shared" ca="1" si="188"/>
        <v>2.44</v>
      </c>
      <c r="V129" s="95">
        <f t="shared" ca="1" si="112"/>
        <v>0</v>
      </c>
      <c r="W129" s="97">
        <f t="shared" ca="1" si="189"/>
        <v>3000</v>
      </c>
      <c r="X129" s="77" t="e">
        <f t="shared" ca="1" si="190"/>
        <v>#DIV/0!</v>
      </c>
      <c r="Y129" s="77" t="e">
        <f ca="1">IF(H$16=1,_xll.xCalcSkew($A129,Z129-BS129,b)/100,0)</f>
        <v>#DIV/0!</v>
      </c>
      <c r="Z129" s="96">
        <f t="shared" ca="1" si="191"/>
        <v>2.44</v>
      </c>
      <c r="AC129" s="97">
        <f t="shared" ca="1" si="144"/>
        <v>3003</v>
      </c>
      <c r="AD129" s="97">
        <f t="shared" ca="1" si="145"/>
        <v>3000</v>
      </c>
      <c r="AE129" s="77">
        <f t="shared" ca="1" si="146"/>
        <v>5.7044876913192197E-2</v>
      </c>
      <c r="AF129" s="152">
        <f t="shared" si="116"/>
        <v>30</v>
      </c>
      <c r="AI129" s="97"/>
      <c r="AJ129" s="78"/>
      <c r="AK129" s="78">
        <f t="shared" ca="1" si="192"/>
        <v>0</v>
      </c>
      <c r="AL129" s="288" t="e">
        <f t="shared" ca="1" si="164"/>
        <v>#DIV/0!</v>
      </c>
      <c r="AM129" s="75">
        <f t="shared" ca="1" si="193"/>
        <v>0</v>
      </c>
      <c r="AN129" s="100">
        <f t="shared" ca="1" si="194"/>
        <v>0</v>
      </c>
      <c r="AO129" s="99">
        <f t="shared" ca="1" si="195"/>
        <v>0</v>
      </c>
      <c r="AP129" s="99">
        <f t="shared" ca="1" si="196"/>
        <v>0</v>
      </c>
      <c r="AQ129" s="99">
        <f t="shared" ca="1" si="197"/>
        <v>0</v>
      </c>
      <c r="AR129" s="101">
        <f t="shared" ca="1" si="165"/>
        <v>0</v>
      </c>
      <c r="AS129" s="101">
        <f t="shared" ca="1" si="166"/>
        <v>0</v>
      </c>
      <c r="AT129" s="101">
        <f t="shared" ca="1" si="167"/>
        <v>0</v>
      </c>
      <c r="AV129" s="78">
        <f t="shared" ca="1" si="198"/>
        <v>0</v>
      </c>
      <c r="AW129" s="288" t="e">
        <f t="shared" ca="1" si="168"/>
        <v>#DIV/0!</v>
      </c>
      <c r="AX129" s="75">
        <f t="shared" ca="1" si="199"/>
        <v>0</v>
      </c>
      <c r="AY129" s="100">
        <f t="shared" ca="1" si="200"/>
        <v>0</v>
      </c>
      <c r="AZ129" s="99">
        <f t="shared" ca="1" si="201"/>
        <v>0</v>
      </c>
      <c r="BA129" s="99">
        <f t="shared" ca="1" si="202"/>
        <v>0</v>
      </c>
      <c r="BB129" s="99">
        <f t="shared" ca="1" si="203"/>
        <v>0</v>
      </c>
      <c r="BC129" s="101">
        <f t="shared" ca="1" si="169"/>
        <v>0</v>
      </c>
      <c r="BD129" s="101">
        <f t="shared" ca="1" si="170"/>
        <v>0</v>
      </c>
      <c r="BE129" s="101">
        <f t="shared" ca="1" si="171"/>
        <v>0</v>
      </c>
      <c r="BG129" s="78">
        <f t="shared" ca="1" si="204"/>
        <v>0</v>
      </c>
      <c r="BH129" s="288" t="e">
        <f t="shared" ca="1" si="172"/>
        <v>#DIV/0!</v>
      </c>
      <c r="BI129" s="75">
        <f t="shared" ca="1" si="205"/>
        <v>0</v>
      </c>
      <c r="BJ129" s="100">
        <f t="shared" ca="1" si="206"/>
        <v>0</v>
      </c>
      <c r="BK129" s="99">
        <f t="shared" ca="1" si="207"/>
        <v>0</v>
      </c>
      <c r="BL129" s="99">
        <f t="shared" ca="1" si="208"/>
        <v>0</v>
      </c>
      <c r="BM129" s="99">
        <f t="shared" ca="1" si="209"/>
        <v>0</v>
      </c>
      <c r="BN129" s="101">
        <f t="shared" ca="1" si="173"/>
        <v>0</v>
      </c>
      <c r="BO129" s="101">
        <f t="shared" ca="1" si="174"/>
        <v>0</v>
      </c>
      <c r="BP129" s="101">
        <f t="shared" ca="1" si="175"/>
        <v>0</v>
      </c>
      <c r="BR129" s="78">
        <f t="shared" ca="1" si="210"/>
        <v>0</v>
      </c>
      <c r="BS129" s="288" t="e">
        <f t="shared" ca="1" si="176"/>
        <v>#DIV/0!</v>
      </c>
      <c r="BT129" s="75">
        <f t="shared" ca="1" si="211"/>
        <v>0</v>
      </c>
      <c r="BU129" s="100">
        <f t="shared" ca="1" si="212"/>
        <v>0</v>
      </c>
      <c r="BV129" s="99">
        <f t="shared" ca="1" si="213"/>
        <v>0</v>
      </c>
      <c r="BW129" s="99">
        <f t="shared" ca="1" si="214"/>
        <v>0</v>
      </c>
      <c r="BX129" s="99">
        <f t="shared" ca="1" si="215"/>
        <v>0</v>
      </c>
      <c r="BY129" s="101">
        <f t="shared" ca="1" si="177"/>
        <v>0</v>
      </c>
      <c r="BZ129" s="101">
        <f t="shared" ca="1" si="178"/>
        <v>0</v>
      </c>
      <c r="CA129" s="101">
        <f t="shared" ca="1" si="179"/>
        <v>0</v>
      </c>
    </row>
    <row r="130" spans="1:79" x14ac:dyDescent="0.25">
      <c r="A130" s="94">
        <f t="shared" si="163"/>
        <v>40299</v>
      </c>
      <c r="B130" s="95">
        <f t="shared" ca="1" si="142"/>
        <v>3.3339999999999987</v>
      </c>
      <c r="C130" s="77">
        <f t="shared" ca="1" si="143"/>
        <v>5.8772158429623259E-2</v>
      </c>
      <c r="D130" s="95">
        <f t="shared" ca="1" si="100"/>
        <v>0</v>
      </c>
      <c r="E130" s="97">
        <f t="shared" ca="1" si="180"/>
        <v>3032</v>
      </c>
      <c r="F130" s="77" t="e">
        <f t="shared" ca="1" si="181"/>
        <v>#DIV/0!</v>
      </c>
      <c r="G130" s="77" t="e">
        <f ca="1">IF(B$16=1,_xll.xCalcSkew(A130,H130-AL130,b)/100,0)</f>
        <v>#DIV/0!</v>
      </c>
      <c r="H130" s="96">
        <f t="shared" ca="1" si="182"/>
        <v>2.44</v>
      </c>
      <c r="J130" s="95">
        <f t="shared" ca="1" si="104"/>
        <v>0</v>
      </c>
      <c r="K130" s="97">
        <f t="shared" ca="1" si="183"/>
        <v>3032</v>
      </c>
      <c r="L130" s="172" t="e">
        <f t="shared" ca="1" si="184"/>
        <v>#DIV/0!</v>
      </c>
      <c r="M130" s="77" t="e">
        <f ca="1">IF(D$16=1,_xll.xCalcSkew($A130,N130-AW130,b)/100,0)</f>
        <v>#DIV/0!</v>
      </c>
      <c r="N130" s="96">
        <f t="shared" ca="1" si="185"/>
        <v>2.44</v>
      </c>
      <c r="P130" s="95">
        <f t="shared" ca="1" si="108"/>
        <v>0</v>
      </c>
      <c r="Q130" s="97">
        <f t="shared" ca="1" si="186"/>
        <v>3032</v>
      </c>
      <c r="R130" s="172" t="e">
        <f t="shared" ca="1" si="187"/>
        <v>#DIV/0!</v>
      </c>
      <c r="S130" s="77" t="e">
        <f ca="1">IF(F$16=1,_xll.xCalcSkew($A130,T130-BH130,b)/100,0)</f>
        <v>#DIV/0!</v>
      </c>
      <c r="T130" s="96">
        <f t="shared" ca="1" si="188"/>
        <v>2.44</v>
      </c>
      <c r="V130" s="95">
        <f t="shared" ca="1" si="112"/>
        <v>0</v>
      </c>
      <c r="W130" s="97">
        <f t="shared" ca="1" si="189"/>
        <v>3032</v>
      </c>
      <c r="X130" s="77" t="e">
        <f t="shared" ca="1" si="190"/>
        <v>#DIV/0!</v>
      </c>
      <c r="Y130" s="77" t="e">
        <f ca="1">IF(H$16=1,_xll.xCalcSkew($A130,Z130-BS130,b)/100,0)</f>
        <v>#DIV/0!</v>
      </c>
      <c r="Z130" s="96">
        <f t="shared" ca="1" si="191"/>
        <v>2.44</v>
      </c>
      <c r="AC130" s="97">
        <f t="shared" ca="1" si="144"/>
        <v>3033</v>
      </c>
      <c r="AD130" s="97">
        <f t="shared" ca="1" si="145"/>
        <v>3032</v>
      </c>
      <c r="AE130" s="77">
        <f t="shared" ca="1" si="146"/>
        <v>5.7148375345549098E-2</v>
      </c>
      <c r="AF130" s="152">
        <f t="shared" si="116"/>
        <v>31</v>
      </c>
      <c r="AI130" s="97"/>
      <c r="AJ130" s="78"/>
      <c r="AK130" s="78">
        <f t="shared" ca="1" si="192"/>
        <v>0</v>
      </c>
      <c r="AL130" s="288" t="e">
        <f t="shared" ca="1" si="164"/>
        <v>#DIV/0!</v>
      </c>
      <c r="AM130" s="75">
        <f t="shared" ca="1" si="193"/>
        <v>0</v>
      </c>
      <c r="AN130" s="100">
        <f t="shared" ca="1" si="194"/>
        <v>0</v>
      </c>
      <c r="AO130" s="99">
        <f t="shared" ca="1" si="195"/>
        <v>0</v>
      </c>
      <c r="AP130" s="99">
        <f t="shared" ca="1" si="196"/>
        <v>0</v>
      </c>
      <c r="AQ130" s="99">
        <f t="shared" ca="1" si="197"/>
        <v>0</v>
      </c>
      <c r="AR130" s="101">
        <f t="shared" ca="1" si="165"/>
        <v>0</v>
      </c>
      <c r="AS130" s="101">
        <f t="shared" ca="1" si="166"/>
        <v>0</v>
      </c>
      <c r="AT130" s="101">
        <f t="shared" ca="1" si="167"/>
        <v>0</v>
      </c>
      <c r="AV130" s="78">
        <f t="shared" ca="1" si="198"/>
        <v>0</v>
      </c>
      <c r="AW130" s="288" t="e">
        <f t="shared" ca="1" si="168"/>
        <v>#DIV/0!</v>
      </c>
      <c r="AX130" s="75">
        <f t="shared" ca="1" si="199"/>
        <v>0</v>
      </c>
      <c r="AY130" s="100">
        <f t="shared" ca="1" si="200"/>
        <v>0</v>
      </c>
      <c r="AZ130" s="99">
        <f t="shared" ca="1" si="201"/>
        <v>0</v>
      </c>
      <c r="BA130" s="99">
        <f t="shared" ca="1" si="202"/>
        <v>0</v>
      </c>
      <c r="BB130" s="99">
        <f t="shared" ca="1" si="203"/>
        <v>0</v>
      </c>
      <c r="BC130" s="101">
        <f t="shared" ca="1" si="169"/>
        <v>0</v>
      </c>
      <c r="BD130" s="101">
        <f t="shared" ca="1" si="170"/>
        <v>0</v>
      </c>
      <c r="BE130" s="101">
        <f t="shared" ca="1" si="171"/>
        <v>0</v>
      </c>
      <c r="BG130" s="78">
        <f t="shared" ca="1" si="204"/>
        <v>0</v>
      </c>
      <c r="BH130" s="288" t="e">
        <f t="shared" ca="1" si="172"/>
        <v>#DIV/0!</v>
      </c>
      <c r="BI130" s="75">
        <f t="shared" ca="1" si="205"/>
        <v>0</v>
      </c>
      <c r="BJ130" s="100">
        <f t="shared" ca="1" si="206"/>
        <v>0</v>
      </c>
      <c r="BK130" s="99">
        <f t="shared" ca="1" si="207"/>
        <v>0</v>
      </c>
      <c r="BL130" s="99">
        <f t="shared" ca="1" si="208"/>
        <v>0</v>
      </c>
      <c r="BM130" s="99">
        <f t="shared" ca="1" si="209"/>
        <v>0</v>
      </c>
      <c r="BN130" s="101">
        <f t="shared" ca="1" si="173"/>
        <v>0</v>
      </c>
      <c r="BO130" s="101">
        <f t="shared" ca="1" si="174"/>
        <v>0</v>
      </c>
      <c r="BP130" s="101">
        <f t="shared" ca="1" si="175"/>
        <v>0</v>
      </c>
      <c r="BR130" s="78">
        <f t="shared" ca="1" si="210"/>
        <v>0</v>
      </c>
      <c r="BS130" s="288" t="e">
        <f t="shared" ca="1" si="176"/>
        <v>#DIV/0!</v>
      </c>
      <c r="BT130" s="75">
        <f t="shared" ca="1" si="211"/>
        <v>0</v>
      </c>
      <c r="BU130" s="100">
        <f t="shared" ca="1" si="212"/>
        <v>0</v>
      </c>
      <c r="BV130" s="99">
        <f t="shared" ca="1" si="213"/>
        <v>0</v>
      </c>
      <c r="BW130" s="99">
        <f t="shared" ca="1" si="214"/>
        <v>0</v>
      </c>
      <c r="BX130" s="99">
        <f t="shared" ca="1" si="215"/>
        <v>0</v>
      </c>
      <c r="BY130" s="101">
        <f t="shared" ca="1" si="177"/>
        <v>0</v>
      </c>
      <c r="BZ130" s="101">
        <f t="shared" ca="1" si="178"/>
        <v>0</v>
      </c>
      <c r="CA130" s="101">
        <f t="shared" ca="1" si="179"/>
        <v>0</v>
      </c>
    </row>
    <row r="131" spans="1:79" x14ac:dyDescent="0.25">
      <c r="A131" s="94">
        <f t="shared" si="163"/>
        <v>40330</v>
      </c>
      <c r="B131" s="95">
        <f t="shared" ca="1" si="142"/>
        <v>3.3739999999999988</v>
      </c>
      <c r="C131" s="77">
        <f t="shared" ca="1" si="143"/>
        <v>5.8111464776704959E-2</v>
      </c>
      <c r="D131" s="95">
        <f t="shared" ca="1" si="100"/>
        <v>0</v>
      </c>
      <c r="E131" s="97">
        <f t="shared" ca="1" si="180"/>
        <v>3060</v>
      </c>
      <c r="F131" s="77" t="e">
        <f t="shared" ca="1" si="181"/>
        <v>#DIV/0!</v>
      </c>
      <c r="G131" s="77" t="e">
        <f ca="1">IF(B$16=1,_xll.xCalcSkew(A131,H131-AL131,b)/100,0)</f>
        <v>#DIV/0!</v>
      </c>
      <c r="H131" s="96">
        <f t="shared" ca="1" si="182"/>
        <v>2.44</v>
      </c>
      <c r="J131" s="95">
        <f t="shared" ca="1" si="104"/>
        <v>0</v>
      </c>
      <c r="K131" s="97">
        <f t="shared" ca="1" si="183"/>
        <v>3060</v>
      </c>
      <c r="L131" s="172" t="e">
        <f t="shared" ca="1" si="184"/>
        <v>#DIV/0!</v>
      </c>
      <c r="M131" s="77" t="e">
        <f ca="1">IF(D$16=1,_xll.xCalcSkew($A131,N131-AW131,b)/100,0)</f>
        <v>#DIV/0!</v>
      </c>
      <c r="N131" s="96">
        <f t="shared" ca="1" si="185"/>
        <v>2.44</v>
      </c>
      <c r="P131" s="95">
        <f t="shared" ca="1" si="108"/>
        <v>0</v>
      </c>
      <c r="Q131" s="97">
        <f t="shared" ca="1" si="186"/>
        <v>3060</v>
      </c>
      <c r="R131" s="172" t="e">
        <f t="shared" ca="1" si="187"/>
        <v>#DIV/0!</v>
      </c>
      <c r="S131" s="77" t="e">
        <f ca="1">IF(F$16=1,_xll.xCalcSkew($A131,T131-BH131,b)/100,0)</f>
        <v>#DIV/0!</v>
      </c>
      <c r="T131" s="96">
        <f t="shared" ca="1" si="188"/>
        <v>2.44</v>
      </c>
      <c r="V131" s="95">
        <f t="shared" ca="1" si="112"/>
        <v>0</v>
      </c>
      <c r="W131" s="97">
        <f t="shared" ca="1" si="189"/>
        <v>3060</v>
      </c>
      <c r="X131" s="77" t="e">
        <f t="shared" ca="1" si="190"/>
        <v>#DIV/0!</v>
      </c>
      <c r="Y131" s="77" t="e">
        <f ca="1">IF(H$16=1,_xll.xCalcSkew($A131,Z131-BS131,b)/100,0)</f>
        <v>#DIV/0!</v>
      </c>
      <c r="Z131" s="96">
        <f t="shared" ca="1" si="191"/>
        <v>2.44</v>
      </c>
      <c r="AC131" s="97">
        <f t="shared" ca="1" si="144"/>
        <v>3061</v>
      </c>
      <c r="AD131" s="97">
        <f t="shared" ca="1" si="145"/>
        <v>3060</v>
      </c>
      <c r="AE131" s="77">
        <f t="shared" ca="1" si="146"/>
        <v>5.7248535122191899E-2</v>
      </c>
      <c r="AF131" s="152">
        <f t="shared" si="116"/>
        <v>30</v>
      </c>
      <c r="AI131" s="97"/>
      <c r="AJ131" s="78"/>
      <c r="AK131" s="78">
        <f t="shared" ca="1" si="192"/>
        <v>0</v>
      </c>
      <c r="AL131" s="288" t="e">
        <f t="shared" ca="1" si="164"/>
        <v>#DIV/0!</v>
      </c>
      <c r="AM131" s="75">
        <f t="shared" ca="1" si="193"/>
        <v>0</v>
      </c>
      <c r="AN131" s="100">
        <f t="shared" ca="1" si="194"/>
        <v>0</v>
      </c>
      <c r="AO131" s="99">
        <f t="shared" ca="1" si="195"/>
        <v>0</v>
      </c>
      <c r="AP131" s="99">
        <f t="shared" ca="1" si="196"/>
        <v>0</v>
      </c>
      <c r="AQ131" s="99">
        <f t="shared" ca="1" si="197"/>
        <v>0</v>
      </c>
      <c r="AR131" s="101">
        <f t="shared" ca="1" si="165"/>
        <v>0</v>
      </c>
      <c r="AS131" s="101">
        <f t="shared" ca="1" si="166"/>
        <v>0</v>
      </c>
      <c r="AT131" s="101">
        <f t="shared" ca="1" si="167"/>
        <v>0</v>
      </c>
      <c r="AV131" s="78">
        <f t="shared" ca="1" si="198"/>
        <v>0</v>
      </c>
      <c r="AW131" s="288" t="e">
        <f t="shared" ca="1" si="168"/>
        <v>#DIV/0!</v>
      </c>
      <c r="AX131" s="75">
        <f t="shared" ca="1" si="199"/>
        <v>0</v>
      </c>
      <c r="AY131" s="100">
        <f t="shared" ca="1" si="200"/>
        <v>0</v>
      </c>
      <c r="AZ131" s="99">
        <f t="shared" ca="1" si="201"/>
        <v>0</v>
      </c>
      <c r="BA131" s="99">
        <f t="shared" ca="1" si="202"/>
        <v>0</v>
      </c>
      <c r="BB131" s="99">
        <f t="shared" ca="1" si="203"/>
        <v>0</v>
      </c>
      <c r="BC131" s="101">
        <f t="shared" ca="1" si="169"/>
        <v>0</v>
      </c>
      <c r="BD131" s="101">
        <f t="shared" ca="1" si="170"/>
        <v>0</v>
      </c>
      <c r="BE131" s="101">
        <f t="shared" ca="1" si="171"/>
        <v>0</v>
      </c>
      <c r="BG131" s="78">
        <f t="shared" ca="1" si="204"/>
        <v>0</v>
      </c>
      <c r="BH131" s="288" t="e">
        <f t="shared" ca="1" si="172"/>
        <v>#DIV/0!</v>
      </c>
      <c r="BI131" s="75">
        <f t="shared" ca="1" si="205"/>
        <v>0</v>
      </c>
      <c r="BJ131" s="100">
        <f t="shared" ca="1" si="206"/>
        <v>0</v>
      </c>
      <c r="BK131" s="99">
        <f t="shared" ca="1" si="207"/>
        <v>0</v>
      </c>
      <c r="BL131" s="99">
        <f t="shared" ca="1" si="208"/>
        <v>0</v>
      </c>
      <c r="BM131" s="99">
        <f t="shared" ca="1" si="209"/>
        <v>0</v>
      </c>
      <c r="BN131" s="101">
        <f t="shared" ca="1" si="173"/>
        <v>0</v>
      </c>
      <c r="BO131" s="101">
        <f t="shared" ca="1" si="174"/>
        <v>0</v>
      </c>
      <c r="BP131" s="101">
        <f t="shared" ca="1" si="175"/>
        <v>0</v>
      </c>
      <c r="BR131" s="78">
        <f t="shared" ca="1" si="210"/>
        <v>0</v>
      </c>
      <c r="BS131" s="288" t="e">
        <f t="shared" ca="1" si="176"/>
        <v>#DIV/0!</v>
      </c>
      <c r="BT131" s="75">
        <f t="shared" ca="1" si="211"/>
        <v>0</v>
      </c>
      <c r="BU131" s="100">
        <f t="shared" ca="1" si="212"/>
        <v>0</v>
      </c>
      <c r="BV131" s="99">
        <f t="shared" ca="1" si="213"/>
        <v>0</v>
      </c>
      <c r="BW131" s="99">
        <f t="shared" ca="1" si="214"/>
        <v>0</v>
      </c>
      <c r="BX131" s="99">
        <f t="shared" ca="1" si="215"/>
        <v>0</v>
      </c>
      <c r="BY131" s="101">
        <f t="shared" ca="1" si="177"/>
        <v>0</v>
      </c>
      <c r="BZ131" s="101">
        <f t="shared" ca="1" si="178"/>
        <v>0</v>
      </c>
      <c r="CA131" s="101">
        <f t="shared" ca="1" si="179"/>
        <v>0</v>
      </c>
    </row>
    <row r="132" spans="1:79" x14ac:dyDescent="0.25">
      <c r="A132" s="94">
        <f t="shared" si="163"/>
        <v>40360</v>
      </c>
      <c r="B132" s="95">
        <f t="shared" ca="1" si="142"/>
        <v>3.4139999999999988</v>
      </c>
      <c r="C132" s="77">
        <f t="shared" ca="1" si="143"/>
        <v>5.7469716264494812E-2</v>
      </c>
      <c r="D132" s="95">
        <f t="shared" ca="1" si="100"/>
        <v>0</v>
      </c>
      <c r="E132" s="97">
        <f t="shared" ca="1" si="180"/>
        <v>3091</v>
      </c>
      <c r="F132" s="77" t="e">
        <f t="shared" ca="1" si="181"/>
        <v>#DIV/0!</v>
      </c>
      <c r="G132" s="77" t="e">
        <f ca="1">IF(B$16=1,_xll.xCalcSkew(A132,H132-AL132,b)/100,0)</f>
        <v>#DIV/0!</v>
      </c>
      <c r="H132" s="96">
        <f t="shared" ca="1" si="182"/>
        <v>2.44</v>
      </c>
      <c r="J132" s="95">
        <f t="shared" ca="1" si="104"/>
        <v>0</v>
      </c>
      <c r="K132" s="97">
        <f t="shared" ca="1" si="183"/>
        <v>3091</v>
      </c>
      <c r="L132" s="172" t="e">
        <f t="shared" ca="1" si="184"/>
        <v>#DIV/0!</v>
      </c>
      <c r="M132" s="77" t="e">
        <f ca="1">IF(D$16=1,_xll.xCalcSkew($A132,N132-AW132,b)/100,0)</f>
        <v>#DIV/0!</v>
      </c>
      <c r="N132" s="96">
        <f t="shared" ca="1" si="185"/>
        <v>2.44</v>
      </c>
      <c r="P132" s="95">
        <f t="shared" ca="1" si="108"/>
        <v>0</v>
      </c>
      <c r="Q132" s="97">
        <f t="shared" ca="1" si="186"/>
        <v>3091</v>
      </c>
      <c r="R132" s="172" t="e">
        <f t="shared" ca="1" si="187"/>
        <v>#DIV/0!</v>
      </c>
      <c r="S132" s="77" t="e">
        <f ca="1">IF(F$16=1,_xll.xCalcSkew($A132,T132-BH132,b)/100,0)</f>
        <v>#DIV/0!</v>
      </c>
      <c r="T132" s="96">
        <f t="shared" ca="1" si="188"/>
        <v>2.44</v>
      </c>
      <c r="V132" s="95">
        <f t="shared" ca="1" si="112"/>
        <v>0</v>
      </c>
      <c r="W132" s="97">
        <f t="shared" ca="1" si="189"/>
        <v>3091</v>
      </c>
      <c r="X132" s="77" t="e">
        <f t="shared" ca="1" si="190"/>
        <v>#DIV/0!</v>
      </c>
      <c r="Y132" s="77" t="e">
        <f ca="1">IF(H$16=1,_xll.xCalcSkew($A132,Z132-BS132,b)/100,0)</f>
        <v>#DIV/0!</v>
      </c>
      <c r="Z132" s="96">
        <f t="shared" ca="1" si="191"/>
        <v>2.44</v>
      </c>
      <c r="AC132" s="97">
        <f t="shared" ca="1" si="144"/>
        <v>3094</v>
      </c>
      <c r="AD132" s="97">
        <f t="shared" ca="1" si="145"/>
        <v>3091</v>
      </c>
      <c r="AE132" s="77">
        <f t="shared" ca="1" si="146"/>
        <v>5.7352033561562703E-2</v>
      </c>
      <c r="AF132" s="152">
        <f t="shared" si="116"/>
        <v>31</v>
      </c>
      <c r="AI132" s="97"/>
      <c r="AJ132" s="78"/>
      <c r="AK132" s="78">
        <f t="shared" ca="1" si="192"/>
        <v>0</v>
      </c>
      <c r="AL132" s="288" t="e">
        <f t="shared" ca="1" si="164"/>
        <v>#DIV/0!</v>
      </c>
      <c r="AM132" s="75">
        <f t="shared" ca="1" si="193"/>
        <v>0</v>
      </c>
      <c r="AN132" s="100">
        <f t="shared" ca="1" si="194"/>
        <v>0</v>
      </c>
      <c r="AO132" s="99">
        <f t="shared" ca="1" si="195"/>
        <v>0</v>
      </c>
      <c r="AP132" s="99">
        <f t="shared" ca="1" si="196"/>
        <v>0</v>
      </c>
      <c r="AQ132" s="99">
        <f t="shared" ca="1" si="197"/>
        <v>0</v>
      </c>
      <c r="AR132" s="101">
        <f t="shared" ca="1" si="165"/>
        <v>0</v>
      </c>
      <c r="AS132" s="101">
        <f t="shared" ca="1" si="166"/>
        <v>0</v>
      </c>
      <c r="AT132" s="101">
        <f t="shared" ca="1" si="167"/>
        <v>0</v>
      </c>
      <c r="AV132" s="78">
        <f t="shared" ca="1" si="198"/>
        <v>0</v>
      </c>
      <c r="AW132" s="288" t="e">
        <f t="shared" ca="1" si="168"/>
        <v>#DIV/0!</v>
      </c>
      <c r="AX132" s="75">
        <f t="shared" ca="1" si="199"/>
        <v>0</v>
      </c>
      <c r="AY132" s="100">
        <f t="shared" ca="1" si="200"/>
        <v>0</v>
      </c>
      <c r="AZ132" s="99">
        <f t="shared" ca="1" si="201"/>
        <v>0</v>
      </c>
      <c r="BA132" s="99">
        <f t="shared" ca="1" si="202"/>
        <v>0</v>
      </c>
      <c r="BB132" s="99">
        <f t="shared" ca="1" si="203"/>
        <v>0</v>
      </c>
      <c r="BC132" s="101">
        <f t="shared" ca="1" si="169"/>
        <v>0</v>
      </c>
      <c r="BD132" s="101">
        <f t="shared" ca="1" si="170"/>
        <v>0</v>
      </c>
      <c r="BE132" s="101">
        <f t="shared" ca="1" si="171"/>
        <v>0</v>
      </c>
      <c r="BG132" s="78">
        <f t="shared" ca="1" si="204"/>
        <v>0</v>
      </c>
      <c r="BH132" s="288" t="e">
        <f t="shared" ca="1" si="172"/>
        <v>#DIV/0!</v>
      </c>
      <c r="BI132" s="75">
        <f t="shared" ca="1" si="205"/>
        <v>0</v>
      </c>
      <c r="BJ132" s="100">
        <f t="shared" ca="1" si="206"/>
        <v>0</v>
      </c>
      <c r="BK132" s="99">
        <f t="shared" ca="1" si="207"/>
        <v>0</v>
      </c>
      <c r="BL132" s="99">
        <f t="shared" ca="1" si="208"/>
        <v>0</v>
      </c>
      <c r="BM132" s="99">
        <f t="shared" ca="1" si="209"/>
        <v>0</v>
      </c>
      <c r="BN132" s="101">
        <f t="shared" ca="1" si="173"/>
        <v>0</v>
      </c>
      <c r="BO132" s="101">
        <f t="shared" ca="1" si="174"/>
        <v>0</v>
      </c>
      <c r="BP132" s="101">
        <f t="shared" ca="1" si="175"/>
        <v>0</v>
      </c>
      <c r="BR132" s="78">
        <f t="shared" ca="1" si="210"/>
        <v>0</v>
      </c>
      <c r="BS132" s="288" t="e">
        <f t="shared" ca="1" si="176"/>
        <v>#DIV/0!</v>
      </c>
      <c r="BT132" s="75">
        <f t="shared" ca="1" si="211"/>
        <v>0</v>
      </c>
      <c r="BU132" s="100">
        <f t="shared" ca="1" si="212"/>
        <v>0</v>
      </c>
      <c r="BV132" s="99">
        <f t="shared" ca="1" si="213"/>
        <v>0</v>
      </c>
      <c r="BW132" s="99">
        <f t="shared" ca="1" si="214"/>
        <v>0</v>
      </c>
      <c r="BX132" s="99">
        <f t="shared" ca="1" si="215"/>
        <v>0</v>
      </c>
      <c r="BY132" s="101">
        <f t="shared" ca="1" si="177"/>
        <v>0</v>
      </c>
      <c r="BZ132" s="101">
        <f t="shared" ca="1" si="178"/>
        <v>0</v>
      </c>
      <c r="CA132" s="101">
        <f t="shared" ca="1" si="179"/>
        <v>0</v>
      </c>
    </row>
    <row r="133" spans="1:79" x14ac:dyDescent="0.25">
      <c r="A133" s="94">
        <f t="shared" si="163"/>
        <v>40391</v>
      </c>
      <c r="B133" s="95">
        <f t="shared" ca="1" si="142"/>
        <v>3.4639999999999991</v>
      </c>
      <c r="C133" s="77">
        <f t="shared" ca="1" si="143"/>
        <v>5.6680472055588155E-2</v>
      </c>
      <c r="D133" s="95">
        <f t="shared" ca="1" si="100"/>
        <v>0</v>
      </c>
      <c r="E133" s="97">
        <f t="shared" ca="1" si="180"/>
        <v>3123</v>
      </c>
      <c r="F133" s="77" t="e">
        <f t="shared" ca="1" si="181"/>
        <v>#DIV/0!</v>
      </c>
      <c r="G133" s="77" t="e">
        <f ca="1">IF(B$16=1,_xll.xCalcSkew(A133,H133-AL133,b)/100,0)</f>
        <v>#DIV/0!</v>
      </c>
      <c r="H133" s="96">
        <f t="shared" ca="1" si="182"/>
        <v>2.44</v>
      </c>
      <c r="J133" s="95">
        <f t="shared" ca="1" si="104"/>
        <v>0</v>
      </c>
      <c r="K133" s="97">
        <f t="shared" ca="1" si="183"/>
        <v>3123</v>
      </c>
      <c r="L133" s="172" t="e">
        <f t="shared" ca="1" si="184"/>
        <v>#DIV/0!</v>
      </c>
      <c r="M133" s="77" t="e">
        <f ca="1">IF(D$16=1,_xll.xCalcSkew($A133,N133-AW133,b)/100,0)</f>
        <v>#DIV/0!</v>
      </c>
      <c r="N133" s="96">
        <f t="shared" ca="1" si="185"/>
        <v>2.44</v>
      </c>
      <c r="P133" s="95">
        <f t="shared" ca="1" si="108"/>
        <v>0</v>
      </c>
      <c r="Q133" s="97">
        <f t="shared" ca="1" si="186"/>
        <v>3123</v>
      </c>
      <c r="R133" s="172" t="e">
        <f t="shared" ca="1" si="187"/>
        <v>#DIV/0!</v>
      </c>
      <c r="S133" s="77" t="e">
        <f ca="1">IF(F$16=1,_xll.xCalcSkew($A133,T133-BH133,b)/100,0)</f>
        <v>#DIV/0!</v>
      </c>
      <c r="T133" s="96">
        <f t="shared" ca="1" si="188"/>
        <v>2.44</v>
      </c>
      <c r="V133" s="95">
        <f t="shared" ca="1" si="112"/>
        <v>0</v>
      </c>
      <c r="W133" s="97">
        <f t="shared" ca="1" si="189"/>
        <v>3123</v>
      </c>
      <c r="X133" s="77" t="e">
        <f t="shared" ca="1" si="190"/>
        <v>#DIV/0!</v>
      </c>
      <c r="Y133" s="77" t="e">
        <f ca="1">IF(H$16=1,_xll.xCalcSkew($A133,Z133-BS133,b)/100,0)</f>
        <v>#DIV/0!</v>
      </c>
      <c r="Z133" s="96">
        <f t="shared" ca="1" si="191"/>
        <v>2.44</v>
      </c>
      <c r="AC133" s="97">
        <f t="shared" ca="1" si="144"/>
        <v>3124</v>
      </c>
      <c r="AD133" s="97">
        <f t="shared" ca="1" si="145"/>
        <v>3123</v>
      </c>
      <c r="AE133" s="77">
        <f t="shared" ca="1" si="146"/>
        <v>5.7452193344991603E-2</v>
      </c>
      <c r="AF133" s="152">
        <f t="shared" si="116"/>
        <v>31</v>
      </c>
      <c r="AI133" s="97"/>
      <c r="AJ133" s="78"/>
      <c r="AK133" s="78">
        <f t="shared" ca="1" si="192"/>
        <v>0</v>
      </c>
      <c r="AL133" s="288" t="e">
        <f t="shared" ca="1" si="164"/>
        <v>#DIV/0!</v>
      </c>
      <c r="AM133" s="75">
        <f t="shared" ca="1" si="193"/>
        <v>0</v>
      </c>
      <c r="AN133" s="100">
        <f t="shared" ca="1" si="194"/>
        <v>0</v>
      </c>
      <c r="AO133" s="99">
        <f t="shared" ca="1" si="195"/>
        <v>0</v>
      </c>
      <c r="AP133" s="99">
        <f t="shared" ca="1" si="196"/>
        <v>0</v>
      </c>
      <c r="AQ133" s="99">
        <f t="shared" ca="1" si="197"/>
        <v>0</v>
      </c>
      <c r="AR133" s="101">
        <f t="shared" ca="1" si="165"/>
        <v>0</v>
      </c>
      <c r="AS133" s="101">
        <f t="shared" ca="1" si="166"/>
        <v>0</v>
      </c>
      <c r="AT133" s="101">
        <f t="shared" ca="1" si="167"/>
        <v>0</v>
      </c>
      <c r="AV133" s="78">
        <f t="shared" ca="1" si="198"/>
        <v>0</v>
      </c>
      <c r="AW133" s="288" t="e">
        <f t="shared" ca="1" si="168"/>
        <v>#DIV/0!</v>
      </c>
      <c r="AX133" s="75">
        <f t="shared" ca="1" si="199"/>
        <v>0</v>
      </c>
      <c r="AY133" s="100">
        <f t="shared" ca="1" si="200"/>
        <v>0</v>
      </c>
      <c r="AZ133" s="99">
        <f t="shared" ca="1" si="201"/>
        <v>0</v>
      </c>
      <c r="BA133" s="99">
        <f t="shared" ca="1" si="202"/>
        <v>0</v>
      </c>
      <c r="BB133" s="99">
        <f t="shared" ca="1" si="203"/>
        <v>0</v>
      </c>
      <c r="BC133" s="101">
        <f t="shared" ca="1" si="169"/>
        <v>0</v>
      </c>
      <c r="BD133" s="101">
        <f t="shared" ca="1" si="170"/>
        <v>0</v>
      </c>
      <c r="BE133" s="101">
        <f t="shared" ca="1" si="171"/>
        <v>0</v>
      </c>
      <c r="BG133" s="78">
        <f t="shared" ca="1" si="204"/>
        <v>0</v>
      </c>
      <c r="BH133" s="288" t="e">
        <f t="shared" ca="1" si="172"/>
        <v>#DIV/0!</v>
      </c>
      <c r="BI133" s="75">
        <f t="shared" ca="1" si="205"/>
        <v>0</v>
      </c>
      <c r="BJ133" s="100">
        <f t="shared" ca="1" si="206"/>
        <v>0</v>
      </c>
      <c r="BK133" s="99">
        <f t="shared" ca="1" si="207"/>
        <v>0</v>
      </c>
      <c r="BL133" s="99">
        <f t="shared" ca="1" si="208"/>
        <v>0</v>
      </c>
      <c r="BM133" s="99">
        <f t="shared" ca="1" si="209"/>
        <v>0</v>
      </c>
      <c r="BN133" s="101">
        <f t="shared" ca="1" si="173"/>
        <v>0</v>
      </c>
      <c r="BO133" s="101">
        <f t="shared" ca="1" si="174"/>
        <v>0</v>
      </c>
      <c r="BP133" s="101">
        <f t="shared" ca="1" si="175"/>
        <v>0</v>
      </c>
      <c r="BR133" s="78">
        <f t="shared" ca="1" si="210"/>
        <v>0</v>
      </c>
      <c r="BS133" s="288" t="e">
        <f t="shared" ca="1" si="176"/>
        <v>#DIV/0!</v>
      </c>
      <c r="BT133" s="75">
        <f t="shared" ca="1" si="211"/>
        <v>0</v>
      </c>
      <c r="BU133" s="100">
        <f t="shared" ca="1" si="212"/>
        <v>0</v>
      </c>
      <c r="BV133" s="99">
        <f t="shared" ca="1" si="213"/>
        <v>0</v>
      </c>
      <c r="BW133" s="99">
        <f t="shared" ca="1" si="214"/>
        <v>0</v>
      </c>
      <c r="BX133" s="99">
        <f t="shared" ca="1" si="215"/>
        <v>0</v>
      </c>
      <c r="BY133" s="101">
        <f t="shared" ca="1" si="177"/>
        <v>0</v>
      </c>
      <c r="BZ133" s="101">
        <f t="shared" ca="1" si="178"/>
        <v>0</v>
      </c>
      <c r="CA133" s="101">
        <f t="shared" ca="1" si="179"/>
        <v>0</v>
      </c>
    </row>
    <row r="134" spans="1:79" x14ac:dyDescent="0.25">
      <c r="A134" s="94">
        <f t="shared" si="163"/>
        <v>40422</v>
      </c>
      <c r="B134" s="95">
        <f t="shared" ca="1" si="142"/>
        <v>3.448999999999999</v>
      </c>
      <c r="C134" s="77">
        <f t="shared" ca="1" si="143"/>
        <v>5.697580788237782E-2</v>
      </c>
      <c r="D134" s="95">
        <f t="shared" ca="1" si="100"/>
        <v>0</v>
      </c>
      <c r="E134" s="97">
        <f t="shared" ca="1" si="180"/>
        <v>3153</v>
      </c>
      <c r="F134" s="77" t="e">
        <f t="shared" ca="1" si="181"/>
        <v>#DIV/0!</v>
      </c>
      <c r="G134" s="77" t="e">
        <f ca="1">IF(B$16=1,_xll.xCalcSkew(A134,H134-AL134,b)/100,0)</f>
        <v>#DIV/0!</v>
      </c>
      <c r="H134" s="96">
        <f t="shared" ca="1" si="182"/>
        <v>2.44</v>
      </c>
      <c r="J134" s="95">
        <f t="shared" ca="1" si="104"/>
        <v>0</v>
      </c>
      <c r="K134" s="97">
        <f t="shared" ca="1" si="183"/>
        <v>3153</v>
      </c>
      <c r="L134" s="172" t="e">
        <f t="shared" ca="1" si="184"/>
        <v>#DIV/0!</v>
      </c>
      <c r="M134" s="77" t="e">
        <f ca="1">IF(D$16=1,_xll.xCalcSkew($A134,N134-AW134,b)/100,0)</f>
        <v>#DIV/0!</v>
      </c>
      <c r="N134" s="96">
        <f t="shared" ca="1" si="185"/>
        <v>2.44</v>
      </c>
      <c r="P134" s="95">
        <f t="shared" ca="1" si="108"/>
        <v>0</v>
      </c>
      <c r="Q134" s="97">
        <f t="shared" ca="1" si="186"/>
        <v>3153</v>
      </c>
      <c r="R134" s="172" t="e">
        <f t="shared" ca="1" si="187"/>
        <v>#DIV/0!</v>
      </c>
      <c r="S134" s="77" t="e">
        <f ca="1">IF(F$16=1,_xll.xCalcSkew($A134,T134-BH134,b)/100,0)</f>
        <v>#DIV/0!</v>
      </c>
      <c r="T134" s="96">
        <f t="shared" ca="1" si="188"/>
        <v>2.44</v>
      </c>
      <c r="V134" s="95">
        <f t="shared" ca="1" si="112"/>
        <v>0</v>
      </c>
      <c r="W134" s="97">
        <f t="shared" ca="1" si="189"/>
        <v>3153</v>
      </c>
      <c r="X134" s="77" t="e">
        <f t="shared" ca="1" si="190"/>
        <v>#DIV/0!</v>
      </c>
      <c r="Y134" s="77" t="e">
        <f ca="1">IF(H$16=1,_xll.xCalcSkew($A134,Z134-BS134,b)/100,0)</f>
        <v>#DIV/0!</v>
      </c>
      <c r="Z134" s="96">
        <f t="shared" ca="1" si="191"/>
        <v>2.44</v>
      </c>
      <c r="AC134" s="97">
        <f t="shared" ca="1" si="144"/>
        <v>3154</v>
      </c>
      <c r="AD134" s="97">
        <f t="shared" ca="1" si="145"/>
        <v>3153</v>
      </c>
      <c r="AE134" s="77">
        <f t="shared" ca="1" si="146"/>
        <v>5.7555691791374597E-2</v>
      </c>
      <c r="AF134" s="152">
        <f t="shared" si="116"/>
        <v>30</v>
      </c>
      <c r="AI134" s="97"/>
      <c r="AJ134" s="78"/>
      <c r="AK134" s="78">
        <f t="shared" ca="1" si="192"/>
        <v>0</v>
      </c>
      <c r="AL134" s="288" t="e">
        <f t="shared" ca="1" si="164"/>
        <v>#DIV/0!</v>
      </c>
      <c r="AM134" s="75">
        <f t="shared" ca="1" si="193"/>
        <v>0</v>
      </c>
      <c r="AN134" s="100">
        <f t="shared" ca="1" si="194"/>
        <v>0</v>
      </c>
      <c r="AO134" s="99">
        <f t="shared" ca="1" si="195"/>
        <v>0</v>
      </c>
      <c r="AP134" s="99">
        <f t="shared" ca="1" si="196"/>
        <v>0</v>
      </c>
      <c r="AQ134" s="99">
        <f t="shared" ca="1" si="197"/>
        <v>0</v>
      </c>
      <c r="AR134" s="101">
        <f t="shared" ca="1" si="165"/>
        <v>0</v>
      </c>
      <c r="AS134" s="101">
        <f t="shared" ca="1" si="166"/>
        <v>0</v>
      </c>
      <c r="AT134" s="101">
        <f t="shared" ca="1" si="167"/>
        <v>0</v>
      </c>
      <c r="AV134" s="78">
        <f t="shared" ca="1" si="198"/>
        <v>0</v>
      </c>
      <c r="AW134" s="288" t="e">
        <f t="shared" ca="1" si="168"/>
        <v>#DIV/0!</v>
      </c>
      <c r="AX134" s="75">
        <f t="shared" ca="1" si="199"/>
        <v>0</v>
      </c>
      <c r="AY134" s="100">
        <f t="shared" ca="1" si="200"/>
        <v>0</v>
      </c>
      <c r="AZ134" s="99">
        <f t="shared" ca="1" si="201"/>
        <v>0</v>
      </c>
      <c r="BA134" s="99">
        <f t="shared" ca="1" si="202"/>
        <v>0</v>
      </c>
      <c r="BB134" s="99">
        <f t="shared" ca="1" si="203"/>
        <v>0</v>
      </c>
      <c r="BC134" s="101">
        <f t="shared" ca="1" si="169"/>
        <v>0</v>
      </c>
      <c r="BD134" s="101">
        <f t="shared" ca="1" si="170"/>
        <v>0</v>
      </c>
      <c r="BE134" s="101">
        <f t="shared" ca="1" si="171"/>
        <v>0</v>
      </c>
      <c r="BG134" s="78">
        <f t="shared" ca="1" si="204"/>
        <v>0</v>
      </c>
      <c r="BH134" s="288" t="e">
        <f t="shared" ca="1" si="172"/>
        <v>#DIV/0!</v>
      </c>
      <c r="BI134" s="75">
        <f t="shared" ca="1" si="205"/>
        <v>0</v>
      </c>
      <c r="BJ134" s="100">
        <f t="shared" ca="1" si="206"/>
        <v>0</v>
      </c>
      <c r="BK134" s="99">
        <f t="shared" ca="1" si="207"/>
        <v>0</v>
      </c>
      <c r="BL134" s="99">
        <f t="shared" ca="1" si="208"/>
        <v>0</v>
      </c>
      <c r="BM134" s="99">
        <f t="shared" ca="1" si="209"/>
        <v>0</v>
      </c>
      <c r="BN134" s="101">
        <f t="shared" ca="1" si="173"/>
        <v>0</v>
      </c>
      <c r="BO134" s="101">
        <f t="shared" ca="1" si="174"/>
        <v>0</v>
      </c>
      <c r="BP134" s="101">
        <f t="shared" ca="1" si="175"/>
        <v>0</v>
      </c>
      <c r="BR134" s="78">
        <f t="shared" ca="1" si="210"/>
        <v>0</v>
      </c>
      <c r="BS134" s="288" t="e">
        <f t="shared" ca="1" si="176"/>
        <v>#DIV/0!</v>
      </c>
      <c r="BT134" s="75">
        <f t="shared" ca="1" si="211"/>
        <v>0</v>
      </c>
      <c r="BU134" s="100">
        <f t="shared" ca="1" si="212"/>
        <v>0</v>
      </c>
      <c r="BV134" s="99">
        <f t="shared" ca="1" si="213"/>
        <v>0</v>
      </c>
      <c r="BW134" s="99">
        <f t="shared" ca="1" si="214"/>
        <v>0</v>
      </c>
      <c r="BX134" s="99">
        <f t="shared" ca="1" si="215"/>
        <v>0</v>
      </c>
      <c r="BY134" s="101">
        <f t="shared" ca="1" si="177"/>
        <v>0</v>
      </c>
      <c r="BZ134" s="101">
        <f t="shared" ca="1" si="178"/>
        <v>0</v>
      </c>
      <c r="CA134" s="101">
        <f t="shared" ca="1" si="179"/>
        <v>0</v>
      </c>
    </row>
    <row r="135" spans="1:79" x14ac:dyDescent="0.25">
      <c r="A135" s="94">
        <f t="shared" si="163"/>
        <v>40452</v>
      </c>
      <c r="B135" s="95">
        <f t="shared" ca="1" si="142"/>
        <v>3.4639999999999991</v>
      </c>
      <c r="C135" s="77">
        <f t="shared" ca="1" si="143"/>
        <v>5.6780212491992638E-2</v>
      </c>
      <c r="D135" s="95">
        <f t="shared" ca="1" si="100"/>
        <v>0</v>
      </c>
      <c r="E135" s="97">
        <f t="shared" ca="1" si="180"/>
        <v>3185</v>
      </c>
      <c r="F135" s="77" t="e">
        <f t="shared" ca="1" si="181"/>
        <v>#DIV/0!</v>
      </c>
      <c r="G135" s="77" t="e">
        <f ca="1">IF(B$16=1,_xll.xCalcSkew(A135,H135-AL135,b)/100,0)</f>
        <v>#DIV/0!</v>
      </c>
      <c r="H135" s="96">
        <f t="shared" ca="1" si="182"/>
        <v>2.44</v>
      </c>
      <c r="J135" s="95">
        <f t="shared" ca="1" si="104"/>
        <v>0</v>
      </c>
      <c r="K135" s="97">
        <f t="shared" ca="1" si="183"/>
        <v>3185</v>
      </c>
      <c r="L135" s="172" t="e">
        <f t="shared" ca="1" si="184"/>
        <v>#DIV/0!</v>
      </c>
      <c r="M135" s="77" t="e">
        <f ca="1">IF(D$16=1,_xll.xCalcSkew($A135,N135-AW135,b)/100,0)</f>
        <v>#DIV/0!</v>
      </c>
      <c r="N135" s="96">
        <f t="shared" ca="1" si="185"/>
        <v>2.44</v>
      </c>
      <c r="P135" s="95">
        <f t="shared" ca="1" si="108"/>
        <v>0</v>
      </c>
      <c r="Q135" s="97">
        <f t="shared" ca="1" si="186"/>
        <v>3185</v>
      </c>
      <c r="R135" s="172" t="e">
        <f t="shared" ca="1" si="187"/>
        <v>#DIV/0!</v>
      </c>
      <c r="S135" s="77" t="e">
        <f ca="1">IF(F$16=1,_xll.xCalcSkew($A135,T135-BH135,b)/100,0)</f>
        <v>#DIV/0!</v>
      </c>
      <c r="T135" s="96">
        <f t="shared" ca="1" si="188"/>
        <v>2.44</v>
      </c>
      <c r="V135" s="95">
        <f t="shared" ca="1" si="112"/>
        <v>0</v>
      </c>
      <c r="W135" s="97">
        <f t="shared" ca="1" si="189"/>
        <v>3185</v>
      </c>
      <c r="X135" s="77" t="e">
        <f t="shared" ca="1" si="190"/>
        <v>#DIV/0!</v>
      </c>
      <c r="Y135" s="77" t="e">
        <f ca="1">IF(H$16=1,_xll.xCalcSkew($A135,Z135-BS135,b)/100,0)</f>
        <v>#DIV/0!</v>
      </c>
      <c r="Z135" s="96">
        <f t="shared" ca="1" si="191"/>
        <v>2.44</v>
      </c>
      <c r="AC135" s="97">
        <f t="shared" ca="1" si="144"/>
        <v>3186</v>
      </c>
      <c r="AD135" s="97">
        <f t="shared" ca="1" si="145"/>
        <v>3185</v>
      </c>
      <c r="AE135" s="77">
        <f t="shared" ca="1" si="146"/>
        <v>5.7659190241320601E-2</v>
      </c>
      <c r="AF135" s="152">
        <f t="shared" si="116"/>
        <v>31</v>
      </c>
      <c r="AI135" s="97"/>
      <c r="AJ135" s="78"/>
      <c r="AK135" s="78">
        <f t="shared" ca="1" si="192"/>
        <v>0</v>
      </c>
      <c r="AL135" s="288" t="e">
        <f t="shared" ca="1" si="164"/>
        <v>#DIV/0!</v>
      </c>
      <c r="AM135" s="75">
        <f t="shared" ca="1" si="193"/>
        <v>0</v>
      </c>
      <c r="AN135" s="100">
        <f t="shared" ca="1" si="194"/>
        <v>0</v>
      </c>
      <c r="AO135" s="99">
        <f t="shared" ca="1" si="195"/>
        <v>0</v>
      </c>
      <c r="AP135" s="99">
        <f t="shared" ca="1" si="196"/>
        <v>0</v>
      </c>
      <c r="AQ135" s="99">
        <f t="shared" ca="1" si="197"/>
        <v>0</v>
      </c>
      <c r="AR135" s="101">
        <f t="shared" ca="1" si="165"/>
        <v>0</v>
      </c>
      <c r="AS135" s="101">
        <f t="shared" ca="1" si="166"/>
        <v>0</v>
      </c>
      <c r="AT135" s="101">
        <f t="shared" ca="1" si="167"/>
        <v>0</v>
      </c>
      <c r="AV135" s="78">
        <f t="shared" ca="1" si="198"/>
        <v>0</v>
      </c>
      <c r="AW135" s="288" t="e">
        <f t="shared" ca="1" si="168"/>
        <v>#DIV/0!</v>
      </c>
      <c r="AX135" s="75">
        <f t="shared" ca="1" si="199"/>
        <v>0</v>
      </c>
      <c r="AY135" s="100">
        <f t="shared" ca="1" si="200"/>
        <v>0</v>
      </c>
      <c r="AZ135" s="99">
        <f t="shared" ca="1" si="201"/>
        <v>0</v>
      </c>
      <c r="BA135" s="99">
        <f t="shared" ca="1" si="202"/>
        <v>0</v>
      </c>
      <c r="BB135" s="99">
        <f t="shared" ca="1" si="203"/>
        <v>0</v>
      </c>
      <c r="BC135" s="101">
        <f t="shared" ca="1" si="169"/>
        <v>0</v>
      </c>
      <c r="BD135" s="101">
        <f t="shared" ca="1" si="170"/>
        <v>0</v>
      </c>
      <c r="BE135" s="101">
        <f t="shared" ca="1" si="171"/>
        <v>0</v>
      </c>
      <c r="BG135" s="78">
        <f t="shared" ca="1" si="204"/>
        <v>0</v>
      </c>
      <c r="BH135" s="288" t="e">
        <f t="shared" ca="1" si="172"/>
        <v>#DIV/0!</v>
      </c>
      <c r="BI135" s="75">
        <f t="shared" ca="1" si="205"/>
        <v>0</v>
      </c>
      <c r="BJ135" s="100">
        <f t="shared" ca="1" si="206"/>
        <v>0</v>
      </c>
      <c r="BK135" s="99">
        <f t="shared" ca="1" si="207"/>
        <v>0</v>
      </c>
      <c r="BL135" s="99">
        <f t="shared" ca="1" si="208"/>
        <v>0</v>
      </c>
      <c r="BM135" s="99">
        <f t="shared" ca="1" si="209"/>
        <v>0</v>
      </c>
      <c r="BN135" s="101">
        <f t="shared" ca="1" si="173"/>
        <v>0</v>
      </c>
      <c r="BO135" s="101">
        <f t="shared" ca="1" si="174"/>
        <v>0</v>
      </c>
      <c r="BP135" s="101">
        <f t="shared" ca="1" si="175"/>
        <v>0</v>
      </c>
      <c r="BR135" s="78">
        <f t="shared" ca="1" si="210"/>
        <v>0</v>
      </c>
      <c r="BS135" s="288" t="e">
        <f t="shared" ca="1" si="176"/>
        <v>#DIV/0!</v>
      </c>
      <c r="BT135" s="75">
        <f t="shared" ca="1" si="211"/>
        <v>0</v>
      </c>
      <c r="BU135" s="100">
        <f t="shared" ca="1" si="212"/>
        <v>0</v>
      </c>
      <c r="BV135" s="99">
        <f t="shared" ca="1" si="213"/>
        <v>0</v>
      </c>
      <c r="BW135" s="99">
        <f t="shared" ca="1" si="214"/>
        <v>0</v>
      </c>
      <c r="BX135" s="99">
        <f t="shared" ca="1" si="215"/>
        <v>0</v>
      </c>
      <c r="BY135" s="101">
        <f t="shared" ca="1" si="177"/>
        <v>0</v>
      </c>
      <c r="BZ135" s="101">
        <f t="shared" ca="1" si="178"/>
        <v>0</v>
      </c>
      <c r="CA135" s="101">
        <f t="shared" ca="1" si="179"/>
        <v>0</v>
      </c>
    </row>
    <row r="136" spans="1:79" x14ac:dyDescent="0.25">
      <c r="A136" s="94">
        <f t="shared" si="163"/>
        <v>40483</v>
      </c>
      <c r="B136" s="95">
        <f t="shared" ca="1" si="142"/>
        <v>3.6089999999999991</v>
      </c>
      <c r="C136" s="77">
        <f t="shared" ca="1" si="143"/>
        <v>5.454483981146329E-2</v>
      </c>
      <c r="D136" s="95">
        <f t="shared" ca="1" si="100"/>
        <v>0</v>
      </c>
      <c r="E136" s="97">
        <f t="shared" ca="1" si="180"/>
        <v>3214</v>
      </c>
      <c r="F136" s="77" t="e">
        <f t="shared" ca="1" si="181"/>
        <v>#DIV/0!</v>
      </c>
      <c r="G136" s="77" t="e">
        <f ca="1">IF(B$16=1,_xll.xCalcSkew(A136,H136-AL136,b)/100,0)</f>
        <v>#DIV/0!</v>
      </c>
      <c r="H136" s="96">
        <f t="shared" ca="1" si="182"/>
        <v>2.44</v>
      </c>
      <c r="J136" s="95">
        <f t="shared" ca="1" si="104"/>
        <v>0</v>
      </c>
      <c r="K136" s="97">
        <f t="shared" ca="1" si="183"/>
        <v>3214</v>
      </c>
      <c r="L136" s="172" t="e">
        <f t="shared" ca="1" si="184"/>
        <v>#DIV/0!</v>
      </c>
      <c r="M136" s="77" t="e">
        <f ca="1">IF(D$16=1,_xll.xCalcSkew($A136,N136-AW136,b)/100,0)</f>
        <v>#DIV/0!</v>
      </c>
      <c r="N136" s="96">
        <f t="shared" ca="1" si="185"/>
        <v>2.44</v>
      </c>
      <c r="P136" s="95">
        <f t="shared" ca="1" si="108"/>
        <v>0</v>
      </c>
      <c r="Q136" s="97">
        <f t="shared" ca="1" si="186"/>
        <v>3214</v>
      </c>
      <c r="R136" s="172" t="e">
        <f t="shared" ca="1" si="187"/>
        <v>#DIV/0!</v>
      </c>
      <c r="S136" s="77" t="e">
        <f ca="1">IF(F$16=1,_xll.xCalcSkew($A136,T136-BH136,b)/100,0)</f>
        <v>#DIV/0!</v>
      </c>
      <c r="T136" s="96">
        <f t="shared" ca="1" si="188"/>
        <v>2.44</v>
      </c>
      <c r="V136" s="95">
        <f t="shared" ca="1" si="112"/>
        <v>0</v>
      </c>
      <c r="W136" s="97">
        <f t="shared" ca="1" si="189"/>
        <v>3214</v>
      </c>
      <c r="X136" s="77" t="e">
        <f t="shared" ca="1" si="190"/>
        <v>#DIV/0!</v>
      </c>
      <c r="Y136" s="77" t="e">
        <f ca="1">IF(H$16=1,_xll.xCalcSkew($A136,Z136-BS136,b)/100,0)</f>
        <v>#DIV/0!</v>
      </c>
      <c r="Z136" s="96">
        <f t="shared" ca="1" si="191"/>
        <v>2.44</v>
      </c>
      <c r="AC136" s="97">
        <f t="shared" ca="1" si="144"/>
        <v>3215</v>
      </c>
      <c r="AD136" s="97">
        <f t="shared" ca="1" si="145"/>
        <v>3214</v>
      </c>
      <c r="AE136" s="77">
        <f t="shared" ca="1" si="146"/>
        <v>5.7759350034984003E-2</v>
      </c>
      <c r="AF136" s="152">
        <f t="shared" si="116"/>
        <v>30</v>
      </c>
      <c r="AI136" s="97"/>
      <c r="AJ136" s="78"/>
      <c r="AK136" s="78">
        <f t="shared" ca="1" si="192"/>
        <v>0</v>
      </c>
      <c r="AL136" s="288" t="e">
        <f t="shared" ca="1" si="164"/>
        <v>#DIV/0!</v>
      </c>
      <c r="AM136" s="75">
        <f t="shared" ca="1" si="193"/>
        <v>0</v>
      </c>
      <c r="AN136" s="100">
        <f t="shared" ca="1" si="194"/>
        <v>0</v>
      </c>
      <c r="AO136" s="99">
        <f t="shared" ca="1" si="195"/>
        <v>0</v>
      </c>
      <c r="AP136" s="99">
        <f t="shared" ca="1" si="196"/>
        <v>0</v>
      </c>
      <c r="AQ136" s="99">
        <f t="shared" ca="1" si="197"/>
        <v>0</v>
      </c>
      <c r="AR136" s="101">
        <f t="shared" ca="1" si="165"/>
        <v>0</v>
      </c>
      <c r="AS136" s="101">
        <f t="shared" ca="1" si="166"/>
        <v>0</v>
      </c>
      <c r="AT136" s="101">
        <f t="shared" ca="1" si="167"/>
        <v>0</v>
      </c>
      <c r="AV136" s="78">
        <f t="shared" ca="1" si="198"/>
        <v>0</v>
      </c>
      <c r="AW136" s="288" t="e">
        <f t="shared" ca="1" si="168"/>
        <v>#DIV/0!</v>
      </c>
      <c r="AX136" s="75">
        <f t="shared" ca="1" si="199"/>
        <v>0</v>
      </c>
      <c r="AY136" s="100">
        <f t="shared" ca="1" si="200"/>
        <v>0</v>
      </c>
      <c r="AZ136" s="99">
        <f t="shared" ca="1" si="201"/>
        <v>0</v>
      </c>
      <c r="BA136" s="99">
        <f t="shared" ca="1" si="202"/>
        <v>0</v>
      </c>
      <c r="BB136" s="99">
        <f t="shared" ca="1" si="203"/>
        <v>0</v>
      </c>
      <c r="BC136" s="101">
        <f t="shared" ca="1" si="169"/>
        <v>0</v>
      </c>
      <c r="BD136" s="101">
        <f t="shared" ca="1" si="170"/>
        <v>0</v>
      </c>
      <c r="BE136" s="101">
        <f t="shared" ca="1" si="171"/>
        <v>0</v>
      </c>
      <c r="BG136" s="78">
        <f t="shared" ca="1" si="204"/>
        <v>0</v>
      </c>
      <c r="BH136" s="288" t="e">
        <f t="shared" ca="1" si="172"/>
        <v>#DIV/0!</v>
      </c>
      <c r="BI136" s="75">
        <f t="shared" ca="1" si="205"/>
        <v>0</v>
      </c>
      <c r="BJ136" s="100">
        <f t="shared" ca="1" si="206"/>
        <v>0</v>
      </c>
      <c r="BK136" s="99">
        <f t="shared" ca="1" si="207"/>
        <v>0</v>
      </c>
      <c r="BL136" s="99">
        <f t="shared" ca="1" si="208"/>
        <v>0</v>
      </c>
      <c r="BM136" s="99">
        <f t="shared" ca="1" si="209"/>
        <v>0</v>
      </c>
      <c r="BN136" s="101">
        <f t="shared" ca="1" si="173"/>
        <v>0</v>
      </c>
      <c r="BO136" s="101">
        <f t="shared" ca="1" si="174"/>
        <v>0</v>
      </c>
      <c r="BP136" s="101">
        <f t="shared" ca="1" si="175"/>
        <v>0</v>
      </c>
      <c r="BR136" s="78">
        <f t="shared" ca="1" si="210"/>
        <v>0</v>
      </c>
      <c r="BS136" s="288" t="e">
        <f t="shared" ca="1" si="176"/>
        <v>#DIV/0!</v>
      </c>
      <c r="BT136" s="75">
        <f t="shared" ca="1" si="211"/>
        <v>0</v>
      </c>
      <c r="BU136" s="100">
        <f t="shared" ca="1" si="212"/>
        <v>0</v>
      </c>
      <c r="BV136" s="99">
        <f t="shared" ca="1" si="213"/>
        <v>0</v>
      </c>
      <c r="BW136" s="99">
        <f t="shared" ca="1" si="214"/>
        <v>0</v>
      </c>
      <c r="BX136" s="99">
        <f t="shared" ca="1" si="215"/>
        <v>0</v>
      </c>
      <c r="BY136" s="101">
        <f t="shared" ca="1" si="177"/>
        <v>0</v>
      </c>
      <c r="BZ136" s="101">
        <f t="shared" ca="1" si="178"/>
        <v>0</v>
      </c>
      <c r="CA136" s="101">
        <f t="shared" ca="1" si="179"/>
        <v>0</v>
      </c>
    </row>
    <row r="137" spans="1:79" x14ac:dyDescent="0.25">
      <c r="A137" s="94">
        <f t="shared" si="163"/>
        <v>40513</v>
      </c>
      <c r="B137" s="95">
        <f t="shared" ca="1" si="142"/>
        <v>3.7439999999999989</v>
      </c>
      <c r="C137" s="77">
        <f t="shared" ca="1" si="143"/>
        <v>5.262766773560959E-2</v>
      </c>
      <c r="D137" s="95">
        <f t="shared" ca="1" si="100"/>
        <v>0</v>
      </c>
      <c r="E137" s="97">
        <f t="shared" ca="1" si="180"/>
        <v>3243</v>
      </c>
      <c r="F137" s="77" t="e">
        <f t="shared" ca="1" si="181"/>
        <v>#DIV/0!</v>
      </c>
      <c r="G137" s="77" t="e">
        <f ca="1">IF(B$16=1,_xll.xCalcSkew(A137,H137-AL137,b)/100,0)</f>
        <v>#DIV/0!</v>
      </c>
      <c r="H137" s="96">
        <f t="shared" ca="1" si="182"/>
        <v>2.44</v>
      </c>
      <c r="J137" s="95">
        <f t="shared" ca="1" si="104"/>
        <v>0</v>
      </c>
      <c r="K137" s="97">
        <f t="shared" ca="1" si="183"/>
        <v>3243</v>
      </c>
      <c r="L137" s="172" t="e">
        <f t="shared" ca="1" si="184"/>
        <v>#DIV/0!</v>
      </c>
      <c r="M137" s="77" t="e">
        <f ca="1">IF(D$16=1,_xll.xCalcSkew($A137,N137-AW137,b)/100,0)</f>
        <v>#DIV/0!</v>
      </c>
      <c r="N137" s="96">
        <f t="shared" ca="1" si="185"/>
        <v>2.44</v>
      </c>
      <c r="P137" s="95">
        <f t="shared" ca="1" si="108"/>
        <v>0</v>
      </c>
      <c r="Q137" s="97">
        <f t="shared" ca="1" si="186"/>
        <v>3243</v>
      </c>
      <c r="R137" s="172" t="e">
        <f t="shared" ca="1" si="187"/>
        <v>#DIV/0!</v>
      </c>
      <c r="S137" s="77" t="e">
        <f ca="1">IF(F$16=1,_xll.xCalcSkew($A137,T137-BH137,b)/100,0)</f>
        <v>#DIV/0!</v>
      </c>
      <c r="T137" s="96">
        <f t="shared" ca="1" si="188"/>
        <v>2.44</v>
      </c>
      <c r="V137" s="95">
        <f t="shared" ca="1" si="112"/>
        <v>0</v>
      </c>
      <c r="W137" s="97">
        <f t="shared" ca="1" si="189"/>
        <v>3243</v>
      </c>
      <c r="X137" s="77" t="e">
        <f t="shared" ca="1" si="190"/>
        <v>#DIV/0!</v>
      </c>
      <c r="Y137" s="77" t="e">
        <f ca="1">IF(H$16=1,_xll.xCalcSkew($A137,Z137-BS137,b)/100,0)</f>
        <v>#DIV/0!</v>
      </c>
      <c r="Z137" s="96">
        <f t="shared" ca="1" si="191"/>
        <v>2.44</v>
      </c>
      <c r="AC137" s="97">
        <f t="shared" ca="1" si="144"/>
        <v>3245</v>
      </c>
      <c r="AD137" s="97">
        <f t="shared" ca="1" si="145"/>
        <v>3243</v>
      </c>
      <c r="AE137" s="77">
        <f t="shared" ca="1" si="146"/>
        <v>5.7862848491941697E-2</v>
      </c>
      <c r="AF137" s="152">
        <f t="shared" si="116"/>
        <v>31</v>
      </c>
      <c r="AI137" s="97"/>
      <c r="AJ137" s="78"/>
      <c r="AK137" s="78">
        <f t="shared" ca="1" si="192"/>
        <v>0</v>
      </c>
      <c r="AL137" s="288" t="e">
        <f t="shared" ca="1" si="164"/>
        <v>#DIV/0!</v>
      </c>
      <c r="AM137" s="75">
        <f t="shared" ca="1" si="193"/>
        <v>0</v>
      </c>
      <c r="AN137" s="100">
        <f t="shared" ca="1" si="194"/>
        <v>0</v>
      </c>
      <c r="AO137" s="99">
        <f t="shared" ca="1" si="195"/>
        <v>0</v>
      </c>
      <c r="AP137" s="99">
        <f t="shared" ca="1" si="196"/>
        <v>0</v>
      </c>
      <c r="AQ137" s="99">
        <f t="shared" ca="1" si="197"/>
        <v>0</v>
      </c>
      <c r="AR137" s="101">
        <f t="shared" ca="1" si="165"/>
        <v>0</v>
      </c>
      <c r="AS137" s="101">
        <f t="shared" ca="1" si="166"/>
        <v>0</v>
      </c>
      <c r="AT137" s="101">
        <f t="shared" ca="1" si="167"/>
        <v>0</v>
      </c>
      <c r="AV137" s="78">
        <f t="shared" ca="1" si="198"/>
        <v>0</v>
      </c>
      <c r="AW137" s="288" t="e">
        <f t="shared" ca="1" si="168"/>
        <v>#DIV/0!</v>
      </c>
      <c r="AX137" s="75">
        <f t="shared" ca="1" si="199"/>
        <v>0</v>
      </c>
      <c r="AY137" s="100">
        <f t="shared" ca="1" si="200"/>
        <v>0</v>
      </c>
      <c r="AZ137" s="99">
        <f t="shared" ca="1" si="201"/>
        <v>0</v>
      </c>
      <c r="BA137" s="99">
        <f t="shared" ca="1" si="202"/>
        <v>0</v>
      </c>
      <c r="BB137" s="99">
        <f t="shared" ca="1" si="203"/>
        <v>0</v>
      </c>
      <c r="BC137" s="101">
        <f t="shared" ca="1" si="169"/>
        <v>0</v>
      </c>
      <c r="BD137" s="101">
        <f t="shared" ca="1" si="170"/>
        <v>0</v>
      </c>
      <c r="BE137" s="101">
        <f t="shared" ca="1" si="171"/>
        <v>0</v>
      </c>
      <c r="BG137" s="78">
        <f t="shared" ca="1" si="204"/>
        <v>0</v>
      </c>
      <c r="BH137" s="288" t="e">
        <f t="shared" ca="1" si="172"/>
        <v>#DIV/0!</v>
      </c>
      <c r="BI137" s="75">
        <f t="shared" ca="1" si="205"/>
        <v>0</v>
      </c>
      <c r="BJ137" s="100">
        <f t="shared" ca="1" si="206"/>
        <v>0</v>
      </c>
      <c r="BK137" s="99">
        <f t="shared" ca="1" si="207"/>
        <v>0</v>
      </c>
      <c r="BL137" s="99">
        <f t="shared" ca="1" si="208"/>
        <v>0</v>
      </c>
      <c r="BM137" s="99">
        <f t="shared" ca="1" si="209"/>
        <v>0</v>
      </c>
      <c r="BN137" s="101">
        <f t="shared" ca="1" si="173"/>
        <v>0</v>
      </c>
      <c r="BO137" s="101">
        <f t="shared" ca="1" si="174"/>
        <v>0</v>
      </c>
      <c r="BP137" s="101">
        <f t="shared" ca="1" si="175"/>
        <v>0</v>
      </c>
      <c r="BR137" s="78">
        <f t="shared" ca="1" si="210"/>
        <v>0</v>
      </c>
      <c r="BS137" s="288" t="e">
        <f t="shared" ca="1" si="176"/>
        <v>#DIV/0!</v>
      </c>
      <c r="BT137" s="75">
        <f t="shared" ca="1" si="211"/>
        <v>0</v>
      </c>
      <c r="BU137" s="100">
        <f t="shared" ca="1" si="212"/>
        <v>0</v>
      </c>
      <c r="BV137" s="99">
        <f t="shared" ca="1" si="213"/>
        <v>0</v>
      </c>
      <c r="BW137" s="99">
        <f t="shared" ca="1" si="214"/>
        <v>0</v>
      </c>
      <c r="BX137" s="99">
        <f t="shared" ca="1" si="215"/>
        <v>0</v>
      </c>
      <c r="BY137" s="101">
        <f t="shared" ca="1" si="177"/>
        <v>0</v>
      </c>
      <c r="BZ137" s="101">
        <f t="shared" ca="1" si="178"/>
        <v>0</v>
      </c>
      <c r="CA137" s="101">
        <f t="shared" ca="1" si="179"/>
        <v>0</v>
      </c>
    </row>
    <row r="138" spans="1:79" x14ac:dyDescent="0.25">
      <c r="A138" s="94">
        <f t="shared" si="163"/>
        <v>40544</v>
      </c>
      <c r="B138" s="95">
        <f t="shared" ca="1" si="142"/>
        <v>3.798999999999999</v>
      </c>
      <c r="C138" s="77">
        <f t="shared" ca="1" si="143"/>
        <v>5.1920001358212821E-2</v>
      </c>
      <c r="D138" s="95">
        <f t="shared" ca="1" si="100"/>
        <v>0</v>
      </c>
      <c r="E138" s="97">
        <f t="shared" ca="1" si="180"/>
        <v>3276</v>
      </c>
      <c r="F138" s="77" t="e">
        <f t="shared" ca="1" si="181"/>
        <v>#DIV/0!</v>
      </c>
      <c r="G138" s="77" t="e">
        <f ca="1">IF(B$16=1,_xll.xCalcSkew(A138,H138-AL138,b)/100,0)</f>
        <v>#DIV/0!</v>
      </c>
      <c r="H138" s="96">
        <f t="shared" ca="1" si="182"/>
        <v>2.44</v>
      </c>
      <c r="J138" s="95">
        <f t="shared" ca="1" si="104"/>
        <v>0</v>
      </c>
      <c r="K138" s="97">
        <f t="shared" ca="1" si="183"/>
        <v>3276</v>
      </c>
      <c r="L138" s="172" t="e">
        <f t="shared" ca="1" si="184"/>
        <v>#DIV/0!</v>
      </c>
      <c r="M138" s="77" t="e">
        <f ca="1">IF(D$16=1,_xll.xCalcSkew($A138,N138-AW138,b)/100,0)</f>
        <v>#DIV/0!</v>
      </c>
      <c r="N138" s="96">
        <f t="shared" ca="1" si="185"/>
        <v>2.44</v>
      </c>
      <c r="P138" s="95">
        <f t="shared" ca="1" si="108"/>
        <v>0</v>
      </c>
      <c r="Q138" s="97">
        <f t="shared" ca="1" si="186"/>
        <v>3276</v>
      </c>
      <c r="R138" s="172" t="e">
        <f t="shared" ca="1" si="187"/>
        <v>#DIV/0!</v>
      </c>
      <c r="S138" s="77" t="e">
        <f ca="1">IF(F$16=1,_xll.xCalcSkew($A138,T138-BH138,b)/100,0)</f>
        <v>#DIV/0!</v>
      </c>
      <c r="T138" s="96">
        <f t="shared" ca="1" si="188"/>
        <v>2.44</v>
      </c>
      <c r="V138" s="95">
        <f t="shared" ca="1" si="112"/>
        <v>0</v>
      </c>
      <c r="W138" s="97">
        <f t="shared" ca="1" si="189"/>
        <v>3276</v>
      </c>
      <c r="X138" s="77" t="e">
        <f t="shared" ca="1" si="190"/>
        <v>#DIV/0!</v>
      </c>
      <c r="Y138" s="77" t="e">
        <f ca="1">IF(H$16=1,_xll.xCalcSkew($A138,Z138-BS138,b)/100,0)</f>
        <v>#DIV/0!</v>
      </c>
      <c r="Z138" s="96">
        <f t="shared" ca="1" si="191"/>
        <v>2.44</v>
      </c>
      <c r="AC138" s="97">
        <f t="shared" ca="1" si="144"/>
        <v>3277</v>
      </c>
      <c r="AD138" s="97">
        <f t="shared" ca="1" si="145"/>
        <v>3276</v>
      </c>
      <c r="AE138" s="77">
        <f t="shared" ca="1" si="146"/>
        <v>5.79630082923899E-2</v>
      </c>
      <c r="AF138" s="152">
        <f t="shared" si="116"/>
        <v>31</v>
      </c>
      <c r="AI138" s="97"/>
      <c r="AJ138" s="78"/>
      <c r="AK138" s="78">
        <f t="shared" ca="1" si="192"/>
        <v>0</v>
      </c>
      <c r="AL138" s="288" t="e">
        <f t="shared" ca="1" si="164"/>
        <v>#DIV/0!</v>
      </c>
      <c r="AM138" s="75">
        <f t="shared" ca="1" si="193"/>
        <v>0</v>
      </c>
      <c r="AN138" s="100">
        <f t="shared" ca="1" si="194"/>
        <v>0</v>
      </c>
      <c r="AO138" s="99">
        <f t="shared" ca="1" si="195"/>
        <v>0</v>
      </c>
      <c r="AP138" s="99">
        <f t="shared" ca="1" si="196"/>
        <v>0</v>
      </c>
      <c r="AQ138" s="99">
        <f t="shared" ca="1" si="197"/>
        <v>0</v>
      </c>
      <c r="AR138" s="101">
        <f t="shared" ca="1" si="165"/>
        <v>0</v>
      </c>
      <c r="AS138" s="101">
        <f t="shared" ca="1" si="166"/>
        <v>0</v>
      </c>
      <c r="AT138" s="101">
        <f t="shared" ca="1" si="167"/>
        <v>0</v>
      </c>
      <c r="AV138" s="78">
        <f t="shared" ca="1" si="198"/>
        <v>0</v>
      </c>
      <c r="AW138" s="288" t="e">
        <f t="shared" ca="1" si="168"/>
        <v>#DIV/0!</v>
      </c>
      <c r="AX138" s="75">
        <f t="shared" ca="1" si="199"/>
        <v>0</v>
      </c>
      <c r="AY138" s="100">
        <f t="shared" ca="1" si="200"/>
        <v>0</v>
      </c>
      <c r="AZ138" s="99">
        <f t="shared" ca="1" si="201"/>
        <v>0</v>
      </c>
      <c r="BA138" s="99">
        <f t="shared" ca="1" si="202"/>
        <v>0</v>
      </c>
      <c r="BB138" s="99">
        <f t="shared" ca="1" si="203"/>
        <v>0</v>
      </c>
      <c r="BC138" s="101">
        <f t="shared" ca="1" si="169"/>
        <v>0</v>
      </c>
      <c r="BD138" s="101">
        <f t="shared" ca="1" si="170"/>
        <v>0</v>
      </c>
      <c r="BE138" s="101">
        <f t="shared" ca="1" si="171"/>
        <v>0</v>
      </c>
      <c r="BG138" s="78">
        <f t="shared" ca="1" si="204"/>
        <v>0</v>
      </c>
      <c r="BH138" s="288" t="e">
        <f t="shared" ca="1" si="172"/>
        <v>#DIV/0!</v>
      </c>
      <c r="BI138" s="75">
        <f t="shared" ca="1" si="205"/>
        <v>0</v>
      </c>
      <c r="BJ138" s="100">
        <f t="shared" ca="1" si="206"/>
        <v>0</v>
      </c>
      <c r="BK138" s="99">
        <f t="shared" ca="1" si="207"/>
        <v>0</v>
      </c>
      <c r="BL138" s="99">
        <f t="shared" ca="1" si="208"/>
        <v>0</v>
      </c>
      <c r="BM138" s="99">
        <f t="shared" ca="1" si="209"/>
        <v>0</v>
      </c>
      <c r="BN138" s="101">
        <f t="shared" ca="1" si="173"/>
        <v>0</v>
      </c>
      <c r="BO138" s="101">
        <f t="shared" ca="1" si="174"/>
        <v>0</v>
      </c>
      <c r="BP138" s="101">
        <f t="shared" ca="1" si="175"/>
        <v>0</v>
      </c>
      <c r="BR138" s="78">
        <f t="shared" ca="1" si="210"/>
        <v>0</v>
      </c>
      <c r="BS138" s="288" t="e">
        <f t="shared" ca="1" si="176"/>
        <v>#DIV/0!</v>
      </c>
      <c r="BT138" s="75">
        <f t="shared" ca="1" si="211"/>
        <v>0</v>
      </c>
      <c r="BU138" s="100">
        <f t="shared" ca="1" si="212"/>
        <v>0</v>
      </c>
      <c r="BV138" s="99">
        <f t="shared" ca="1" si="213"/>
        <v>0</v>
      </c>
      <c r="BW138" s="99">
        <f t="shared" ca="1" si="214"/>
        <v>0</v>
      </c>
      <c r="BX138" s="99">
        <f t="shared" ca="1" si="215"/>
        <v>0</v>
      </c>
      <c r="BY138" s="101">
        <f t="shared" ca="1" si="177"/>
        <v>0</v>
      </c>
      <c r="BZ138" s="101">
        <f t="shared" ca="1" si="178"/>
        <v>0</v>
      </c>
      <c r="CA138" s="101">
        <f t="shared" ca="1" si="179"/>
        <v>0</v>
      </c>
    </row>
    <row r="139" spans="1:79" x14ac:dyDescent="0.25">
      <c r="A139" s="94">
        <f t="shared" si="163"/>
        <v>40575</v>
      </c>
      <c r="B139" s="95">
        <f t="shared" ca="1" si="142"/>
        <v>3.6509999999999989</v>
      </c>
      <c r="C139" s="77">
        <f t="shared" ca="1" si="143"/>
        <v>5.4091913250801787E-2</v>
      </c>
      <c r="D139" s="95">
        <f t="shared" ca="1" si="100"/>
        <v>0</v>
      </c>
      <c r="E139" s="97">
        <f t="shared" ca="1" si="180"/>
        <v>3306</v>
      </c>
      <c r="F139" s="77" t="e">
        <f t="shared" ca="1" si="181"/>
        <v>#DIV/0!</v>
      </c>
      <c r="G139" s="77" t="e">
        <f ca="1">IF(B$16=1,_xll.xCalcSkew(A139,H139-AL139,b)/100,0)</f>
        <v>#DIV/0!</v>
      </c>
      <c r="H139" s="96">
        <f t="shared" ca="1" si="182"/>
        <v>2.44</v>
      </c>
      <c r="J139" s="95">
        <f t="shared" ca="1" si="104"/>
        <v>0</v>
      </c>
      <c r="K139" s="97">
        <f t="shared" ca="1" si="183"/>
        <v>3306</v>
      </c>
      <c r="L139" s="172" t="e">
        <f t="shared" ca="1" si="184"/>
        <v>#DIV/0!</v>
      </c>
      <c r="M139" s="77" t="e">
        <f ca="1">IF(D$16=1,_xll.xCalcSkew($A139,N139-AW139,b)/100,0)</f>
        <v>#DIV/0!</v>
      </c>
      <c r="N139" s="96">
        <f t="shared" ca="1" si="185"/>
        <v>2.44</v>
      </c>
      <c r="P139" s="95">
        <f t="shared" ca="1" si="108"/>
        <v>0</v>
      </c>
      <c r="Q139" s="97">
        <f t="shared" ca="1" si="186"/>
        <v>3306</v>
      </c>
      <c r="R139" s="172" t="e">
        <f t="shared" ca="1" si="187"/>
        <v>#DIV/0!</v>
      </c>
      <c r="S139" s="77" t="e">
        <f ca="1">IF(F$16=1,_xll.xCalcSkew($A139,T139-BH139,b)/100,0)</f>
        <v>#DIV/0!</v>
      </c>
      <c r="T139" s="96">
        <f t="shared" ca="1" si="188"/>
        <v>2.44</v>
      </c>
      <c r="V139" s="95">
        <f t="shared" ca="1" si="112"/>
        <v>0</v>
      </c>
      <c r="W139" s="97">
        <f t="shared" ca="1" si="189"/>
        <v>3306</v>
      </c>
      <c r="X139" s="77" t="e">
        <f t="shared" ca="1" si="190"/>
        <v>#DIV/0!</v>
      </c>
      <c r="Y139" s="77" t="e">
        <f ca="1">IF(H$16=1,_xll.xCalcSkew($A139,Z139-BS139,b)/100,0)</f>
        <v>#DIV/0!</v>
      </c>
      <c r="Z139" s="96">
        <f t="shared" ca="1" si="191"/>
        <v>2.44</v>
      </c>
      <c r="AC139" s="97">
        <f t="shared" ca="1" si="144"/>
        <v>3307</v>
      </c>
      <c r="AD139" s="97">
        <f t="shared" ca="1" si="145"/>
        <v>3306</v>
      </c>
      <c r="AE139" s="77">
        <f t="shared" ca="1" si="146"/>
        <v>5.8066506756358403E-2</v>
      </c>
      <c r="AF139" s="152">
        <f t="shared" si="116"/>
        <v>28</v>
      </c>
      <c r="AI139" s="97"/>
      <c r="AJ139" s="78"/>
      <c r="AK139" s="78">
        <f t="shared" ca="1" si="192"/>
        <v>0</v>
      </c>
      <c r="AL139" s="288" t="e">
        <f t="shared" ca="1" si="164"/>
        <v>#DIV/0!</v>
      </c>
      <c r="AM139" s="75">
        <f t="shared" ca="1" si="193"/>
        <v>0</v>
      </c>
      <c r="AN139" s="100">
        <f t="shared" ca="1" si="194"/>
        <v>0</v>
      </c>
      <c r="AO139" s="99">
        <f t="shared" ca="1" si="195"/>
        <v>0</v>
      </c>
      <c r="AP139" s="99">
        <f t="shared" ca="1" si="196"/>
        <v>0</v>
      </c>
      <c r="AQ139" s="99">
        <f t="shared" ca="1" si="197"/>
        <v>0</v>
      </c>
      <c r="AR139" s="101">
        <f t="shared" ca="1" si="165"/>
        <v>0</v>
      </c>
      <c r="AS139" s="101">
        <f t="shared" ca="1" si="166"/>
        <v>0</v>
      </c>
      <c r="AT139" s="101">
        <f t="shared" ca="1" si="167"/>
        <v>0</v>
      </c>
      <c r="AV139" s="78">
        <f t="shared" ca="1" si="198"/>
        <v>0</v>
      </c>
      <c r="AW139" s="288" t="e">
        <f t="shared" ca="1" si="168"/>
        <v>#DIV/0!</v>
      </c>
      <c r="AX139" s="75">
        <f t="shared" ca="1" si="199"/>
        <v>0</v>
      </c>
      <c r="AY139" s="100">
        <f t="shared" ca="1" si="200"/>
        <v>0</v>
      </c>
      <c r="AZ139" s="99">
        <f t="shared" ca="1" si="201"/>
        <v>0</v>
      </c>
      <c r="BA139" s="99">
        <f t="shared" ca="1" si="202"/>
        <v>0</v>
      </c>
      <c r="BB139" s="99">
        <f t="shared" ca="1" si="203"/>
        <v>0</v>
      </c>
      <c r="BC139" s="101">
        <f t="shared" ca="1" si="169"/>
        <v>0</v>
      </c>
      <c r="BD139" s="101">
        <f t="shared" ca="1" si="170"/>
        <v>0</v>
      </c>
      <c r="BE139" s="101">
        <f t="shared" ca="1" si="171"/>
        <v>0</v>
      </c>
      <c r="BG139" s="78">
        <f t="shared" ca="1" si="204"/>
        <v>0</v>
      </c>
      <c r="BH139" s="288" t="e">
        <f t="shared" ca="1" si="172"/>
        <v>#DIV/0!</v>
      </c>
      <c r="BI139" s="75">
        <f t="shared" ca="1" si="205"/>
        <v>0</v>
      </c>
      <c r="BJ139" s="100">
        <f t="shared" ca="1" si="206"/>
        <v>0</v>
      </c>
      <c r="BK139" s="99">
        <f t="shared" ca="1" si="207"/>
        <v>0</v>
      </c>
      <c r="BL139" s="99">
        <f t="shared" ca="1" si="208"/>
        <v>0</v>
      </c>
      <c r="BM139" s="99">
        <f t="shared" ca="1" si="209"/>
        <v>0</v>
      </c>
      <c r="BN139" s="101">
        <f t="shared" ca="1" si="173"/>
        <v>0</v>
      </c>
      <c r="BO139" s="101">
        <f t="shared" ca="1" si="174"/>
        <v>0</v>
      </c>
      <c r="BP139" s="101">
        <f t="shared" ca="1" si="175"/>
        <v>0</v>
      </c>
      <c r="BR139" s="78">
        <f t="shared" ca="1" si="210"/>
        <v>0</v>
      </c>
      <c r="BS139" s="288" t="e">
        <f t="shared" ca="1" si="176"/>
        <v>#DIV/0!</v>
      </c>
      <c r="BT139" s="75">
        <f t="shared" ca="1" si="211"/>
        <v>0</v>
      </c>
      <c r="BU139" s="100">
        <f t="shared" ca="1" si="212"/>
        <v>0</v>
      </c>
      <c r="BV139" s="99">
        <f t="shared" ca="1" si="213"/>
        <v>0</v>
      </c>
      <c r="BW139" s="99">
        <f t="shared" ca="1" si="214"/>
        <v>0</v>
      </c>
      <c r="BX139" s="99">
        <f t="shared" ca="1" si="215"/>
        <v>0</v>
      </c>
      <c r="BY139" s="101">
        <f t="shared" ca="1" si="177"/>
        <v>0</v>
      </c>
      <c r="BZ139" s="101">
        <f t="shared" ca="1" si="178"/>
        <v>0</v>
      </c>
      <c r="CA139" s="101">
        <f t="shared" ca="1" si="179"/>
        <v>0</v>
      </c>
    </row>
    <row r="140" spans="1:79" x14ac:dyDescent="0.25">
      <c r="A140" s="94">
        <f t="shared" si="163"/>
        <v>40603</v>
      </c>
      <c r="B140" s="95">
        <f t="shared" ca="1" si="142"/>
        <v>3.5999999999999988</v>
      </c>
      <c r="C140" s="77">
        <f t="shared" ca="1" si="143"/>
        <v>5.492555506610846E-2</v>
      </c>
      <c r="D140" s="95">
        <f t="shared" ca="1" si="100"/>
        <v>0</v>
      </c>
      <c r="E140" s="97">
        <f t="shared" ca="1" si="180"/>
        <v>3334</v>
      </c>
      <c r="F140" s="77" t="e">
        <f t="shared" ca="1" si="181"/>
        <v>#DIV/0!</v>
      </c>
      <c r="G140" s="77" t="e">
        <f ca="1">IF(B$16=1,_xll.xCalcSkew(A140,H140-AL140,b)/100,0)</f>
        <v>#DIV/0!</v>
      </c>
      <c r="H140" s="96">
        <f t="shared" ca="1" si="182"/>
        <v>2.44</v>
      </c>
      <c r="J140" s="95">
        <f t="shared" ca="1" si="104"/>
        <v>0</v>
      </c>
      <c r="K140" s="97">
        <f t="shared" ca="1" si="183"/>
        <v>3334</v>
      </c>
      <c r="L140" s="172" t="e">
        <f t="shared" ca="1" si="184"/>
        <v>#DIV/0!</v>
      </c>
      <c r="M140" s="77" t="e">
        <f ca="1">IF(D$16=1,_xll.xCalcSkew($A140,N140-AW140,b)/100,0)</f>
        <v>#DIV/0!</v>
      </c>
      <c r="N140" s="96">
        <f t="shared" ca="1" si="185"/>
        <v>2.44</v>
      </c>
      <c r="P140" s="95">
        <f t="shared" ca="1" si="108"/>
        <v>0</v>
      </c>
      <c r="Q140" s="97">
        <f t="shared" ca="1" si="186"/>
        <v>3334</v>
      </c>
      <c r="R140" s="172" t="e">
        <f t="shared" ca="1" si="187"/>
        <v>#DIV/0!</v>
      </c>
      <c r="S140" s="77" t="e">
        <f ca="1">IF(F$16=1,_xll.xCalcSkew($A140,T140-BH140,b)/100,0)</f>
        <v>#DIV/0!</v>
      </c>
      <c r="T140" s="96">
        <f t="shared" ca="1" si="188"/>
        <v>2.44</v>
      </c>
      <c r="V140" s="95">
        <f t="shared" ca="1" si="112"/>
        <v>0</v>
      </c>
      <c r="W140" s="97">
        <f t="shared" ca="1" si="189"/>
        <v>3334</v>
      </c>
      <c r="X140" s="77" t="e">
        <f t="shared" ca="1" si="190"/>
        <v>#DIV/0!</v>
      </c>
      <c r="Y140" s="77" t="e">
        <f ca="1">IF(H$16=1,_xll.xCalcSkew($A140,Z140-BS140,b)/100,0)</f>
        <v>#DIV/0!</v>
      </c>
      <c r="Z140" s="96">
        <f t="shared" ca="1" si="191"/>
        <v>2.44</v>
      </c>
      <c r="AC140" s="97">
        <f t="shared" ca="1" si="144"/>
        <v>3335</v>
      </c>
      <c r="AD140" s="97">
        <f t="shared" ca="1" si="145"/>
        <v>3334</v>
      </c>
      <c r="AE140" s="77">
        <f t="shared" ca="1" si="146"/>
        <v>5.8170005223888897E-2</v>
      </c>
      <c r="AF140" s="152">
        <f t="shared" si="116"/>
        <v>31</v>
      </c>
      <c r="AI140" s="97"/>
      <c r="AJ140" s="78"/>
      <c r="AK140" s="78">
        <f t="shared" ca="1" si="192"/>
        <v>0</v>
      </c>
      <c r="AL140" s="288" t="e">
        <f t="shared" ca="1" si="164"/>
        <v>#DIV/0!</v>
      </c>
      <c r="AM140" s="75">
        <f t="shared" ca="1" si="193"/>
        <v>0</v>
      </c>
      <c r="AN140" s="100">
        <f t="shared" ca="1" si="194"/>
        <v>0</v>
      </c>
      <c r="AO140" s="99">
        <f t="shared" ca="1" si="195"/>
        <v>0</v>
      </c>
      <c r="AP140" s="99">
        <f t="shared" ca="1" si="196"/>
        <v>0</v>
      </c>
      <c r="AQ140" s="99">
        <f t="shared" ca="1" si="197"/>
        <v>0</v>
      </c>
      <c r="AR140" s="101">
        <f t="shared" ca="1" si="165"/>
        <v>0</v>
      </c>
      <c r="AS140" s="101">
        <f t="shared" ca="1" si="166"/>
        <v>0</v>
      </c>
      <c r="AT140" s="101">
        <f t="shared" ca="1" si="167"/>
        <v>0</v>
      </c>
      <c r="AV140" s="78">
        <f t="shared" ca="1" si="198"/>
        <v>0</v>
      </c>
      <c r="AW140" s="288" t="e">
        <f t="shared" ca="1" si="168"/>
        <v>#DIV/0!</v>
      </c>
      <c r="AX140" s="75">
        <f t="shared" ca="1" si="199"/>
        <v>0</v>
      </c>
      <c r="AY140" s="100">
        <f t="shared" ca="1" si="200"/>
        <v>0</v>
      </c>
      <c r="AZ140" s="99">
        <f t="shared" ca="1" si="201"/>
        <v>0</v>
      </c>
      <c r="BA140" s="99">
        <f t="shared" ca="1" si="202"/>
        <v>0</v>
      </c>
      <c r="BB140" s="99">
        <f t="shared" ca="1" si="203"/>
        <v>0</v>
      </c>
      <c r="BC140" s="101">
        <f t="shared" ca="1" si="169"/>
        <v>0</v>
      </c>
      <c r="BD140" s="101">
        <f t="shared" ca="1" si="170"/>
        <v>0</v>
      </c>
      <c r="BE140" s="101">
        <f t="shared" ca="1" si="171"/>
        <v>0</v>
      </c>
      <c r="BG140" s="78">
        <f t="shared" ca="1" si="204"/>
        <v>0</v>
      </c>
      <c r="BH140" s="288" t="e">
        <f t="shared" ca="1" si="172"/>
        <v>#DIV/0!</v>
      </c>
      <c r="BI140" s="75">
        <f t="shared" ca="1" si="205"/>
        <v>0</v>
      </c>
      <c r="BJ140" s="100">
        <f t="shared" ca="1" si="206"/>
        <v>0</v>
      </c>
      <c r="BK140" s="99">
        <f t="shared" ca="1" si="207"/>
        <v>0</v>
      </c>
      <c r="BL140" s="99">
        <f t="shared" ca="1" si="208"/>
        <v>0</v>
      </c>
      <c r="BM140" s="99">
        <f t="shared" ca="1" si="209"/>
        <v>0</v>
      </c>
      <c r="BN140" s="101">
        <f t="shared" ca="1" si="173"/>
        <v>0</v>
      </c>
      <c r="BO140" s="101">
        <f t="shared" ca="1" si="174"/>
        <v>0</v>
      </c>
      <c r="BP140" s="101">
        <f t="shared" ca="1" si="175"/>
        <v>0</v>
      </c>
      <c r="BR140" s="78">
        <f t="shared" ca="1" si="210"/>
        <v>0</v>
      </c>
      <c r="BS140" s="288" t="e">
        <f t="shared" ca="1" si="176"/>
        <v>#DIV/0!</v>
      </c>
      <c r="BT140" s="75">
        <f t="shared" ca="1" si="211"/>
        <v>0</v>
      </c>
      <c r="BU140" s="100">
        <f t="shared" ca="1" si="212"/>
        <v>0</v>
      </c>
      <c r="BV140" s="99">
        <f t="shared" ca="1" si="213"/>
        <v>0</v>
      </c>
      <c r="BW140" s="99">
        <f t="shared" ca="1" si="214"/>
        <v>0</v>
      </c>
      <c r="BX140" s="99">
        <f t="shared" ca="1" si="215"/>
        <v>0</v>
      </c>
      <c r="BY140" s="101">
        <f t="shared" ca="1" si="177"/>
        <v>0</v>
      </c>
      <c r="BZ140" s="101">
        <f t="shared" ca="1" si="178"/>
        <v>0</v>
      </c>
      <c r="CA140" s="101">
        <f t="shared" ca="1" si="179"/>
        <v>0</v>
      </c>
    </row>
    <row r="141" spans="1:79" x14ac:dyDescent="0.25">
      <c r="A141" s="94">
        <f t="shared" si="163"/>
        <v>40634</v>
      </c>
      <c r="B141" s="95">
        <f t="shared" ca="1" si="142"/>
        <v>3.3809999999999989</v>
      </c>
      <c r="C141" s="77">
        <f t="shared" ca="1" si="143"/>
        <v>5.856461032504643E-2</v>
      </c>
      <c r="D141" s="95">
        <f t="shared" ca="1" si="100"/>
        <v>0</v>
      </c>
      <c r="E141" s="97">
        <f t="shared" ca="1" si="180"/>
        <v>3367</v>
      </c>
      <c r="F141" s="77" t="e">
        <f t="shared" ca="1" si="181"/>
        <v>#DIV/0!</v>
      </c>
      <c r="G141" s="77" t="e">
        <f ca="1">IF(B$16=1,_xll.xCalcSkew(A141,H141-AL141,b)/100,0)</f>
        <v>#DIV/0!</v>
      </c>
      <c r="H141" s="96">
        <f t="shared" ca="1" si="182"/>
        <v>2.44</v>
      </c>
      <c r="J141" s="95">
        <f t="shared" ca="1" si="104"/>
        <v>0</v>
      </c>
      <c r="K141" s="97">
        <f t="shared" ca="1" si="183"/>
        <v>3367</v>
      </c>
      <c r="L141" s="172" t="e">
        <f t="shared" ca="1" si="184"/>
        <v>#DIV/0!</v>
      </c>
      <c r="M141" s="77" t="e">
        <f ca="1">IF(D$16=1,_xll.xCalcSkew($A141,N141-AW141,b)/100,0)</f>
        <v>#DIV/0!</v>
      </c>
      <c r="N141" s="96">
        <f t="shared" ca="1" si="185"/>
        <v>2.44</v>
      </c>
      <c r="P141" s="95">
        <f t="shared" ca="1" si="108"/>
        <v>0</v>
      </c>
      <c r="Q141" s="97">
        <f t="shared" ca="1" si="186"/>
        <v>3367</v>
      </c>
      <c r="R141" s="172" t="e">
        <f t="shared" ca="1" si="187"/>
        <v>#DIV/0!</v>
      </c>
      <c r="S141" s="77" t="e">
        <f ca="1">IF(F$16=1,_xll.xCalcSkew($A141,T141-BH141,b)/100,0)</f>
        <v>#DIV/0!</v>
      </c>
      <c r="T141" s="96">
        <f t="shared" ca="1" si="188"/>
        <v>2.44</v>
      </c>
      <c r="V141" s="95">
        <f t="shared" ca="1" si="112"/>
        <v>0</v>
      </c>
      <c r="W141" s="97">
        <f t="shared" ca="1" si="189"/>
        <v>3367</v>
      </c>
      <c r="X141" s="77" t="e">
        <f t="shared" ca="1" si="190"/>
        <v>#DIV/0!</v>
      </c>
      <c r="Y141" s="77" t="e">
        <f ca="1">IF(H$16=1,_xll.xCalcSkew($A141,Z141-BS141,b)/100,0)</f>
        <v>#DIV/0!</v>
      </c>
      <c r="Z141" s="96">
        <f t="shared" ca="1" si="191"/>
        <v>2.44</v>
      </c>
      <c r="AC141" s="97">
        <f t="shared" ca="1" si="144"/>
        <v>3368</v>
      </c>
      <c r="AD141" s="97">
        <f t="shared" ca="1" si="145"/>
        <v>3367</v>
      </c>
      <c r="AE141" s="77">
        <f t="shared" ca="1" si="146"/>
        <v>5.8263487713752699E-2</v>
      </c>
      <c r="AF141" s="152">
        <f t="shared" si="116"/>
        <v>30</v>
      </c>
      <c r="AI141" s="97"/>
      <c r="AJ141" s="78"/>
      <c r="AK141" s="78">
        <f t="shared" ca="1" si="192"/>
        <v>0</v>
      </c>
      <c r="AL141" s="288" t="e">
        <f t="shared" ca="1" si="164"/>
        <v>#DIV/0!</v>
      </c>
      <c r="AM141" s="75">
        <f t="shared" ca="1" si="193"/>
        <v>0</v>
      </c>
      <c r="AN141" s="100">
        <f t="shared" ca="1" si="194"/>
        <v>0</v>
      </c>
      <c r="AO141" s="99">
        <f t="shared" ca="1" si="195"/>
        <v>0</v>
      </c>
      <c r="AP141" s="99">
        <f t="shared" ca="1" si="196"/>
        <v>0</v>
      </c>
      <c r="AQ141" s="99">
        <f t="shared" ca="1" si="197"/>
        <v>0</v>
      </c>
      <c r="AR141" s="101">
        <f t="shared" ca="1" si="165"/>
        <v>0</v>
      </c>
      <c r="AS141" s="101">
        <f t="shared" ca="1" si="166"/>
        <v>0</v>
      </c>
      <c r="AT141" s="101">
        <f t="shared" ca="1" si="167"/>
        <v>0</v>
      </c>
      <c r="AV141" s="78">
        <f t="shared" ca="1" si="198"/>
        <v>0</v>
      </c>
      <c r="AW141" s="288" t="e">
        <f t="shared" ca="1" si="168"/>
        <v>#DIV/0!</v>
      </c>
      <c r="AX141" s="75">
        <f t="shared" ca="1" si="199"/>
        <v>0</v>
      </c>
      <c r="AY141" s="100">
        <f t="shared" ca="1" si="200"/>
        <v>0</v>
      </c>
      <c r="AZ141" s="99">
        <f t="shared" ca="1" si="201"/>
        <v>0</v>
      </c>
      <c r="BA141" s="99">
        <f t="shared" ca="1" si="202"/>
        <v>0</v>
      </c>
      <c r="BB141" s="99">
        <f t="shared" ca="1" si="203"/>
        <v>0</v>
      </c>
      <c r="BC141" s="101">
        <f t="shared" ca="1" si="169"/>
        <v>0</v>
      </c>
      <c r="BD141" s="101">
        <f t="shared" ca="1" si="170"/>
        <v>0</v>
      </c>
      <c r="BE141" s="101">
        <f t="shared" ca="1" si="171"/>
        <v>0</v>
      </c>
      <c r="BG141" s="78">
        <f t="shared" ca="1" si="204"/>
        <v>0</v>
      </c>
      <c r="BH141" s="288" t="e">
        <f t="shared" ca="1" si="172"/>
        <v>#DIV/0!</v>
      </c>
      <c r="BI141" s="75">
        <f t="shared" ca="1" si="205"/>
        <v>0</v>
      </c>
      <c r="BJ141" s="100">
        <f t="shared" ca="1" si="206"/>
        <v>0</v>
      </c>
      <c r="BK141" s="99">
        <f t="shared" ca="1" si="207"/>
        <v>0</v>
      </c>
      <c r="BL141" s="99">
        <f t="shared" ca="1" si="208"/>
        <v>0</v>
      </c>
      <c r="BM141" s="99">
        <f t="shared" ca="1" si="209"/>
        <v>0</v>
      </c>
      <c r="BN141" s="101">
        <f t="shared" ca="1" si="173"/>
        <v>0</v>
      </c>
      <c r="BO141" s="101">
        <f t="shared" ca="1" si="174"/>
        <v>0</v>
      </c>
      <c r="BP141" s="101">
        <f t="shared" ca="1" si="175"/>
        <v>0</v>
      </c>
      <c r="BR141" s="78">
        <f t="shared" ca="1" si="210"/>
        <v>0</v>
      </c>
      <c r="BS141" s="288" t="e">
        <f t="shared" ca="1" si="176"/>
        <v>#DIV/0!</v>
      </c>
      <c r="BT141" s="75">
        <f t="shared" ca="1" si="211"/>
        <v>0</v>
      </c>
      <c r="BU141" s="100">
        <f t="shared" ca="1" si="212"/>
        <v>0</v>
      </c>
      <c r="BV141" s="99">
        <f t="shared" ca="1" si="213"/>
        <v>0</v>
      </c>
      <c r="BW141" s="99">
        <f t="shared" ca="1" si="214"/>
        <v>0</v>
      </c>
      <c r="BX141" s="99">
        <f t="shared" ca="1" si="215"/>
        <v>0</v>
      </c>
      <c r="BY141" s="101">
        <f t="shared" ca="1" si="177"/>
        <v>0</v>
      </c>
      <c r="BZ141" s="101">
        <f t="shared" ca="1" si="178"/>
        <v>0</v>
      </c>
      <c r="CA141" s="101">
        <f t="shared" ca="1" si="179"/>
        <v>0</v>
      </c>
    </row>
    <row r="142" spans="1:79" x14ac:dyDescent="0.25">
      <c r="A142" s="94">
        <f t="shared" si="163"/>
        <v>40664</v>
      </c>
      <c r="B142" s="95">
        <f t="shared" ca="1" si="142"/>
        <v>3.3839999999999986</v>
      </c>
      <c r="C142" s="77">
        <f t="shared" ca="1" si="143"/>
        <v>5.8589653522289557E-2</v>
      </c>
      <c r="D142" s="95">
        <f t="shared" ca="1" si="100"/>
        <v>0</v>
      </c>
      <c r="E142" s="97">
        <f t="shared" ca="1" si="180"/>
        <v>3396</v>
      </c>
      <c r="F142" s="77" t="e">
        <f t="shared" ca="1" si="181"/>
        <v>#DIV/0!</v>
      </c>
      <c r="G142" s="77" t="e">
        <f ca="1">IF(B$16=1,_xll.xCalcSkew(A142,H142-AL142,b)/100,0)</f>
        <v>#DIV/0!</v>
      </c>
      <c r="H142" s="96">
        <f t="shared" ca="1" si="182"/>
        <v>2.44</v>
      </c>
      <c r="J142" s="95">
        <f t="shared" ca="1" si="104"/>
        <v>0</v>
      </c>
      <c r="K142" s="97">
        <f t="shared" ca="1" si="183"/>
        <v>3396</v>
      </c>
      <c r="L142" s="172" t="e">
        <f t="shared" ca="1" si="184"/>
        <v>#DIV/0!</v>
      </c>
      <c r="M142" s="77" t="e">
        <f ca="1">IF(D$16=1,_xll.xCalcSkew($A142,N142-AW142,b)/100,0)</f>
        <v>#DIV/0!</v>
      </c>
      <c r="N142" s="96">
        <f t="shared" ca="1" si="185"/>
        <v>2.44</v>
      </c>
      <c r="P142" s="95">
        <f t="shared" ca="1" si="108"/>
        <v>0</v>
      </c>
      <c r="Q142" s="97">
        <f t="shared" ca="1" si="186"/>
        <v>3396</v>
      </c>
      <c r="R142" s="172" t="e">
        <f t="shared" ca="1" si="187"/>
        <v>#DIV/0!</v>
      </c>
      <c r="S142" s="77" t="e">
        <f ca="1">IF(F$16=1,_xll.xCalcSkew($A142,T142-BH142,b)/100,0)</f>
        <v>#DIV/0!</v>
      </c>
      <c r="T142" s="96">
        <f t="shared" ca="1" si="188"/>
        <v>2.44</v>
      </c>
      <c r="V142" s="95">
        <f t="shared" ca="1" si="112"/>
        <v>0</v>
      </c>
      <c r="W142" s="97">
        <f t="shared" ca="1" si="189"/>
        <v>3396</v>
      </c>
      <c r="X142" s="77" t="e">
        <f t="shared" ca="1" si="190"/>
        <v>#DIV/0!</v>
      </c>
      <c r="Y142" s="77" t="e">
        <f ca="1">IF(H$16=1,_xll.xCalcSkew($A142,Z142-BS142,b)/100,0)</f>
        <v>#DIV/0!</v>
      </c>
      <c r="Z142" s="96">
        <f t="shared" ca="1" si="191"/>
        <v>2.44</v>
      </c>
      <c r="AC142" s="97">
        <f t="shared" ca="1" si="144"/>
        <v>3397</v>
      </c>
      <c r="AD142" s="97">
        <f t="shared" ca="1" si="145"/>
        <v>3396</v>
      </c>
      <c r="AE142" s="77">
        <f t="shared" ca="1" si="146"/>
        <v>5.8366986188063602E-2</v>
      </c>
      <c r="AF142" s="152">
        <f t="shared" si="116"/>
        <v>31</v>
      </c>
      <c r="AI142" s="97"/>
      <c r="AJ142" s="78"/>
      <c r="AK142" s="78">
        <f t="shared" ca="1" si="192"/>
        <v>0</v>
      </c>
      <c r="AL142" s="288" t="e">
        <f t="shared" ca="1" si="164"/>
        <v>#DIV/0!</v>
      </c>
      <c r="AM142" s="75">
        <f t="shared" ca="1" si="193"/>
        <v>0</v>
      </c>
      <c r="AN142" s="100">
        <f t="shared" ca="1" si="194"/>
        <v>0</v>
      </c>
      <c r="AO142" s="99">
        <f t="shared" ca="1" si="195"/>
        <v>0</v>
      </c>
      <c r="AP142" s="99">
        <f t="shared" ca="1" si="196"/>
        <v>0</v>
      </c>
      <c r="AQ142" s="99">
        <f t="shared" ca="1" si="197"/>
        <v>0</v>
      </c>
      <c r="AR142" s="101">
        <f t="shared" ca="1" si="165"/>
        <v>0</v>
      </c>
      <c r="AS142" s="101">
        <f t="shared" ca="1" si="166"/>
        <v>0</v>
      </c>
      <c r="AT142" s="101">
        <f t="shared" ca="1" si="167"/>
        <v>0</v>
      </c>
      <c r="AV142" s="78">
        <f t="shared" ca="1" si="198"/>
        <v>0</v>
      </c>
      <c r="AW142" s="288" t="e">
        <f t="shared" ca="1" si="168"/>
        <v>#DIV/0!</v>
      </c>
      <c r="AX142" s="75">
        <f t="shared" ca="1" si="199"/>
        <v>0</v>
      </c>
      <c r="AY142" s="100">
        <f t="shared" ca="1" si="200"/>
        <v>0</v>
      </c>
      <c r="AZ142" s="99">
        <f t="shared" ca="1" si="201"/>
        <v>0</v>
      </c>
      <c r="BA142" s="99">
        <f t="shared" ca="1" si="202"/>
        <v>0</v>
      </c>
      <c r="BB142" s="99">
        <f t="shared" ca="1" si="203"/>
        <v>0</v>
      </c>
      <c r="BC142" s="101">
        <f t="shared" ca="1" si="169"/>
        <v>0</v>
      </c>
      <c r="BD142" s="101">
        <f t="shared" ca="1" si="170"/>
        <v>0</v>
      </c>
      <c r="BE142" s="101">
        <f t="shared" ca="1" si="171"/>
        <v>0</v>
      </c>
      <c r="BG142" s="78">
        <f t="shared" ca="1" si="204"/>
        <v>0</v>
      </c>
      <c r="BH142" s="288" t="e">
        <f t="shared" ca="1" si="172"/>
        <v>#DIV/0!</v>
      </c>
      <c r="BI142" s="75">
        <f t="shared" ca="1" si="205"/>
        <v>0</v>
      </c>
      <c r="BJ142" s="100">
        <f t="shared" ca="1" si="206"/>
        <v>0</v>
      </c>
      <c r="BK142" s="99">
        <f t="shared" ca="1" si="207"/>
        <v>0</v>
      </c>
      <c r="BL142" s="99">
        <f t="shared" ca="1" si="208"/>
        <v>0</v>
      </c>
      <c r="BM142" s="99">
        <f t="shared" ca="1" si="209"/>
        <v>0</v>
      </c>
      <c r="BN142" s="101">
        <f t="shared" ca="1" si="173"/>
        <v>0</v>
      </c>
      <c r="BO142" s="101">
        <f t="shared" ca="1" si="174"/>
        <v>0</v>
      </c>
      <c r="BP142" s="101">
        <f t="shared" ca="1" si="175"/>
        <v>0</v>
      </c>
      <c r="BR142" s="78">
        <f t="shared" ca="1" si="210"/>
        <v>0</v>
      </c>
      <c r="BS142" s="288" t="e">
        <f t="shared" ca="1" si="176"/>
        <v>#DIV/0!</v>
      </c>
      <c r="BT142" s="75">
        <f t="shared" ca="1" si="211"/>
        <v>0</v>
      </c>
      <c r="BU142" s="100">
        <f t="shared" ca="1" si="212"/>
        <v>0</v>
      </c>
      <c r="BV142" s="99">
        <f t="shared" ca="1" si="213"/>
        <v>0</v>
      </c>
      <c r="BW142" s="99">
        <f t="shared" ca="1" si="214"/>
        <v>0</v>
      </c>
      <c r="BX142" s="99">
        <f t="shared" ca="1" si="215"/>
        <v>0</v>
      </c>
      <c r="BY142" s="101">
        <f t="shared" ca="1" si="177"/>
        <v>0</v>
      </c>
      <c r="BZ142" s="101">
        <f t="shared" ca="1" si="178"/>
        <v>0</v>
      </c>
      <c r="CA142" s="101">
        <f t="shared" ca="1" si="179"/>
        <v>0</v>
      </c>
    </row>
    <row r="143" spans="1:79" x14ac:dyDescent="0.25">
      <c r="A143" s="94">
        <f t="shared" si="163"/>
        <v>40695</v>
      </c>
      <c r="B143" s="95">
        <f t="shared" ca="1" si="142"/>
        <v>3.4239999999999986</v>
      </c>
      <c r="C143" s="77">
        <f t="shared" ca="1" si="143"/>
        <v>5.7980844040617499E-2</v>
      </c>
      <c r="D143" s="95">
        <f t="shared" ca="1" si="100"/>
        <v>0</v>
      </c>
      <c r="E143" s="97">
        <f t="shared" ca="1" si="180"/>
        <v>3425</v>
      </c>
      <c r="F143" s="77" t="e">
        <f t="shared" ca="1" si="181"/>
        <v>#DIV/0!</v>
      </c>
      <c r="G143" s="77" t="e">
        <f ca="1">IF(B$16=1,_xll.xCalcSkew(A143,H143-AL143,b)/100,0)</f>
        <v>#DIV/0!</v>
      </c>
      <c r="H143" s="96">
        <f t="shared" ca="1" si="182"/>
        <v>2.44</v>
      </c>
      <c r="J143" s="95">
        <f t="shared" ca="1" si="104"/>
        <v>0</v>
      </c>
      <c r="K143" s="97">
        <f t="shared" ca="1" si="183"/>
        <v>3425</v>
      </c>
      <c r="L143" s="172" t="e">
        <f t="shared" ca="1" si="184"/>
        <v>#DIV/0!</v>
      </c>
      <c r="M143" s="77" t="e">
        <f ca="1">IF(D$16=1,_xll.xCalcSkew($A143,N143-AW143,b)/100,0)</f>
        <v>#DIV/0!</v>
      </c>
      <c r="N143" s="96">
        <f t="shared" ca="1" si="185"/>
        <v>2.44</v>
      </c>
      <c r="P143" s="95">
        <f t="shared" ca="1" si="108"/>
        <v>0</v>
      </c>
      <c r="Q143" s="97">
        <f t="shared" ca="1" si="186"/>
        <v>3425</v>
      </c>
      <c r="R143" s="172" t="e">
        <f t="shared" ca="1" si="187"/>
        <v>#DIV/0!</v>
      </c>
      <c r="S143" s="77" t="e">
        <f ca="1">IF(F$16=1,_xll.xCalcSkew($A143,T143-BH143,b)/100,0)</f>
        <v>#DIV/0!</v>
      </c>
      <c r="T143" s="96">
        <f t="shared" ca="1" si="188"/>
        <v>2.44</v>
      </c>
      <c r="V143" s="95">
        <f t="shared" ca="1" si="112"/>
        <v>0</v>
      </c>
      <c r="W143" s="97">
        <f t="shared" ca="1" si="189"/>
        <v>3425</v>
      </c>
      <c r="X143" s="77" t="e">
        <f t="shared" ca="1" si="190"/>
        <v>#DIV/0!</v>
      </c>
      <c r="Y143" s="77" t="e">
        <f ca="1">IF(H$16=1,_xll.xCalcSkew($A143,Z143-BS143,b)/100,0)</f>
        <v>#DIV/0!</v>
      </c>
      <c r="Z143" s="96">
        <f t="shared" ca="1" si="191"/>
        <v>2.44</v>
      </c>
      <c r="AC143" s="97">
        <f t="shared" ca="1" si="144"/>
        <v>3426</v>
      </c>
      <c r="AD143" s="97">
        <f t="shared" ca="1" si="145"/>
        <v>3425</v>
      </c>
      <c r="AE143" s="77">
        <f t="shared" ca="1" si="146"/>
        <v>5.84671460053037E-2</v>
      </c>
      <c r="AF143" s="152">
        <f t="shared" si="116"/>
        <v>30</v>
      </c>
      <c r="AI143" s="97"/>
      <c r="AJ143" s="78"/>
      <c r="AK143" s="78">
        <f t="shared" ca="1" si="192"/>
        <v>0</v>
      </c>
      <c r="AL143" s="288" t="e">
        <f t="shared" ca="1" si="164"/>
        <v>#DIV/0!</v>
      </c>
      <c r="AM143" s="75">
        <f t="shared" ca="1" si="193"/>
        <v>0</v>
      </c>
      <c r="AN143" s="100">
        <f t="shared" ca="1" si="194"/>
        <v>0</v>
      </c>
      <c r="AO143" s="99">
        <f t="shared" ca="1" si="195"/>
        <v>0</v>
      </c>
      <c r="AP143" s="99">
        <f t="shared" ca="1" si="196"/>
        <v>0</v>
      </c>
      <c r="AQ143" s="99">
        <f t="shared" ca="1" si="197"/>
        <v>0</v>
      </c>
      <c r="AR143" s="101">
        <f t="shared" ca="1" si="165"/>
        <v>0</v>
      </c>
      <c r="AS143" s="101">
        <f t="shared" ca="1" si="166"/>
        <v>0</v>
      </c>
      <c r="AT143" s="101">
        <f t="shared" ca="1" si="167"/>
        <v>0</v>
      </c>
      <c r="AV143" s="78">
        <f t="shared" ca="1" si="198"/>
        <v>0</v>
      </c>
      <c r="AW143" s="288" t="e">
        <f t="shared" ca="1" si="168"/>
        <v>#DIV/0!</v>
      </c>
      <c r="AX143" s="75">
        <f t="shared" ca="1" si="199"/>
        <v>0</v>
      </c>
      <c r="AY143" s="100">
        <f t="shared" ca="1" si="200"/>
        <v>0</v>
      </c>
      <c r="AZ143" s="99">
        <f t="shared" ca="1" si="201"/>
        <v>0</v>
      </c>
      <c r="BA143" s="99">
        <f t="shared" ca="1" si="202"/>
        <v>0</v>
      </c>
      <c r="BB143" s="99">
        <f t="shared" ca="1" si="203"/>
        <v>0</v>
      </c>
      <c r="BC143" s="101">
        <f t="shared" ca="1" si="169"/>
        <v>0</v>
      </c>
      <c r="BD143" s="101">
        <f t="shared" ca="1" si="170"/>
        <v>0</v>
      </c>
      <c r="BE143" s="101">
        <f t="shared" ca="1" si="171"/>
        <v>0</v>
      </c>
      <c r="BG143" s="78">
        <f t="shared" ca="1" si="204"/>
        <v>0</v>
      </c>
      <c r="BH143" s="288" t="e">
        <f t="shared" ca="1" si="172"/>
        <v>#DIV/0!</v>
      </c>
      <c r="BI143" s="75">
        <f t="shared" ca="1" si="205"/>
        <v>0</v>
      </c>
      <c r="BJ143" s="100">
        <f t="shared" ca="1" si="206"/>
        <v>0</v>
      </c>
      <c r="BK143" s="99">
        <f t="shared" ca="1" si="207"/>
        <v>0</v>
      </c>
      <c r="BL143" s="99">
        <f t="shared" ca="1" si="208"/>
        <v>0</v>
      </c>
      <c r="BM143" s="99">
        <f t="shared" ca="1" si="209"/>
        <v>0</v>
      </c>
      <c r="BN143" s="101">
        <f t="shared" ca="1" si="173"/>
        <v>0</v>
      </c>
      <c r="BO143" s="101">
        <f t="shared" ca="1" si="174"/>
        <v>0</v>
      </c>
      <c r="BP143" s="101">
        <f t="shared" ca="1" si="175"/>
        <v>0</v>
      </c>
      <c r="BR143" s="78">
        <f t="shared" ca="1" si="210"/>
        <v>0</v>
      </c>
      <c r="BS143" s="288" t="e">
        <f t="shared" ca="1" si="176"/>
        <v>#DIV/0!</v>
      </c>
      <c r="BT143" s="75">
        <f t="shared" ca="1" si="211"/>
        <v>0</v>
      </c>
      <c r="BU143" s="100">
        <f t="shared" ca="1" si="212"/>
        <v>0</v>
      </c>
      <c r="BV143" s="99">
        <f t="shared" ca="1" si="213"/>
        <v>0</v>
      </c>
      <c r="BW143" s="99">
        <f t="shared" ca="1" si="214"/>
        <v>0</v>
      </c>
      <c r="BX143" s="99">
        <f t="shared" ca="1" si="215"/>
        <v>0</v>
      </c>
      <c r="BY143" s="101">
        <f t="shared" ca="1" si="177"/>
        <v>0</v>
      </c>
      <c r="BZ143" s="101">
        <f t="shared" ca="1" si="178"/>
        <v>0</v>
      </c>
      <c r="CA143" s="101">
        <f t="shared" ca="1" si="179"/>
        <v>0</v>
      </c>
    </row>
    <row r="144" spans="1:79" x14ac:dyDescent="0.25">
      <c r="A144" s="94">
        <f t="shared" si="163"/>
        <v>40725</v>
      </c>
      <c r="B144" s="95">
        <f t="shared" ca="1" si="142"/>
        <v>3.4639999999999986</v>
      </c>
      <c r="C144" s="77">
        <f t="shared" ca="1" si="143"/>
        <v>5.7394714021897927E-2</v>
      </c>
      <c r="D144" s="95">
        <f t="shared" ca="1" si="100"/>
        <v>0</v>
      </c>
      <c r="E144" s="97">
        <f t="shared" ca="1" si="180"/>
        <v>3458</v>
      </c>
      <c r="F144" s="77" t="e">
        <f t="shared" ca="1" si="181"/>
        <v>#DIV/0!</v>
      </c>
      <c r="G144" s="77" t="e">
        <f ca="1">IF(B$16=1,_xll.xCalcSkew(A144,H144-AL144,b)/100,0)</f>
        <v>#DIV/0!</v>
      </c>
      <c r="H144" s="96">
        <f t="shared" ca="1" si="182"/>
        <v>2.44</v>
      </c>
      <c r="J144" s="95">
        <f t="shared" ca="1" si="104"/>
        <v>0</v>
      </c>
      <c r="K144" s="97">
        <f t="shared" ca="1" si="183"/>
        <v>3458</v>
      </c>
      <c r="L144" s="172" t="e">
        <f t="shared" ca="1" si="184"/>
        <v>#DIV/0!</v>
      </c>
      <c r="M144" s="77" t="e">
        <f ca="1">IF(D$16=1,_xll.xCalcSkew($A144,N144-AW144,b)/100,0)</f>
        <v>#DIV/0!</v>
      </c>
      <c r="N144" s="96">
        <f t="shared" ca="1" si="185"/>
        <v>2.44</v>
      </c>
      <c r="P144" s="95">
        <f t="shared" ca="1" si="108"/>
        <v>0</v>
      </c>
      <c r="Q144" s="97">
        <f t="shared" ca="1" si="186"/>
        <v>3458</v>
      </c>
      <c r="R144" s="172" t="e">
        <f t="shared" ca="1" si="187"/>
        <v>#DIV/0!</v>
      </c>
      <c r="S144" s="77" t="e">
        <f ca="1">IF(F$16=1,_xll.xCalcSkew($A144,T144-BH144,b)/100,0)</f>
        <v>#DIV/0!</v>
      </c>
      <c r="T144" s="96">
        <f t="shared" ca="1" si="188"/>
        <v>2.44</v>
      </c>
      <c r="V144" s="95">
        <f t="shared" ca="1" si="112"/>
        <v>0</v>
      </c>
      <c r="W144" s="97">
        <f t="shared" ca="1" si="189"/>
        <v>3458</v>
      </c>
      <c r="X144" s="77" t="e">
        <f t="shared" ca="1" si="190"/>
        <v>#DIV/0!</v>
      </c>
      <c r="Y144" s="77" t="e">
        <f ca="1">IF(H$16=1,_xll.xCalcSkew($A144,Z144-BS144,b)/100,0)</f>
        <v>#DIV/0!</v>
      </c>
      <c r="Z144" s="96">
        <f t="shared" ca="1" si="191"/>
        <v>2.44</v>
      </c>
      <c r="AC144" s="97">
        <f t="shared" ca="1" si="144"/>
        <v>3459</v>
      </c>
      <c r="AD144" s="97">
        <f t="shared" ca="1" si="145"/>
        <v>3458</v>
      </c>
      <c r="AE144" s="77">
        <f t="shared" ca="1" si="146"/>
        <v>5.8570644486623601E-2</v>
      </c>
      <c r="AF144" s="152">
        <f t="shared" si="116"/>
        <v>31</v>
      </c>
      <c r="AI144" s="97"/>
      <c r="AJ144" s="78"/>
      <c r="AK144" s="78">
        <f t="shared" ca="1" si="192"/>
        <v>0</v>
      </c>
      <c r="AL144" s="288" t="e">
        <f t="shared" ca="1" si="164"/>
        <v>#DIV/0!</v>
      </c>
      <c r="AM144" s="75">
        <f t="shared" ca="1" si="193"/>
        <v>0</v>
      </c>
      <c r="AN144" s="100">
        <f t="shared" ca="1" si="194"/>
        <v>0</v>
      </c>
      <c r="AO144" s="99">
        <f t="shared" ca="1" si="195"/>
        <v>0</v>
      </c>
      <c r="AP144" s="99">
        <f t="shared" ca="1" si="196"/>
        <v>0</v>
      </c>
      <c r="AQ144" s="99">
        <f t="shared" ca="1" si="197"/>
        <v>0</v>
      </c>
      <c r="AR144" s="101">
        <f t="shared" ca="1" si="165"/>
        <v>0</v>
      </c>
      <c r="AS144" s="101">
        <f t="shared" ca="1" si="166"/>
        <v>0</v>
      </c>
      <c r="AT144" s="101">
        <f t="shared" ca="1" si="167"/>
        <v>0</v>
      </c>
      <c r="AV144" s="78">
        <f t="shared" ca="1" si="198"/>
        <v>0</v>
      </c>
      <c r="AW144" s="288" t="e">
        <f t="shared" ca="1" si="168"/>
        <v>#DIV/0!</v>
      </c>
      <c r="AX144" s="75">
        <f t="shared" ca="1" si="199"/>
        <v>0</v>
      </c>
      <c r="AY144" s="100">
        <f t="shared" ca="1" si="200"/>
        <v>0</v>
      </c>
      <c r="AZ144" s="99">
        <f t="shared" ca="1" si="201"/>
        <v>0</v>
      </c>
      <c r="BA144" s="99">
        <f t="shared" ca="1" si="202"/>
        <v>0</v>
      </c>
      <c r="BB144" s="99">
        <f t="shared" ca="1" si="203"/>
        <v>0</v>
      </c>
      <c r="BC144" s="101">
        <f t="shared" ca="1" si="169"/>
        <v>0</v>
      </c>
      <c r="BD144" s="101">
        <f t="shared" ca="1" si="170"/>
        <v>0</v>
      </c>
      <c r="BE144" s="101">
        <f t="shared" ca="1" si="171"/>
        <v>0</v>
      </c>
      <c r="BG144" s="78">
        <f t="shared" ca="1" si="204"/>
        <v>0</v>
      </c>
      <c r="BH144" s="288" t="e">
        <f t="shared" ca="1" si="172"/>
        <v>#DIV/0!</v>
      </c>
      <c r="BI144" s="75">
        <f t="shared" ca="1" si="205"/>
        <v>0</v>
      </c>
      <c r="BJ144" s="100">
        <f t="shared" ca="1" si="206"/>
        <v>0</v>
      </c>
      <c r="BK144" s="99">
        <f t="shared" ca="1" si="207"/>
        <v>0</v>
      </c>
      <c r="BL144" s="99">
        <f t="shared" ca="1" si="208"/>
        <v>0</v>
      </c>
      <c r="BM144" s="99">
        <f t="shared" ca="1" si="209"/>
        <v>0</v>
      </c>
      <c r="BN144" s="101">
        <f t="shared" ca="1" si="173"/>
        <v>0</v>
      </c>
      <c r="BO144" s="101">
        <f t="shared" ca="1" si="174"/>
        <v>0</v>
      </c>
      <c r="BP144" s="101">
        <f t="shared" ca="1" si="175"/>
        <v>0</v>
      </c>
      <c r="BR144" s="78">
        <f t="shared" ca="1" si="210"/>
        <v>0</v>
      </c>
      <c r="BS144" s="288" t="e">
        <f t="shared" ca="1" si="176"/>
        <v>#DIV/0!</v>
      </c>
      <c r="BT144" s="75">
        <f t="shared" ca="1" si="211"/>
        <v>0</v>
      </c>
      <c r="BU144" s="100">
        <f t="shared" ca="1" si="212"/>
        <v>0</v>
      </c>
      <c r="BV144" s="99">
        <f t="shared" ca="1" si="213"/>
        <v>0</v>
      </c>
      <c r="BW144" s="99">
        <f t="shared" ca="1" si="214"/>
        <v>0</v>
      </c>
      <c r="BX144" s="99">
        <f t="shared" ca="1" si="215"/>
        <v>0</v>
      </c>
      <c r="BY144" s="101">
        <f t="shared" ca="1" si="177"/>
        <v>0</v>
      </c>
      <c r="BZ144" s="101">
        <f t="shared" ca="1" si="178"/>
        <v>0</v>
      </c>
      <c r="CA144" s="101">
        <f t="shared" ca="1" si="179"/>
        <v>0</v>
      </c>
    </row>
    <row r="145" spans="1:79" x14ac:dyDescent="0.25">
      <c r="A145" s="94">
        <f t="shared" si="163"/>
        <v>40756</v>
      </c>
      <c r="B145" s="95">
        <f t="shared" ca="1" si="142"/>
        <v>3.5139999999999989</v>
      </c>
      <c r="C145" s="77">
        <f t="shared" ca="1" si="143"/>
        <v>5.6657766350334531E-2</v>
      </c>
      <c r="D145" s="95">
        <f t="shared" ca="1" si="100"/>
        <v>0</v>
      </c>
      <c r="E145" s="97">
        <f t="shared" ca="1" si="180"/>
        <v>3487</v>
      </c>
      <c r="F145" s="77" t="e">
        <f t="shared" ca="1" si="181"/>
        <v>#DIV/0!</v>
      </c>
      <c r="G145" s="77" t="e">
        <f ca="1">IF(B$16=1,_xll.xCalcSkew(A145,H145-AL145,b)/100,0)</f>
        <v>#DIV/0!</v>
      </c>
      <c r="H145" s="96">
        <f t="shared" ca="1" si="182"/>
        <v>2.44</v>
      </c>
      <c r="J145" s="95">
        <f t="shared" ca="1" si="104"/>
        <v>0</v>
      </c>
      <c r="K145" s="97">
        <f t="shared" ca="1" si="183"/>
        <v>3487</v>
      </c>
      <c r="L145" s="172" t="e">
        <f t="shared" ca="1" si="184"/>
        <v>#DIV/0!</v>
      </c>
      <c r="M145" s="77" t="e">
        <f ca="1">IF(D$16=1,_xll.xCalcSkew($A145,N145-AW145,b)/100,0)</f>
        <v>#DIV/0!</v>
      </c>
      <c r="N145" s="96">
        <f t="shared" ca="1" si="185"/>
        <v>2.44</v>
      </c>
      <c r="P145" s="95">
        <f t="shared" ca="1" si="108"/>
        <v>0</v>
      </c>
      <c r="Q145" s="97">
        <f t="shared" ca="1" si="186"/>
        <v>3487</v>
      </c>
      <c r="R145" s="172" t="e">
        <f t="shared" ca="1" si="187"/>
        <v>#DIV/0!</v>
      </c>
      <c r="S145" s="77" t="e">
        <f ca="1">IF(F$16=1,_xll.xCalcSkew($A145,T145-BH145,b)/100,0)</f>
        <v>#DIV/0!</v>
      </c>
      <c r="T145" s="96">
        <f t="shared" ca="1" si="188"/>
        <v>2.44</v>
      </c>
      <c r="V145" s="95">
        <f t="shared" ca="1" si="112"/>
        <v>0</v>
      </c>
      <c r="W145" s="97">
        <f t="shared" ca="1" si="189"/>
        <v>3487</v>
      </c>
      <c r="X145" s="77" t="e">
        <f t="shared" ca="1" si="190"/>
        <v>#DIV/0!</v>
      </c>
      <c r="Y145" s="77" t="e">
        <f ca="1">IF(H$16=1,_xll.xCalcSkew($A145,Z145-BS145,b)/100,0)</f>
        <v>#DIV/0!</v>
      </c>
      <c r="Z145" s="96">
        <f t="shared" ca="1" si="191"/>
        <v>2.44</v>
      </c>
      <c r="AC145" s="97">
        <f t="shared" ca="1" si="144"/>
        <v>3488</v>
      </c>
      <c r="AD145" s="97">
        <f t="shared" ca="1" si="145"/>
        <v>3487</v>
      </c>
      <c r="AE145" s="77">
        <f t="shared" ca="1" si="146"/>
        <v>5.86708043106468E-2</v>
      </c>
      <c r="AF145" s="152">
        <f t="shared" si="116"/>
        <v>31</v>
      </c>
      <c r="AI145" s="97"/>
      <c r="AJ145" s="78"/>
      <c r="AK145" s="78">
        <f t="shared" ca="1" si="192"/>
        <v>0</v>
      </c>
      <c r="AL145" s="288" t="e">
        <f t="shared" ca="1" si="164"/>
        <v>#DIV/0!</v>
      </c>
      <c r="AM145" s="75">
        <f t="shared" ca="1" si="193"/>
        <v>0</v>
      </c>
      <c r="AN145" s="100">
        <f t="shared" ca="1" si="194"/>
        <v>0</v>
      </c>
      <c r="AO145" s="99">
        <f t="shared" ca="1" si="195"/>
        <v>0</v>
      </c>
      <c r="AP145" s="99">
        <f t="shared" ca="1" si="196"/>
        <v>0</v>
      </c>
      <c r="AQ145" s="99">
        <f t="shared" ca="1" si="197"/>
        <v>0</v>
      </c>
      <c r="AR145" s="101">
        <f t="shared" ca="1" si="165"/>
        <v>0</v>
      </c>
      <c r="AS145" s="101">
        <f t="shared" ca="1" si="166"/>
        <v>0</v>
      </c>
      <c r="AT145" s="101">
        <f t="shared" ca="1" si="167"/>
        <v>0</v>
      </c>
      <c r="AV145" s="78">
        <f t="shared" ca="1" si="198"/>
        <v>0</v>
      </c>
      <c r="AW145" s="288" t="e">
        <f t="shared" ca="1" si="168"/>
        <v>#DIV/0!</v>
      </c>
      <c r="AX145" s="75">
        <f t="shared" ca="1" si="199"/>
        <v>0</v>
      </c>
      <c r="AY145" s="100">
        <f t="shared" ca="1" si="200"/>
        <v>0</v>
      </c>
      <c r="AZ145" s="99">
        <f t="shared" ca="1" si="201"/>
        <v>0</v>
      </c>
      <c r="BA145" s="99">
        <f t="shared" ca="1" si="202"/>
        <v>0</v>
      </c>
      <c r="BB145" s="99">
        <f t="shared" ca="1" si="203"/>
        <v>0</v>
      </c>
      <c r="BC145" s="101">
        <f t="shared" ca="1" si="169"/>
        <v>0</v>
      </c>
      <c r="BD145" s="101">
        <f t="shared" ca="1" si="170"/>
        <v>0</v>
      </c>
      <c r="BE145" s="101">
        <f t="shared" ca="1" si="171"/>
        <v>0</v>
      </c>
      <c r="BG145" s="78">
        <f t="shared" ca="1" si="204"/>
        <v>0</v>
      </c>
      <c r="BH145" s="288" t="e">
        <f t="shared" ca="1" si="172"/>
        <v>#DIV/0!</v>
      </c>
      <c r="BI145" s="75">
        <f t="shared" ca="1" si="205"/>
        <v>0</v>
      </c>
      <c r="BJ145" s="100">
        <f t="shared" ca="1" si="206"/>
        <v>0</v>
      </c>
      <c r="BK145" s="99">
        <f t="shared" ca="1" si="207"/>
        <v>0</v>
      </c>
      <c r="BL145" s="99">
        <f t="shared" ca="1" si="208"/>
        <v>0</v>
      </c>
      <c r="BM145" s="99">
        <f t="shared" ca="1" si="209"/>
        <v>0</v>
      </c>
      <c r="BN145" s="101">
        <f t="shared" ca="1" si="173"/>
        <v>0</v>
      </c>
      <c r="BO145" s="101">
        <f t="shared" ca="1" si="174"/>
        <v>0</v>
      </c>
      <c r="BP145" s="101">
        <f t="shared" ca="1" si="175"/>
        <v>0</v>
      </c>
      <c r="BR145" s="78">
        <f t="shared" ca="1" si="210"/>
        <v>0</v>
      </c>
      <c r="BS145" s="288" t="e">
        <f t="shared" ca="1" si="176"/>
        <v>#DIV/0!</v>
      </c>
      <c r="BT145" s="75">
        <f t="shared" ca="1" si="211"/>
        <v>0</v>
      </c>
      <c r="BU145" s="100">
        <f t="shared" ca="1" si="212"/>
        <v>0</v>
      </c>
      <c r="BV145" s="99">
        <f t="shared" ca="1" si="213"/>
        <v>0</v>
      </c>
      <c r="BW145" s="99">
        <f t="shared" ca="1" si="214"/>
        <v>0</v>
      </c>
      <c r="BX145" s="99">
        <f t="shared" ca="1" si="215"/>
        <v>0</v>
      </c>
      <c r="BY145" s="101">
        <f t="shared" ca="1" si="177"/>
        <v>0</v>
      </c>
      <c r="BZ145" s="101">
        <f t="shared" ca="1" si="178"/>
        <v>0</v>
      </c>
      <c r="CA145" s="101">
        <f t="shared" ca="1" si="179"/>
        <v>0</v>
      </c>
    </row>
    <row r="146" spans="1:79" x14ac:dyDescent="0.25">
      <c r="A146" s="94">
        <f t="shared" si="163"/>
        <v>40787</v>
      </c>
      <c r="B146" s="95">
        <f t="shared" ca="1" si="142"/>
        <v>3.4989999999999988</v>
      </c>
      <c r="C146" s="77">
        <f t="shared" ca="1" si="143"/>
        <v>5.6990630525646166E-2</v>
      </c>
      <c r="D146" s="95">
        <f t="shared" ca="1" si="100"/>
        <v>0</v>
      </c>
      <c r="E146" s="97">
        <f t="shared" ca="1" si="180"/>
        <v>3518</v>
      </c>
      <c r="F146" s="77" t="e">
        <f t="shared" ca="1" si="181"/>
        <v>#DIV/0!</v>
      </c>
      <c r="G146" s="77" t="e">
        <f ca="1">IF(B$16=1,_xll.xCalcSkew(A146,H146-AL146,b)/100,0)</f>
        <v>#DIV/0!</v>
      </c>
      <c r="H146" s="96">
        <f t="shared" ca="1" si="182"/>
        <v>2.44</v>
      </c>
      <c r="J146" s="95">
        <f t="shared" ca="1" si="104"/>
        <v>0</v>
      </c>
      <c r="K146" s="97">
        <f t="shared" ca="1" si="183"/>
        <v>3518</v>
      </c>
      <c r="L146" s="172" t="e">
        <f t="shared" ca="1" si="184"/>
        <v>#DIV/0!</v>
      </c>
      <c r="M146" s="77" t="e">
        <f ca="1">IF(D$16=1,_xll.xCalcSkew($A146,N146-AW146,b)/100,0)</f>
        <v>#DIV/0!</v>
      </c>
      <c r="N146" s="96">
        <f t="shared" ca="1" si="185"/>
        <v>2.44</v>
      </c>
      <c r="P146" s="95">
        <f t="shared" ca="1" si="108"/>
        <v>0</v>
      </c>
      <c r="Q146" s="97">
        <f t="shared" ca="1" si="186"/>
        <v>3518</v>
      </c>
      <c r="R146" s="172" t="e">
        <f t="shared" ca="1" si="187"/>
        <v>#DIV/0!</v>
      </c>
      <c r="S146" s="77" t="e">
        <f ca="1">IF(F$16=1,_xll.xCalcSkew($A146,T146-BH146,b)/100,0)</f>
        <v>#DIV/0!</v>
      </c>
      <c r="T146" s="96">
        <f t="shared" ca="1" si="188"/>
        <v>2.44</v>
      </c>
      <c r="V146" s="95">
        <f t="shared" ca="1" si="112"/>
        <v>0</v>
      </c>
      <c r="W146" s="97">
        <f t="shared" ca="1" si="189"/>
        <v>3518</v>
      </c>
      <c r="X146" s="77" t="e">
        <f t="shared" ca="1" si="190"/>
        <v>#DIV/0!</v>
      </c>
      <c r="Y146" s="77" t="e">
        <f ca="1">IF(H$16=1,_xll.xCalcSkew($A146,Z146-BS146,b)/100,0)</f>
        <v>#DIV/0!</v>
      </c>
      <c r="Z146" s="96">
        <f t="shared" ca="1" si="191"/>
        <v>2.44</v>
      </c>
      <c r="AC146" s="97">
        <f t="shared" ca="1" si="144"/>
        <v>3521</v>
      </c>
      <c r="AD146" s="97">
        <f t="shared" ca="1" si="145"/>
        <v>3518</v>
      </c>
      <c r="AE146" s="77">
        <f t="shared" ca="1" si="146"/>
        <v>5.8774302798974401E-2</v>
      </c>
      <c r="AF146" s="152">
        <f t="shared" si="116"/>
        <v>30</v>
      </c>
      <c r="AI146" s="97"/>
      <c r="AJ146" s="78"/>
      <c r="AK146" s="78">
        <f t="shared" ca="1" si="192"/>
        <v>0</v>
      </c>
      <c r="AL146" s="288" t="e">
        <f t="shared" ca="1" si="164"/>
        <v>#DIV/0!</v>
      </c>
      <c r="AM146" s="75">
        <f t="shared" ca="1" si="193"/>
        <v>0</v>
      </c>
      <c r="AN146" s="100">
        <f t="shared" ca="1" si="194"/>
        <v>0</v>
      </c>
      <c r="AO146" s="99">
        <f t="shared" ca="1" si="195"/>
        <v>0</v>
      </c>
      <c r="AP146" s="99">
        <f t="shared" ca="1" si="196"/>
        <v>0</v>
      </c>
      <c r="AQ146" s="99">
        <f t="shared" ca="1" si="197"/>
        <v>0</v>
      </c>
      <c r="AR146" s="101">
        <f t="shared" ca="1" si="165"/>
        <v>0</v>
      </c>
      <c r="AS146" s="101">
        <f t="shared" ca="1" si="166"/>
        <v>0</v>
      </c>
      <c r="AT146" s="101">
        <f t="shared" ca="1" si="167"/>
        <v>0</v>
      </c>
      <c r="AV146" s="78">
        <f t="shared" ca="1" si="198"/>
        <v>0</v>
      </c>
      <c r="AW146" s="288" t="e">
        <f t="shared" ca="1" si="168"/>
        <v>#DIV/0!</v>
      </c>
      <c r="AX146" s="75">
        <f t="shared" ca="1" si="199"/>
        <v>0</v>
      </c>
      <c r="AY146" s="100">
        <f t="shared" ca="1" si="200"/>
        <v>0</v>
      </c>
      <c r="AZ146" s="99">
        <f t="shared" ca="1" si="201"/>
        <v>0</v>
      </c>
      <c r="BA146" s="99">
        <f t="shared" ca="1" si="202"/>
        <v>0</v>
      </c>
      <c r="BB146" s="99">
        <f t="shared" ca="1" si="203"/>
        <v>0</v>
      </c>
      <c r="BC146" s="101">
        <f t="shared" ca="1" si="169"/>
        <v>0</v>
      </c>
      <c r="BD146" s="101">
        <f t="shared" ca="1" si="170"/>
        <v>0</v>
      </c>
      <c r="BE146" s="101">
        <f t="shared" ca="1" si="171"/>
        <v>0</v>
      </c>
      <c r="BG146" s="78">
        <f t="shared" ca="1" si="204"/>
        <v>0</v>
      </c>
      <c r="BH146" s="288" t="e">
        <f t="shared" ca="1" si="172"/>
        <v>#DIV/0!</v>
      </c>
      <c r="BI146" s="75">
        <f t="shared" ca="1" si="205"/>
        <v>0</v>
      </c>
      <c r="BJ146" s="100">
        <f t="shared" ca="1" si="206"/>
        <v>0</v>
      </c>
      <c r="BK146" s="99">
        <f t="shared" ca="1" si="207"/>
        <v>0</v>
      </c>
      <c r="BL146" s="99">
        <f t="shared" ca="1" si="208"/>
        <v>0</v>
      </c>
      <c r="BM146" s="99">
        <f t="shared" ca="1" si="209"/>
        <v>0</v>
      </c>
      <c r="BN146" s="101">
        <f t="shared" ca="1" si="173"/>
        <v>0</v>
      </c>
      <c r="BO146" s="101">
        <f t="shared" ca="1" si="174"/>
        <v>0</v>
      </c>
      <c r="BP146" s="101">
        <f t="shared" ca="1" si="175"/>
        <v>0</v>
      </c>
      <c r="BR146" s="78">
        <f t="shared" ca="1" si="210"/>
        <v>0</v>
      </c>
      <c r="BS146" s="288" t="e">
        <f t="shared" ca="1" si="176"/>
        <v>#DIV/0!</v>
      </c>
      <c r="BT146" s="75">
        <f t="shared" ca="1" si="211"/>
        <v>0</v>
      </c>
      <c r="BU146" s="100">
        <f t="shared" ca="1" si="212"/>
        <v>0</v>
      </c>
      <c r="BV146" s="99">
        <f t="shared" ca="1" si="213"/>
        <v>0</v>
      </c>
      <c r="BW146" s="99">
        <f t="shared" ca="1" si="214"/>
        <v>0</v>
      </c>
      <c r="BX146" s="99">
        <f t="shared" ca="1" si="215"/>
        <v>0</v>
      </c>
      <c r="BY146" s="101">
        <f t="shared" ca="1" si="177"/>
        <v>0</v>
      </c>
      <c r="BZ146" s="101">
        <f t="shared" ca="1" si="178"/>
        <v>0</v>
      </c>
      <c r="CA146" s="101">
        <f t="shared" ca="1" si="179"/>
        <v>0</v>
      </c>
    </row>
    <row r="147" spans="1:79" x14ac:dyDescent="0.25">
      <c r="A147" s="94">
        <f t="shared" si="163"/>
        <v>40817</v>
      </c>
      <c r="B147" s="95">
        <f t="shared" ca="1" si="142"/>
        <v>3.5139999999999989</v>
      </c>
      <c r="C147" s="77">
        <f t="shared" ca="1" si="143"/>
        <v>5.6840147121077149E-2</v>
      </c>
      <c r="D147" s="95">
        <f t="shared" ca="1" si="100"/>
        <v>0</v>
      </c>
      <c r="E147" s="97">
        <f t="shared" ca="1" si="180"/>
        <v>3550</v>
      </c>
      <c r="F147" s="77" t="e">
        <f t="shared" ca="1" si="181"/>
        <v>#DIV/0!</v>
      </c>
      <c r="G147" s="77" t="e">
        <f ca="1">IF(B$16=1,_xll.xCalcSkew(A147,H147-AL147,b)/100,0)</f>
        <v>#DIV/0!</v>
      </c>
      <c r="H147" s="96">
        <f t="shared" ca="1" si="182"/>
        <v>2.44</v>
      </c>
      <c r="J147" s="95">
        <f t="shared" ca="1" si="104"/>
        <v>0</v>
      </c>
      <c r="K147" s="97">
        <f t="shared" ca="1" si="183"/>
        <v>3550</v>
      </c>
      <c r="L147" s="172" t="e">
        <f t="shared" ca="1" si="184"/>
        <v>#DIV/0!</v>
      </c>
      <c r="M147" s="77" t="e">
        <f ca="1">IF(D$16=1,_xll.xCalcSkew($A147,N147-AW147,b)/100,0)</f>
        <v>#DIV/0!</v>
      </c>
      <c r="N147" s="96">
        <f t="shared" ca="1" si="185"/>
        <v>2.44</v>
      </c>
      <c r="P147" s="95">
        <f t="shared" ca="1" si="108"/>
        <v>0</v>
      </c>
      <c r="Q147" s="97">
        <f t="shared" ca="1" si="186"/>
        <v>3550</v>
      </c>
      <c r="R147" s="172" t="e">
        <f t="shared" ca="1" si="187"/>
        <v>#DIV/0!</v>
      </c>
      <c r="S147" s="77" t="e">
        <f ca="1">IF(F$16=1,_xll.xCalcSkew($A147,T147-BH147,b)/100,0)</f>
        <v>#DIV/0!</v>
      </c>
      <c r="T147" s="96">
        <f t="shared" ca="1" si="188"/>
        <v>2.44</v>
      </c>
      <c r="V147" s="95">
        <f t="shared" ca="1" si="112"/>
        <v>0</v>
      </c>
      <c r="W147" s="97">
        <f t="shared" ca="1" si="189"/>
        <v>3550</v>
      </c>
      <c r="X147" s="77" t="e">
        <f t="shared" ca="1" si="190"/>
        <v>#DIV/0!</v>
      </c>
      <c r="Y147" s="77" t="e">
        <f ca="1">IF(H$16=1,_xll.xCalcSkew($A147,Z147-BS147,b)/100,0)</f>
        <v>#DIV/0!</v>
      </c>
      <c r="Z147" s="96">
        <f t="shared" ca="1" si="191"/>
        <v>2.44</v>
      </c>
      <c r="AC147" s="97">
        <f t="shared" ca="1" si="144"/>
        <v>3551</v>
      </c>
      <c r="AD147" s="97">
        <f t="shared" ca="1" si="145"/>
        <v>3550</v>
      </c>
      <c r="AE147" s="77">
        <f t="shared" ca="1" si="146"/>
        <v>5.8877801290863702E-2</v>
      </c>
      <c r="AF147" s="152">
        <f t="shared" si="116"/>
        <v>31</v>
      </c>
      <c r="AI147" s="97"/>
      <c r="AJ147" s="78"/>
      <c r="AK147" s="78">
        <f t="shared" ca="1" si="192"/>
        <v>0</v>
      </c>
      <c r="AL147" s="288" t="e">
        <f t="shared" ca="1" si="164"/>
        <v>#DIV/0!</v>
      </c>
      <c r="AM147" s="75">
        <f t="shared" ca="1" si="193"/>
        <v>0</v>
      </c>
      <c r="AN147" s="100">
        <f t="shared" ca="1" si="194"/>
        <v>0</v>
      </c>
      <c r="AO147" s="99">
        <f t="shared" ca="1" si="195"/>
        <v>0</v>
      </c>
      <c r="AP147" s="99">
        <f t="shared" ca="1" si="196"/>
        <v>0</v>
      </c>
      <c r="AQ147" s="99">
        <f t="shared" ca="1" si="197"/>
        <v>0</v>
      </c>
      <c r="AR147" s="101">
        <f t="shared" ca="1" si="165"/>
        <v>0</v>
      </c>
      <c r="AS147" s="101">
        <f t="shared" ca="1" si="166"/>
        <v>0</v>
      </c>
      <c r="AT147" s="101">
        <f t="shared" ca="1" si="167"/>
        <v>0</v>
      </c>
      <c r="AV147" s="78">
        <f t="shared" ca="1" si="198"/>
        <v>0</v>
      </c>
      <c r="AW147" s="288" t="e">
        <f t="shared" ca="1" si="168"/>
        <v>#DIV/0!</v>
      </c>
      <c r="AX147" s="75">
        <f t="shared" ca="1" si="199"/>
        <v>0</v>
      </c>
      <c r="AY147" s="100">
        <f t="shared" ca="1" si="200"/>
        <v>0</v>
      </c>
      <c r="AZ147" s="99">
        <f t="shared" ca="1" si="201"/>
        <v>0</v>
      </c>
      <c r="BA147" s="99">
        <f t="shared" ca="1" si="202"/>
        <v>0</v>
      </c>
      <c r="BB147" s="99">
        <f t="shared" ca="1" si="203"/>
        <v>0</v>
      </c>
      <c r="BC147" s="101">
        <f t="shared" ca="1" si="169"/>
        <v>0</v>
      </c>
      <c r="BD147" s="101">
        <f t="shared" ca="1" si="170"/>
        <v>0</v>
      </c>
      <c r="BE147" s="101">
        <f t="shared" ca="1" si="171"/>
        <v>0</v>
      </c>
      <c r="BG147" s="78">
        <f t="shared" ca="1" si="204"/>
        <v>0</v>
      </c>
      <c r="BH147" s="288" t="e">
        <f t="shared" ca="1" si="172"/>
        <v>#DIV/0!</v>
      </c>
      <c r="BI147" s="75">
        <f t="shared" ca="1" si="205"/>
        <v>0</v>
      </c>
      <c r="BJ147" s="100">
        <f t="shared" ca="1" si="206"/>
        <v>0</v>
      </c>
      <c r="BK147" s="99">
        <f t="shared" ca="1" si="207"/>
        <v>0</v>
      </c>
      <c r="BL147" s="99">
        <f t="shared" ca="1" si="208"/>
        <v>0</v>
      </c>
      <c r="BM147" s="99">
        <f t="shared" ca="1" si="209"/>
        <v>0</v>
      </c>
      <c r="BN147" s="101">
        <f t="shared" ca="1" si="173"/>
        <v>0</v>
      </c>
      <c r="BO147" s="101">
        <f t="shared" ca="1" si="174"/>
        <v>0</v>
      </c>
      <c r="BP147" s="101">
        <f t="shared" ca="1" si="175"/>
        <v>0</v>
      </c>
      <c r="BR147" s="78">
        <f t="shared" ca="1" si="210"/>
        <v>0</v>
      </c>
      <c r="BS147" s="288" t="e">
        <f t="shared" ca="1" si="176"/>
        <v>#DIV/0!</v>
      </c>
      <c r="BT147" s="75">
        <f t="shared" ca="1" si="211"/>
        <v>0</v>
      </c>
      <c r="BU147" s="100">
        <f t="shared" ca="1" si="212"/>
        <v>0</v>
      </c>
      <c r="BV147" s="99">
        <f t="shared" ca="1" si="213"/>
        <v>0</v>
      </c>
      <c r="BW147" s="99">
        <f t="shared" ca="1" si="214"/>
        <v>0</v>
      </c>
      <c r="BX147" s="99">
        <f t="shared" ca="1" si="215"/>
        <v>0</v>
      </c>
      <c r="BY147" s="101">
        <f t="shared" ca="1" si="177"/>
        <v>0</v>
      </c>
      <c r="BZ147" s="101">
        <f t="shared" ca="1" si="178"/>
        <v>0</v>
      </c>
      <c r="CA147" s="101">
        <f t="shared" ca="1" si="179"/>
        <v>0</v>
      </c>
    </row>
    <row r="148" spans="1:79" x14ac:dyDescent="0.25">
      <c r="A148" s="94">
        <f t="shared" si="163"/>
        <v>40848</v>
      </c>
      <c r="B148" s="95">
        <f t="shared" ca="1" si="142"/>
        <v>3.6589999999999989</v>
      </c>
      <c r="C148" s="77">
        <f t="shared" ca="1" si="143"/>
        <v>5.4669326023152567E-2</v>
      </c>
      <c r="D148" s="95">
        <f t="shared" ca="1" si="100"/>
        <v>0</v>
      </c>
      <c r="E148" s="97">
        <f t="shared" ca="1" si="180"/>
        <v>3579</v>
      </c>
      <c r="F148" s="77" t="e">
        <f t="shared" ca="1" si="181"/>
        <v>#DIV/0!</v>
      </c>
      <c r="G148" s="77" t="e">
        <f ca="1">IF(B$16=1,_xll.xCalcSkew(A148,H148-AL148,b)/100,0)</f>
        <v>#DIV/0!</v>
      </c>
      <c r="H148" s="96">
        <f t="shared" ca="1" si="182"/>
        <v>2.44</v>
      </c>
      <c r="J148" s="95">
        <f t="shared" ca="1" si="104"/>
        <v>0</v>
      </c>
      <c r="K148" s="97">
        <f t="shared" ca="1" si="183"/>
        <v>3579</v>
      </c>
      <c r="L148" s="172" t="e">
        <f t="shared" ca="1" si="184"/>
        <v>#DIV/0!</v>
      </c>
      <c r="M148" s="77" t="e">
        <f ca="1">IF(D$16=1,_xll.xCalcSkew($A148,N148-AW148,b)/100,0)</f>
        <v>#DIV/0!</v>
      </c>
      <c r="N148" s="96">
        <f t="shared" ca="1" si="185"/>
        <v>2.44</v>
      </c>
      <c r="P148" s="95">
        <f t="shared" ca="1" si="108"/>
        <v>0</v>
      </c>
      <c r="Q148" s="97">
        <f t="shared" ca="1" si="186"/>
        <v>3579</v>
      </c>
      <c r="R148" s="172" t="e">
        <f t="shared" ca="1" si="187"/>
        <v>#DIV/0!</v>
      </c>
      <c r="S148" s="77" t="e">
        <f ca="1">IF(F$16=1,_xll.xCalcSkew($A148,T148-BH148,b)/100,0)</f>
        <v>#DIV/0!</v>
      </c>
      <c r="T148" s="96">
        <f t="shared" ca="1" si="188"/>
        <v>2.44</v>
      </c>
      <c r="V148" s="95">
        <f t="shared" ca="1" si="112"/>
        <v>0</v>
      </c>
      <c r="W148" s="97">
        <f t="shared" ca="1" si="189"/>
        <v>3579</v>
      </c>
      <c r="X148" s="77" t="e">
        <f t="shared" ca="1" si="190"/>
        <v>#DIV/0!</v>
      </c>
      <c r="Y148" s="77" t="e">
        <f ca="1">IF(H$16=1,_xll.xCalcSkew($A148,Z148-BS148,b)/100,0)</f>
        <v>#DIV/0!</v>
      </c>
      <c r="Z148" s="96">
        <f t="shared" ca="1" si="191"/>
        <v>2.44</v>
      </c>
      <c r="AC148" s="97">
        <f t="shared" ca="1" si="144"/>
        <v>3580</v>
      </c>
      <c r="AD148" s="97">
        <f t="shared" ca="1" si="145"/>
        <v>3579</v>
      </c>
      <c r="AE148" s="77">
        <f t="shared" ca="1" si="146"/>
        <v>5.8977961125114199E-2</v>
      </c>
      <c r="AF148" s="152">
        <f t="shared" si="116"/>
        <v>30</v>
      </c>
      <c r="AI148" s="97"/>
      <c r="AJ148" s="78"/>
      <c r="AK148" s="78">
        <f t="shared" ca="1" si="192"/>
        <v>0</v>
      </c>
      <c r="AL148" s="288" t="e">
        <f t="shared" ca="1" si="164"/>
        <v>#DIV/0!</v>
      </c>
      <c r="AM148" s="75">
        <f t="shared" ca="1" si="193"/>
        <v>0</v>
      </c>
      <c r="AN148" s="100">
        <f t="shared" ca="1" si="194"/>
        <v>0</v>
      </c>
      <c r="AO148" s="99">
        <f t="shared" ca="1" si="195"/>
        <v>0</v>
      </c>
      <c r="AP148" s="99">
        <f t="shared" ca="1" si="196"/>
        <v>0</v>
      </c>
      <c r="AQ148" s="99">
        <f t="shared" ca="1" si="197"/>
        <v>0</v>
      </c>
      <c r="AR148" s="101">
        <f t="shared" ca="1" si="165"/>
        <v>0</v>
      </c>
      <c r="AS148" s="101">
        <f t="shared" ca="1" si="166"/>
        <v>0</v>
      </c>
      <c r="AT148" s="101">
        <f t="shared" ca="1" si="167"/>
        <v>0</v>
      </c>
      <c r="AV148" s="78">
        <f t="shared" ca="1" si="198"/>
        <v>0</v>
      </c>
      <c r="AW148" s="288" t="e">
        <f t="shared" ca="1" si="168"/>
        <v>#DIV/0!</v>
      </c>
      <c r="AX148" s="75">
        <f t="shared" ca="1" si="199"/>
        <v>0</v>
      </c>
      <c r="AY148" s="100">
        <f t="shared" ca="1" si="200"/>
        <v>0</v>
      </c>
      <c r="AZ148" s="99">
        <f t="shared" ca="1" si="201"/>
        <v>0</v>
      </c>
      <c r="BA148" s="99">
        <f t="shared" ca="1" si="202"/>
        <v>0</v>
      </c>
      <c r="BB148" s="99">
        <f t="shared" ca="1" si="203"/>
        <v>0</v>
      </c>
      <c r="BC148" s="101">
        <f t="shared" ca="1" si="169"/>
        <v>0</v>
      </c>
      <c r="BD148" s="101">
        <f t="shared" ca="1" si="170"/>
        <v>0</v>
      </c>
      <c r="BE148" s="101">
        <f t="shared" ca="1" si="171"/>
        <v>0</v>
      </c>
      <c r="BG148" s="78">
        <f t="shared" ca="1" si="204"/>
        <v>0</v>
      </c>
      <c r="BH148" s="288" t="e">
        <f t="shared" ca="1" si="172"/>
        <v>#DIV/0!</v>
      </c>
      <c r="BI148" s="75">
        <f t="shared" ca="1" si="205"/>
        <v>0</v>
      </c>
      <c r="BJ148" s="100">
        <f t="shared" ca="1" si="206"/>
        <v>0</v>
      </c>
      <c r="BK148" s="99">
        <f t="shared" ca="1" si="207"/>
        <v>0</v>
      </c>
      <c r="BL148" s="99">
        <f t="shared" ca="1" si="208"/>
        <v>0</v>
      </c>
      <c r="BM148" s="99">
        <f t="shared" ca="1" si="209"/>
        <v>0</v>
      </c>
      <c r="BN148" s="101">
        <f t="shared" ca="1" si="173"/>
        <v>0</v>
      </c>
      <c r="BO148" s="101">
        <f t="shared" ca="1" si="174"/>
        <v>0</v>
      </c>
      <c r="BP148" s="101">
        <f t="shared" ca="1" si="175"/>
        <v>0</v>
      </c>
      <c r="BR148" s="78">
        <f t="shared" ca="1" si="210"/>
        <v>0</v>
      </c>
      <c r="BS148" s="288" t="e">
        <f t="shared" ca="1" si="176"/>
        <v>#DIV/0!</v>
      </c>
      <c r="BT148" s="75">
        <f t="shared" ca="1" si="211"/>
        <v>0</v>
      </c>
      <c r="BU148" s="100">
        <f t="shared" ca="1" si="212"/>
        <v>0</v>
      </c>
      <c r="BV148" s="99">
        <f t="shared" ca="1" si="213"/>
        <v>0</v>
      </c>
      <c r="BW148" s="99">
        <f t="shared" ca="1" si="214"/>
        <v>0</v>
      </c>
      <c r="BX148" s="99">
        <f t="shared" ca="1" si="215"/>
        <v>0</v>
      </c>
      <c r="BY148" s="101">
        <f t="shared" ca="1" si="177"/>
        <v>0</v>
      </c>
      <c r="BZ148" s="101">
        <f t="shared" ca="1" si="178"/>
        <v>0</v>
      </c>
      <c r="CA148" s="101">
        <f t="shared" ca="1" si="179"/>
        <v>0</v>
      </c>
    </row>
    <row r="149" spans="1:79" x14ac:dyDescent="0.25">
      <c r="A149" s="94">
        <f t="shared" si="163"/>
        <v>40878</v>
      </c>
      <c r="B149" s="95">
        <f t="shared" ca="1" si="142"/>
        <v>3.7939999999999987</v>
      </c>
      <c r="C149" s="77">
        <f t="shared" ca="1" si="143"/>
        <v>5.2809322474195425E-2</v>
      </c>
      <c r="D149" s="95">
        <f t="shared" ca="1" si="100"/>
        <v>0</v>
      </c>
      <c r="E149" s="97">
        <f t="shared" ca="1" si="180"/>
        <v>3609</v>
      </c>
      <c r="F149" s="77" t="e">
        <f t="shared" ca="1" si="181"/>
        <v>#DIV/0!</v>
      </c>
      <c r="G149" s="77" t="e">
        <f ca="1">IF(B$16=1,_xll.xCalcSkew(A149,H149-AL149,b)/100,0)</f>
        <v>#DIV/0!</v>
      </c>
      <c r="H149" s="96">
        <f t="shared" ca="1" si="182"/>
        <v>2.44</v>
      </c>
      <c r="J149" s="95">
        <f t="shared" ca="1" si="104"/>
        <v>0</v>
      </c>
      <c r="K149" s="97">
        <f t="shared" ca="1" si="183"/>
        <v>3609</v>
      </c>
      <c r="L149" s="172" t="e">
        <f t="shared" ca="1" si="184"/>
        <v>#DIV/0!</v>
      </c>
      <c r="M149" s="77" t="e">
        <f ca="1">IF(D$16=1,_xll.xCalcSkew($A149,N149-AW149,b)/100,0)</f>
        <v>#DIV/0!</v>
      </c>
      <c r="N149" s="96">
        <f t="shared" ca="1" si="185"/>
        <v>2.44</v>
      </c>
      <c r="P149" s="95">
        <f t="shared" ca="1" si="108"/>
        <v>0</v>
      </c>
      <c r="Q149" s="97">
        <f t="shared" ca="1" si="186"/>
        <v>3609</v>
      </c>
      <c r="R149" s="172" t="e">
        <f t="shared" ca="1" si="187"/>
        <v>#DIV/0!</v>
      </c>
      <c r="S149" s="77" t="e">
        <f ca="1">IF(F$16=1,_xll.xCalcSkew($A149,T149-BH149,b)/100,0)</f>
        <v>#DIV/0!</v>
      </c>
      <c r="T149" s="96">
        <f t="shared" ca="1" si="188"/>
        <v>2.44</v>
      </c>
      <c r="V149" s="95">
        <f t="shared" ca="1" si="112"/>
        <v>0</v>
      </c>
      <c r="W149" s="97">
        <f t="shared" ca="1" si="189"/>
        <v>3609</v>
      </c>
      <c r="X149" s="77" t="e">
        <f t="shared" ca="1" si="190"/>
        <v>#DIV/0!</v>
      </c>
      <c r="Y149" s="77" t="e">
        <f ca="1">IF(H$16=1,_xll.xCalcSkew($A149,Z149-BS149,b)/100,0)</f>
        <v>#DIV/0!</v>
      </c>
      <c r="Z149" s="96">
        <f t="shared" ca="1" si="191"/>
        <v>2.44</v>
      </c>
      <c r="AC149" s="97">
        <f t="shared" ca="1" si="144"/>
        <v>3612</v>
      </c>
      <c r="AD149" s="97">
        <f t="shared" ca="1" si="145"/>
        <v>3609</v>
      </c>
      <c r="AE149" s="77">
        <f t="shared" ca="1" si="146"/>
        <v>5.9081459624010797E-2</v>
      </c>
      <c r="AF149" s="152" t="e">
        <f>#REF!-A149</f>
        <v>#REF!</v>
      </c>
      <c r="AI149" s="97"/>
      <c r="AJ149" s="78"/>
      <c r="AK149" s="78">
        <f t="shared" ca="1" si="192"/>
        <v>0</v>
      </c>
      <c r="AL149" s="288" t="e">
        <f t="shared" ca="1" si="164"/>
        <v>#DIV/0!</v>
      </c>
      <c r="AM149" s="75">
        <f t="shared" ca="1" si="193"/>
        <v>0</v>
      </c>
      <c r="AN149" s="100">
        <f t="shared" ca="1" si="194"/>
        <v>0</v>
      </c>
      <c r="AO149" s="99">
        <f t="shared" ca="1" si="195"/>
        <v>0</v>
      </c>
      <c r="AP149" s="99">
        <f t="shared" ca="1" si="196"/>
        <v>0</v>
      </c>
      <c r="AQ149" s="99">
        <f t="shared" ca="1" si="197"/>
        <v>0</v>
      </c>
      <c r="AR149" s="101">
        <f t="shared" ca="1" si="165"/>
        <v>0</v>
      </c>
      <c r="AS149" s="101">
        <f t="shared" ca="1" si="166"/>
        <v>0</v>
      </c>
      <c r="AT149" s="101">
        <f t="shared" ca="1" si="167"/>
        <v>0</v>
      </c>
      <c r="AV149" s="78">
        <f t="shared" ca="1" si="198"/>
        <v>0</v>
      </c>
      <c r="AW149" s="288" t="e">
        <f t="shared" ca="1" si="168"/>
        <v>#DIV/0!</v>
      </c>
      <c r="AX149" s="75">
        <f t="shared" ca="1" si="199"/>
        <v>0</v>
      </c>
      <c r="AY149" s="100">
        <f t="shared" ca="1" si="200"/>
        <v>0</v>
      </c>
      <c r="AZ149" s="99">
        <f t="shared" ca="1" si="201"/>
        <v>0</v>
      </c>
      <c r="BA149" s="99">
        <f t="shared" ca="1" si="202"/>
        <v>0</v>
      </c>
      <c r="BB149" s="99">
        <f t="shared" ca="1" si="203"/>
        <v>0</v>
      </c>
      <c r="BC149" s="101">
        <f t="shared" ca="1" si="169"/>
        <v>0</v>
      </c>
      <c r="BD149" s="101">
        <f t="shared" ca="1" si="170"/>
        <v>0</v>
      </c>
      <c r="BE149" s="101">
        <f t="shared" ca="1" si="171"/>
        <v>0</v>
      </c>
      <c r="BG149" s="78">
        <f t="shared" ca="1" si="204"/>
        <v>0</v>
      </c>
      <c r="BH149" s="288" t="e">
        <f t="shared" ca="1" si="172"/>
        <v>#DIV/0!</v>
      </c>
      <c r="BI149" s="75">
        <f t="shared" ca="1" si="205"/>
        <v>0</v>
      </c>
      <c r="BJ149" s="100">
        <f t="shared" ca="1" si="206"/>
        <v>0</v>
      </c>
      <c r="BK149" s="99">
        <f t="shared" ca="1" si="207"/>
        <v>0</v>
      </c>
      <c r="BL149" s="99">
        <f t="shared" ca="1" si="208"/>
        <v>0</v>
      </c>
      <c r="BM149" s="99">
        <f t="shared" ca="1" si="209"/>
        <v>0</v>
      </c>
      <c r="BN149" s="101">
        <f t="shared" ca="1" si="173"/>
        <v>0</v>
      </c>
      <c r="BO149" s="101">
        <f t="shared" ca="1" si="174"/>
        <v>0</v>
      </c>
      <c r="BP149" s="101">
        <f t="shared" ca="1" si="175"/>
        <v>0</v>
      </c>
      <c r="BR149" s="78">
        <f t="shared" ca="1" si="210"/>
        <v>0</v>
      </c>
      <c r="BS149" s="288" t="e">
        <f t="shared" ca="1" si="176"/>
        <v>#DIV/0!</v>
      </c>
      <c r="BT149" s="75">
        <f t="shared" ca="1" si="211"/>
        <v>0</v>
      </c>
      <c r="BU149" s="100">
        <f t="shared" ca="1" si="212"/>
        <v>0</v>
      </c>
      <c r="BV149" s="99">
        <f t="shared" ca="1" si="213"/>
        <v>0</v>
      </c>
      <c r="BW149" s="99">
        <f t="shared" ca="1" si="214"/>
        <v>0</v>
      </c>
      <c r="BX149" s="99">
        <f t="shared" ca="1" si="215"/>
        <v>0</v>
      </c>
      <c r="BY149" s="101">
        <f t="shared" ca="1" si="177"/>
        <v>0</v>
      </c>
      <c r="BZ149" s="101">
        <f t="shared" ca="1" si="178"/>
        <v>0</v>
      </c>
      <c r="CA149" s="101">
        <f t="shared" ca="1" si="179"/>
        <v>0</v>
      </c>
    </row>
    <row r="150" spans="1:79" x14ac:dyDescent="0.25">
      <c r="A150" s="94" t="e">
        <f>DATE(YEAR(#REF!),MONTH(#REF!)+1,1)</f>
        <v>#REF!</v>
      </c>
      <c r="B150" s="107"/>
      <c r="C150" s="126"/>
      <c r="E150" s="104"/>
      <c r="F150" s="104"/>
      <c r="G150" s="104"/>
      <c r="H150" s="105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79"/>
      <c r="AI150" s="79"/>
      <c r="AJ150" s="80"/>
      <c r="AK150" s="79"/>
      <c r="AL150" s="286"/>
      <c r="AV150" s="79"/>
      <c r="AW150" s="286"/>
      <c r="BG150" s="79"/>
      <c r="BH150" s="286"/>
      <c r="BR150" s="79"/>
      <c r="BS150" s="286"/>
    </row>
    <row r="151" spans="1:79" x14ac:dyDescent="0.25">
      <c r="A151" s="102"/>
      <c r="B151" s="107"/>
      <c r="C151" s="126"/>
      <c r="E151" s="104"/>
      <c r="F151" s="104"/>
      <c r="G151" s="104"/>
      <c r="H151" s="105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79"/>
      <c r="AI151" s="79"/>
      <c r="AJ151" s="80"/>
      <c r="AK151" s="79"/>
      <c r="AL151" s="286"/>
      <c r="AV151" s="79"/>
      <c r="AW151" s="286"/>
      <c r="BG151" s="79"/>
      <c r="BH151" s="286"/>
      <c r="BR151" s="79"/>
      <c r="BS151" s="286"/>
    </row>
    <row r="152" spans="1:79" x14ac:dyDescent="0.25">
      <c r="A152" s="102"/>
      <c r="B152" s="107"/>
      <c r="C152" s="126"/>
      <c r="E152" s="104"/>
      <c r="F152" s="104"/>
      <c r="G152" s="104"/>
      <c r="H152" s="105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79"/>
      <c r="AI152" s="79"/>
      <c r="AJ152" s="80"/>
      <c r="AK152" s="79"/>
      <c r="AL152" s="286"/>
      <c r="AV152" s="79"/>
      <c r="AW152" s="286"/>
      <c r="BG152" s="79"/>
      <c r="BH152" s="286"/>
      <c r="BR152" s="79"/>
      <c r="BS152" s="286"/>
    </row>
    <row r="153" spans="1:79" x14ac:dyDescent="0.25">
      <c r="A153" s="102"/>
      <c r="B153" s="107"/>
      <c r="C153" s="126"/>
      <c r="E153" s="104"/>
      <c r="F153" s="104"/>
      <c r="G153" s="104"/>
      <c r="H153" s="105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79"/>
      <c r="AI153" s="79"/>
      <c r="AJ153" s="80"/>
      <c r="AK153" s="79"/>
      <c r="AL153" s="286"/>
      <c r="AV153" s="79"/>
      <c r="AW153" s="286"/>
      <c r="BG153" s="79"/>
      <c r="BH153" s="286"/>
      <c r="BR153" s="79"/>
      <c r="BS153" s="286"/>
    </row>
    <row r="154" spans="1:79" x14ac:dyDescent="0.25">
      <c r="A154" s="102"/>
      <c r="B154" s="107"/>
      <c r="C154" s="126"/>
      <c r="E154" s="104"/>
      <c r="F154" s="104"/>
      <c r="G154" s="104"/>
      <c r="H154" s="105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79"/>
      <c r="AI154" s="79"/>
      <c r="AJ154" s="80"/>
      <c r="AK154" s="79"/>
      <c r="AL154" s="286"/>
      <c r="AV154" s="79"/>
      <c r="AW154" s="286"/>
      <c r="BG154" s="79"/>
      <c r="BH154" s="286"/>
      <c r="BR154" s="79"/>
      <c r="BS154" s="286"/>
    </row>
    <row r="155" spans="1:79" x14ac:dyDescent="0.25">
      <c r="A155" s="102"/>
      <c r="B155" s="107"/>
      <c r="C155" s="126"/>
      <c r="E155" s="104"/>
      <c r="F155" s="104"/>
      <c r="G155" s="104"/>
      <c r="H155" s="105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79"/>
      <c r="AI155" s="79"/>
      <c r="AJ155" s="80"/>
      <c r="AK155" s="79"/>
      <c r="AL155" s="286"/>
      <c r="AV155" s="79"/>
      <c r="AW155" s="286"/>
      <c r="BG155" s="79"/>
      <c r="BH155" s="286"/>
      <c r="BR155" s="79"/>
      <c r="BS155" s="286"/>
    </row>
    <row r="156" spans="1:79" x14ac:dyDescent="0.25">
      <c r="A156" s="102"/>
      <c r="B156" s="107"/>
      <c r="C156" s="126"/>
      <c r="E156" s="104"/>
      <c r="F156" s="104"/>
      <c r="G156" s="104"/>
      <c r="H156" s="105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79"/>
      <c r="AI156" s="79"/>
      <c r="AJ156" s="80"/>
      <c r="AK156" s="79"/>
      <c r="AL156" s="286"/>
      <c r="AV156" s="79"/>
      <c r="AW156" s="286"/>
      <c r="BG156" s="79"/>
      <c r="BH156" s="286"/>
      <c r="BR156" s="79"/>
      <c r="BS156" s="286"/>
    </row>
    <row r="157" spans="1:79" x14ac:dyDescent="0.25">
      <c r="A157" s="102"/>
      <c r="B157" s="107"/>
      <c r="C157" s="126"/>
      <c r="E157" s="104"/>
      <c r="F157" s="104"/>
      <c r="G157" s="104"/>
      <c r="H157" s="105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79"/>
      <c r="AI157" s="79"/>
      <c r="AJ157" s="80"/>
      <c r="AK157" s="79"/>
      <c r="AL157" s="286"/>
      <c r="AV157" s="79"/>
      <c r="AW157" s="286"/>
      <c r="BG157" s="79"/>
      <c r="BH157" s="286"/>
      <c r="BR157" s="79"/>
      <c r="BS157" s="286"/>
    </row>
    <row r="158" spans="1:79" x14ac:dyDescent="0.25">
      <c r="A158" s="102"/>
      <c r="B158" s="107"/>
      <c r="C158" s="126"/>
      <c r="E158" s="104"/>
      <c r="F158" s="104"/>
      <c r="G158" s="104"/>
      <c r="H158" s="105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79"/>
      <c r="AI158" s="79"/>
      <c r="AJ158" s="80"/>
      <c r="AK158" s="79"/>
      <c r="AL158" s="286"/>
      <c r="AV158" s="79"/>
      <c r="AW158" s="286"/>
      <c r="BG158" s="79"/>
      <c r="BH158" s="286"/>
      <c r="BR158" s="79"/>
      <c r="BS158" s="286"/>
    </row>
    <row r="159" spans="1:79" x14ac:dyDescent="0.25">
      <c r="A159" s="102"/>
      <c r="B159" s="107"/>
      <c r="C159" s="126"/>
      <c r="E159" s="104"/>
      <c r="F159" s="104"/>
      <c r="G159" s="104"/>
      <c r="H159" s="105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79"/>
      <c r="AI159" s="79"/>
      <c r="AJ159" s="80"/>
      <c r="AK159" s="79"/>
      <c r="AL159" s="286"/>
      <c r="AV159" s="79"/>
      <c r="AW159" s="286"/>
      <c r="BG159" s="79"/>
      <c r="BH159" s="286"/>
      <c r="BR159" s="79"/>
      <c r="BS159" s="286"/>
    </row>
    <row r="160" spans="1:79" x14ac:dyDescent="0.25">
      <c r="A160" s="102"/>
      <c r="B160" s="107"/>
      <c r="C160" s="126"/>
      <c r="E160" s="104"/>
      <c r="F160" s="104"/>
      <c r="G160" s="104"/>
      <c r="H160" s="105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79"/>
      <c r="AI160" s="79"/>
      <c r="AJ160" s="80"/>
      <c r="AK160" s="79"/>
      <c r="AL160" s="286"/>
      <c r="AV160" s="79"/>
      <c r="AW160" s="286"/>
      <c r="BG160" s="79"/>
      <c r="BH160" s="286"/>
      <c r="BR160" s="79"/>
      <c r="BS160" s="286"/>
    </row>
    <row r="161" spans="1:71" x14ac:dyDescent="0.25">
      <c r="A161" s="108"/>
      <c r="E161" s="76"/>
      <c r="F161" s="76"/>
      <c r="G161" s="76"/>
      <c r="H161" s="105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79"/>
      <c r="AI161" s="79"/>
      <c r="AJ161" s="80"/>
      <c r="AK161" s="79"/>
      <c r="AL161" s="286"/>
      <c r="AV161" s="79"/>
      <c r="AW161" s="286"/>
      <c r="BG161" s="79"/>
      <c r="BH161" s="286"/>
      <c r="BR161" s="79"/>
      <c r="BS161" s="286"/>
    </row>
    <row r="162" spans="1:71" x14ac:dyDescent="0.25">
      <c r="A162" s="102"/>
      <c r="B162" s="107"/>
      <c r="C162" s="126"/>
      <c r="E162" s="104"/>
      <c r="F162" s="104"/>
      <c r="G162" s="104"/>
      <c r="H162" s="105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79"/>
      <c r="AI162" s="79"/>
      <c r="AJ162" s="80"/>
      <c r="AK162" s="79"/>
      <c r="AL162" s="286"/>
      <c r="AV162" s="79"/>
      <c r="AW162" s="286"/>
      <c r="BG162" s="79"/>
      <c r="BH162" s="286"/>
      <c r="BR162" s="79"/>
      <c r="BS162" s="286"/>
    </row>
    <row r="163" spans="1:71" x14ac:dyDescent="0.25">
      <c r="B163" s="109"/>
      <c r="C163" s="112"/>
      <c r="D163" s="110"/>
      <c r="E163" s="103"/>
      <c r="F163" s="103"/>
      <c r="G163" s="103"/>
      <c r="H163" s="104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06"/>
      <c r="AF163" s="103"/>
      <c r="AG163" s="103"/>
      <c r="AH163" s="79"/>
      <c r="AI163" s="79"/>
      <c r="AJ163" s="80"/>
      <c r="AK163" s="79"/>
      <c r="AL163" s="286"/>
      <c r="AV163" s="79"/>
      <c r="AW163" s="286"/>
      <c r="BG163" s="79"/>
      <c r="BH163" s="286"/>
      <c r="BR163" s="79"/>
      <c r="BS163" s="286"/>
    </row>
    <row r="164" spans="1:71" x14ac:dyDescent="0.25">
      <c r="B164" s="109"/>
      <c r="C164" s="112"/>
      <c r="D164" s="110"/>
      <c r="E164" s="103"/>
      <c r="F164" s="103"/>
      <c r="G164" s="103"/>
      <c r="H164" s="104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06"/>
      <c r="AF164" s="103"/>
      <c r="AG164" s="103"/>
      <c r="AH164" s="79"/>
      <c r="AI164" s="79"/>
      <c r="AJ164" s="80"/>
      <c r="AK164" s="79"/>
      <c r="AL164" s="286"/>
      <c r="AV164" s="79"/>
      <c r="AW164" s="286"/>
      <c r="BG164" s="79"/>
      <c r="BH164" s="286"/>
      <c r="BR164" s="79"/>
      <c r="BS164" s="286"/>
    </row>
    <row r="165" spans="1:71" x14ac:dyDescent="0.25">
      <c r="B165" s="109"/>
      <c r="C165" s="112"/>
      <c r="D165" s="110"/>
      <c r="E165" s="103"/>
      <c r="F165" s="103"/>
      <c r="G165" s="103"/>
      <c r="H165" s="104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06"/>
      <c r="AF165" s="103"/>
      <c r="AG165" s="103"/>
      <c r="AH165" s="79"/>
      <c r="AI165" s="79"/>
      <c r="AJ165" s="80"/>
      <c r="AK165" s="79"/>
      <c r="AL165" s="286"/>
      <c r="AV165" s="79"/>
      <c r="AW165" s="286"/>
      <c r="BG165" s="79"/>
      <c r="BH165" s="286"/>
      <c r="BR165" s="79"/>
      <c r="BS165" s="286"/>
    </row>
    <row r="166" spans="1:71" x14ac:dyDescent="0.25">
      <c r="B166" s="109"/>
      <c r="C166" s="112"/>
      <c r="D166" s="110"/>
      <c r="E166" s="103"/>
      <c r="F166" s="103"/>
      <c r="G166" s="103"/>
      <c r="H166" s="104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06"/>
      <c r="AF166" s="103"/>
      <c r="AG166" s="103"/>
      <c r="AH166" s="79"/>
      <c r="AI166" s="79"/>
      <c r="AJ166" s="80"/>
      <c r="AK166" s="79"/>
      <c r="AL166" s="286"/>
      <c r="AV166" s="79"/>
      <c r="AW166" s="286"/>
      <c r="BG166" s="79"/>
      <c r="BH166" s="286"/>
      <c r="BR166" s="79"/>
      <c r="BS166" s="286"/>
    </row>
    <row r="167" spans="1:71" x14ac:dyDescent="0.25">
      <c r="B167" s="109"/>
      <c r="C167" s="112"/>
      <c r="D167" s="110"/>
      <c r="E167" s="103"/>
      <c r="F167" s="103"/>
      <c r="G167" s="103"/>
      <c r="H167" s="104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06"/>
      <c r="AF167" s="103"/>
      <c r="AG167" s="103"/>
      <c r="AH167" s="79"/>
      <c r="AI167" s="79"/>
      <c r="AJ167" s="80"/>
      <c r="AK167" s="79"/>
      <c r="AL167" s="286"/>
      <c r="AV167" s="79"/>
      <c r="AW167" s="286"/>
      <c r="BG167" s="79"/>
      <c r="BH167" s="286"/>
      <c r="BR167" s="79"/>
      <c r="BS167" s="286"/>
    </row>
    <row r="168" spans="1:71" x14ac:dyDescent="0.25">
      <c r="B168" s="109"/>
      <c r="C168" s="112"/>
      <c r="D168" s="110"/>
      <c r="E168" s="103"/>
      <c r="F168" s="103"/>
      <c r="G168" s="103"/>
      <c r="H168" s="104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06"/>
      <c r="AF168" s="103"/>
      <c r="AG168" s="103"/>
      <c r="AH168" s="79"/>
      <c r="AI168" s="79"/>
      <c r="AJ168" s="80"/>
      <c r="AK168" s="79"/>
      <c r="AL168" s="286"/>
      <c r="AV168" s="79"/>
      <c r="AW168" s="286"/>
      <c r="BG168" s="79"/>
      <c r="BH168" s="286"/>
      <c r="BR168" s="79"/>
      <c r="BS168" s="286"/>
    </row>
    <row r="169" spans="1:71" x14ac:dyDescent="0.25">
      <c r="B169" s="109"/>
      <c r="C169" s="112"/>
      <c r="D169" s="110"/>
      <c r="E169" s="103"/>
      <c r="F169" s="103"/>
      <c r="G169" s="103"/>
      <c r="H169" s="104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06"/>
      <c r="AF169" s="103"/>
      <c r="AG169" s="103"/>
      <c r="AH169" s="79"/>
      <c r="AI169" s="79"/>
      <c r="AJ169" s="80"/>
      <c r="AK169" s="79"/>
      <c r="AL169" s="286"/>
      <c r="AV169" s="79"/>
      <c r="AW169" s="286"/>
      <c r="BG169" s="79"/>
      <c r="BH169" s="286"/>
      <c r="BR169" s="79"/>
      <c r="BS169" s="286"/>
    </row>
    <row r="170" spans="1:71" x14ac:dyDescent="0.25">
      <c r="B170" s="109"/>
      <c r="C170" s="112"/>
      <c r="D170" s="110"/>
      <c r="E170" s="103"/>
      <c r="F170" s="103"/>
      <c r="G170" s="103"/>
      <c r="H170" s="104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06"/>
      <c r="AF170" s="103"/>
      <c r="AG170" s="103"/>
      <c r="AH170" s="79"/>
      <c r="AI170" s="79"/>
      <c r="AJ170" s="80"/>
      <c r="AK170" s="79"/>
      <c r="AL170" s="286"/>
      <c r="AV170" s="79"/>
      <c r="AW170" s="286"/>
      <c r="BG170" s="79"/>
      <c r="BH170" s="286"/>
      <c r="BR170" s="79"/>
      <c r="BS170" s="286"/>
    </row>
    <row r="171" spans="1:71" x14ac:dyDescent="0.25">
      <c r="B171" s="109"/>
      <c r="C171" s="112"/>
      <c r="D171" s="110"/>
      <c r="E171" s="103"/>
      <c r="F171" s="103"/>
      <c r="G171" s="103"/>
      <c r="H171" s="104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06"/>
      <c r="AF171" s="103"/>
      <c r="AG171" s="103"/>
      <c r="AH171" s="79"/>
      <c r="AI171" s="79"/>
      <c r="AJ171" s="80"/>
      <c r="AK171" s="79"/>
      <c r="AL171" s="286"/>
      <c r="AV171" s="79"/>
      <c r="AW171" s="286"/>
      <c r="BG171" s="79"/>
      <c r="BH171" s="286"/>
      <c r="BR171" s="79"/>
      <c r="BS171" s="286"/>
    </row>
    <row r="172" spans="1:71" x14ac:dyDescent="0.25">
      <c r="B172" s="109"/>
      <c r="C172" s="112"/>
      <c r="D172" s="110"/>
      <c r="E172" s="103"/>
      <c r="F172" s="103"/>
      <c r="G172" s="103"/>
      <c r="H172" s="104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06"/>
      <c r="AF172" s="103"/>
      <c r="AG172" s="103"/>
      <c r="AH172" s="79"/>
      <c r="AI172" s="79"/>
      <c r="AJ172" s="80"/>
      <c r="AK172" s="79"/>
      <c r="AL172" s="286"/>
      <c r="AV172" s="79"/>
      <c r="AW172" s="286"/>
      <c r="BG172" s="79"/>
      <c r="BH172" s="286"/>
      <c r="BR172" s="79"/>
      <c r="BS172" s="286"/>
    </row>
    <row r="173" spans="1:71" x14ac:dyDescent="0.25">
      <c r="B173" s="109"/>
      <c r="C173" s="112"/>
      <c r="D173" s="110"/>
      <c r="E173" s="103"/>
      <c r="F173" s="103"/>
      <c r="G173" s="103"/>
      <c r="H173" s="104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06"/>
      <c r="AF173" s="103"/>
      <c r="AG173" s="103"/>
      <c r="AH173" s="79"/>
      <c r="AI173" s="79"/>
      <c r="AJ173" s="80"/>
      <c r="AK173" s="79"/>
      <c r="AL173" s="286"/>
      <c r="AV173" s="79"/>
      <c r="AW173" s="286"/>
      <c r="BG173" s="79"/>
      <c r="BH173" s="286"/>
      <c r="BR173" s="79"/>
      <c r="BS173" s="286"/>
    </row>
    <row r="174" spans="1:71" x14ac:dyDescent="0.25">
      <c r="B174" s="109"/>
      <c r="C174" s="112"/>
      <c r="D174" s="110"/>
      <c r="E174" s="103"/>
      <c r="F174" s="103"/>
      <c r="G174" s="103"/>
      <c r="H174" s="104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06"/>
      <c r="AF174" s="103"/>
      <c r="AG174" s="103"/>
      <c r="AH174" s="79"/>
      <c r="AI174" s="79"/>
      <c r="AJ174" s="80"/>
      <c r="AK174" s="79"/>
      <c r="AL174" s="286"/>
      <c r="AV174" s="79"/>
      <c r="AW174" s="286"/>
      <c r="BG174" s="79"/>
      <c r="BH174" s="286"/>
      <c r="BR174" s="79"/>
      <c r="BS174" s="286"/>
    </row>
    <row r="175" spans="1:71" ht="13.8" thickBot="1" x14ac:dyDescent="0.3">
      <c r="B175" s="109"/>
      <c r="C175" s="112"/>
      <c r="D175" s="113"/>
      <c r="E175" s="103"/>
      <c r="F175" s="103"/>
      <c r="G175" s="103"/>
      <c r="H175" s="104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06"/>
      <c r="AF175" s="106"/>
      <c r="AG175" s="106"/>
      <c r="AH175" s="79"/>
      <c r="AI175" s="79"/>
      <c r="AJ175" s="80"/>
      <c r="AK175" s="79"/>
      <c r="AL175" s="286"/>
      <c r="AV175" s="79"/>
      <c r="AW175" s="286"/>
      <c r="BG175" s="79"/>
      <c r="BH175" s="286"/>
      <c r="BR175" s="79"/>
      <c r="BS175" s="286"/>
    </row>
    <row r="176" spans="1:71" x14ac:dyDescent="0.25">
      <c r="B176" s="109"/>
      <c r="C176" s="112"/>
      <c r="D176" s="114"/>
      <c r="E176" s="103"/>
      <c r="F176" s="103"/>
      <c r="G176" s="103"/>
      <c r="H176" s="104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06"/>
      <c r="AF176" s="106"/>
      <c r="AG176" s="106"/>
      <c r="AH176" s="79"/>
      <c r="AI176" s="79"/>
      <c r="AJ176" s="80"/>
      <c r="AK176" s="79"/>
      <c r="AL176" s="286"/>
      <c r="AV176" s="79"/>
      <c r="AW176" s="286"/>
      <c r="BG176" s="79"/>
      <c r="BH176" s="286"/>
      <c r="BR176" s="79"/>
      <c r="BS176" s="286"/>
    </row>
    <row r="177" spans="2:71" ht="13.8" thickBot="1" x14ac:dyDescent="0.3">
      <c r="B177" s="109"/>
      <c r="C177" s="112"/>
      <c r="D177" s="115"/>
      <c r="E177" s="103"/>
      <c r="F177" s="103"/>
      <c r="G177" s="103"/>
      <c r="H177" s="104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06"/>
      <c r="AF177" s="106"/>
      <c r="AG177" s="106"/>
      <c r="AH177" s="79"/>
      <c r="AI177" s="79"/>
      <c r="AJ177" s="80"/>
      <c r="AK177" s="79"/>
      <c r="AL177" s="286"/>
      <c r="AV177" s="79"/>
      <c r="AW177" s="286"/>
      <c r="BG177" s="79"/>
      <c r="BH177" s="286"/>
      <c r="BR177" s="79"/>
      <c r="BS177" s="286"/>
    </row>
    <row r="178" spans="2:71" ht="13.8" thickBot="1" x14ac:dyDescent="0.3">
      <c r="B178" s="116"/>
      <c r="C178" s="117"/>
      <c r="D178" s="115"/>
      <c r="E178" s="103"/>
      <c r="F178" s="103"/>
      <c r="G178" s="103"/>
      <c r="H178" s="104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06"/>
      <c r="AF178" s="106"/>
      <c r="AG178" s="106"/>
      <c r="AH178" s="79"/>
      <c r="AI178" s="79"/>
      <c r="AJ178" s="80"/>
      <c r="AK178" s="79"/>
      <c r="AL178" s="286"/>
      <c r="AV178" s="79"/>
      <c r="AW178" s="286"/>
      <c r="BG178" s="79"/>
      <c r="BH178" s="286"/>
      <c r="BR178" s="79"/>
      <c r="BS178" s="286"/>
    </row>
    <row r="179" spans="2:71" x14ac:dyDescent="0.25">
      <c r="B179" s="116"/>
      <c r="C179" s="117"/>
      <c r="D179" s="118"/>
      <c r="E179" s="103"/>
      <c r="F179" s="103"/>
      <c r="G179" s="103"/>
      <c r="H179" s="104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06"/>
      <c r="AF179" s="79"/>
      <c r="AG179" s="79"/>
      <c r="AH179" s="79"/>
      <c r="AI179" s="79"/>
      <c r="AJ179" s="80"/>
      <c r="AK179" s="79"/>
      <c r="AL179" s="286"/>
      <c r="AV179" s="79"/>
      <c r="AW179" s="286"/>
      <c r="BG179" s="79"/>
      <c r="BH179" s="286"/>
      <c r="BR179" s="79"/>
      <c r="BS179" s="286"/>
    </row>
    <row r="180" spans="2:71" x14ac:dyDescent="0.25">
      <c r="B180" s="116"/>
      <c r="C180" s="117"/>
      <c r="D180" s="118"/>
      <c r="E180" s="103"/>
      <c r="F180" s="103"/>
      <c r="G180" s="103"/>
      <c r="H180" s="104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79"/>
      <c r="AF180" s="79"/>
      <c r="AG180" s="79"/>
      <c r="AH180" s="79"/>
      <c r="AI180" s="79"/>
      <c r="AJ180" s="80"/>
      <c r="AK180" s="79"/>
      <c r="AL180" s="286"/>
      <c r="AV180" s="79"/>
      <c r="AW180" s="286"/>
      <c r="BG180" s="79"/>
      <c r="BH180" s="286"/>
      <c r="BR180" s="79"/>
      <c r="BS180" s="286"/>
    </row>
    <row r="181" spans="2:71" x14ac:dyDescent="0.25">
      <c r="B181" s="116"/>
      <c r="C181" s="117"/>
      <c r="D181" s="118"/>
      <c r="E181" s="103"/>
      <c r="F181" s="103"/>
      <c r="G181" s="103"/>
      <c r="H181" s="104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79"/>
      <c r="AF181" s="79"/>
      <c r="AG181" s="79"/>
      <c r="AH181" s="79"/>
      <c r="AI181" s="79"/>
      <c r="AJ181" s="80"/>
      <c r="AK181" s="79"/>
      <c r="AL181" s="286"/>
      <c r="AV181" s="79"/>
      <c r="AW181" s="286"/>
      <c r="BG181" s="79"/>
      <c r="BH181" s="286"/>
      <c r="BR181" s="79"/>
      <c r="BS181" s="286"/>
    </row>
    <row r="182" spans="2:71" x14ac:dyDescent="0.25">
      <c r="B182" s="116"/>
      <c r="C182" s="117"/>
      <c r="D182" s="118"/>
      <c r="E182" s="103"/>
      <c r="F182" s="103"/>
      <c r="G182" s="103"/>
      <c r="H182" s="104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79"/>
      <c r="AF182" s="79"/>
      <c r="AG182" s="79"/>
      <c r="AH182" s="79"/>
      <c r="AI182" s="79"/>
      <c r="AJ182" s="80"/>
      <c r="AK182" s="79"/>
      <c r="AL182" s="286"/>
      <c r="AV182" s="79"/>
      <c r="AW182" s="286"/>
      <c r="BG182" s="79"/>
      <c r="BH182" s="286"/>
      <c r="BR182" s="79"/>
      <c r="BS182" s="286"/>
    </row>
    <row r="183" spans="2:71" x14ac:dyDescent="0.25">
      <c r="B183" s="116"/>
      <c r="C183" s="117"/>
      <c r="D183" s="118"/>
      <c r="E183" s="103"/>
      <c r="F183" s="103"/>
      <c r="G183" s="103"/>
      <c r="H183" s="104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79"/>
      <c r="AF183" s="79"/>
      <c r="AG183" s="79"/>
      <c r="AH183" s="79"/>
      <c r="AI183" s="79"/>
      <c r="AJ183" s="80"/>
      <c r="AK183" s="79"/>
      <c r="AL183" s="286"/>
      <c r="AV183" s="79"/>
      <c r="AW183" s="286"/>
      <c r="BG183" s="79"/>
      <c r="BH183" s="286"/>
      <c r="BR183" s="79"/>
      <c r="BS183" s="286"/>
    </row>
    <row r="184" spans="2:71" x14ac:dyDescent="0.25">
      <c r="B184" s="116"/>
      <c r="C184" s="117"/>
      <c r="D184" s="118"/>
      <c r="E184" s="103"/>
      <c r="F184" s="103"/>
      <c r="G184" s="103"/>
      <c r="H184" s="104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79"/>
      <c r="AH184" s="79"/>
      <c r="AI184" s="79"/>
      <c r="AJ184" s="80"/>
      <c r="AK184" s="79"/>
      <c r="AL184" s="286"/>
      <c r="AV184" s="79"/>
      <c r="AW184" s="286"/>
      <c r="BG184" s="79"/>
      <c r="BH184" s="286"/>
      <c r="BR184" s="79"/>
      <c r="BS184" s="286"/>
    </row>
    <row r="185" spans="2:71" x14ac:dyDescent="0.25">
      <c r="B185" s="116"/>
      <c r="C185" s="117"/>
      <c r="D185" s="118"/>
      <c r="E185" s="103"/>
      <c r="F185" s="103"/>
      <c r="G185" s="103"/>
      <c r="H185" s="104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79"/>
      <c r="AF185" s="79"/>
      <c r="AG185" s="79"/>
      <c r="AH185" s="79"/>
      <c r="AI185" s="79"/>
      <c r="AJ185" s="80"/>
      <c r="AK185" s="79"/>
      <c r="AL185" s="286"/>
      <c r="AV185" s="79"/>
      <c r="AW185" s="286"/>
      <c r="BG185" s="79"/>
      <c r="BH185" s="286"/>
      <c r="BR185" s="79"/>
      <c r="BS185" s="286"/>
    </row>
    <row r="186" spans="2:71" x14ac:dyDescent="0.25">
      <c r="B186" s="116"/>
      <c r="C186" s="117"/>
      <c r="D186" s="118"/>
      <c r="E186" s="103"/>
      <c r="F186" s="103"/>
      <c r="G186" s="103"/>
      <c r="H186" s="104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79"/>
      <c r="AF186" s="79"/>
      <c r="AG186" s="79"/>
      <c r="AH186" s="79"/>
      <c r="AI186" s="79"/>
      <c r="AJ186" s="80"/>
      <c r="AK186" s="79"/>
      <c r="AL186" s="286"/>
      <c r="AV186" s="79"/>
      <c r="AW186" s="286"/>
      <c r="BG186" s="79"/>
      <c r="BH186" s="286"/>
      <c r="BR186" s="79"/>
      <c r="BS186" s="286"/>
    </row>
    <row r="187" spans="2:71" x14ac:dyDescent="0.25">
      <c r="B187" s="116"/>
      <c r="C187" s="117"/>
      <c r="D187" s="118"/>
      <c r="E187" s="103"/>
      <c r="F187" s="103"/>
      <c r="G187" s="103"/>
      <c r="H187" s="104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79"/>
      <c r="AF187" s="79"/>
      <c r="AG187" s="79"/>
      <c r="AH187" s="79"/>
      <c r="AI187" s="79"/>
      <c r="AJ187" s="80"/>
      <c r="AK187" s="79"/>
      <c r="AL187" s="286"/>
      <c r="AV187" s="79"/>
      <c r="AW187" s="286"/>
      <c r="BG187" s="79"/>
      <c r="BH187" s="286"/>
      <c r="BR187" s="79"/>
      <c r="BS187" s="286"/>
    </row>
    <row r="188" spans="2:71" x14ac:dyDescent="0.25">
      <c r="B188" s="116"/>
      <c r="C188" s="117"/>
      <c r="D188" s="118"/>
      <c r="E188" s="103"/>
      <c r="F188" s="103"/>
      <c r="G188" s="103"/>
      <c r="H188" s="104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79"/>
      <c r="AF188" s="79"/>
      <c r="AG188" s="79"/>
      <c r="AH188" s="79"/>
      <c r="AI188" s="79"/>
      <c r="AJ188" s="80"/>
      <c r="AK188" s="79"/>
      <c r="AL188" s="286"/>
      <c r="AV188" s="79"/>
      <c r="AW188" s="286"/>
      <c r="BG188" s="79"/>
      <c r="BH188" s="286"/>
      <c r="BR188" s="79"/>
      <c r="BS188" s="286"/>
    </row>
    <row r="189" spans="2:71" x14ac:dyDescent="0.25">
      <c r="B189" s="116"/>
      <c r="C189" s="117"/>
      <c r="D189" s="118"/>
      <c r="E189" s="103"/>
      <c r="F189" s="103"/>
      <c r="G189" s="103"/>
      <c r="H189" s="104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79"/>
      <c r="AF189" s="79"/>
      <c r="AG189" s="79"/>
      <c r="AH189" s="79"/>
      <c r="AI189" s="79"/>
      <c r="AJ189" s="80"/>
      <c r="AK189" s="79"/>
      <c r="AL189" s="286"/>
      <c r="AV189" s="79"/>
      <c r="AW189" s="286"/>
      <c r="BG189" s="79"/>
      <c r="BH189" s="286"/>
      <c r="BR189" s="79"/>
      <c r="BS189" s="286"/>
    </row>
    <row r="190" spans="2:71" x14ac:dyDescent="0.25">
      <c r="B190" s="116"/>
      <c r="C190" s="117"/>
      <c r="D190" s="118"/>
      <c r="E190" s="103"/>
      <c r="F190" s="103"/>
      <c r="G190" s="103"/>
      <c r="H190" s="104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79"/>
      <c r="AF190" s="79"/>
      <c r="AG190" s="79"/>
      <c r="AH190" s="79"/>
      <c r="AI190" s="79"/>
      <c r="AJ190" s="80"/>
      <c r="AK190" s="79"/>
      <c r="AL190" s="286"/>
      <c r="AV190" s="79"/>
      <c r="AW190" s="286"/>
      <c r="BG190" s="79"/>
      <c r="BH190" s="286"/>
      <c r="BR190" s="79"/>
      <c r="BS190" s="286"/>
    </row>
    <row r="191" spans="2:71" x14ac:dyDescent="0.25">
      <c r="B191" s="116"/>
      <c r="C191" s="117"/>
      <c r="D191" s="118"/>
      <c r="E191" s="103"/>
      <c r="F191" s="103"/>
      <c r="G191" s="103"/>
      <c r="H191" s="104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79"/>
      <c r="AF191" s="79"/>
      <c r="AG191" s="79"/>
      <c r="AH191" s="79"/>
      <c r="AI191" s="79"/>
      <c r="AJ191" s="80"/>
      <c r="AK191" s="79"/>
      <c r="AL191" s="286"/>
      <c r="AV191" s="79"/>
      <c r="AW191" s="286"/>
      <c r="BG191" s="79"/>
      <c r="BH191" s="286"/>
      <c r="BR191" s="79"/>
      <c r="BS191" s="286"/>
    </row>
    <row r="192" spans="2:71" x14ac:dyDescent="0.25">
      <c r="B192" s="116"/>
      <c r="C192" s="117"/>
      <c r="D192" s="118"/>
      <c r="E192" s="103"/>
      <c r="F192" s="103"/>
      <c r="G192" s="103"/>
      <c r="H192" s="104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79"/>
      <c r="AF192" s="79"/>
      <c r="AG192" s="79"/>
      <c r="AH192" s="79"/>
      <c r="AI192" s="79"/>
      <c r="AJ192" s="80"/>
      <c r="AK192" s="79"/>
      <c r="AL192" s="286"/>
      <c r="AV192" s="79"/>
      <c r="AW192" s="286"/>
      <c r="BG192" s="79"/>
      <c r="BH192" s="286"/>
      <c r="BR192" s="79"/>
      <c r="BS192" s="286"/>
    </row>
    <row r="193" spans="2:71" x14ac:dyDescent="0.25">
      <c r="B193" s="116"/>
      <c r="C193" s="117"/>
      <c r="D193" s="118"/>
      <c r="E193" s="103"/>
      <c r="F193" s="103"/>
      <c r="G193" s="103"/>
      <c r="H193" s="104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79"/>
      <c r="AF193" s="79"/>
      <c r="AG193" s="79"/>
      <c r="AH193" s="79"/>
      <c r="AI193" s="79"/>
      <c r="AJ193" s="80"/>
      <c r="AK193" s="79"/>
      <c r="AL193" s="286"/>
      <c r="AV193" s="79"/>
      <c r="AW193" s="286"/>
      <c r="BG193" s="79"/>
      <c r="BH193" s="286"/>
      <c r="BR193" s="79"/>
      <c r="BS193" s="286"/>
    </row>
    <row r="194" spans="2:71" x14ac:dyDescent="0.25">
      <c r="B194" s="116"/>
      <c r="C194" s="117"/>
      <c r="D194" s="118"/>
      <c r="E194" s="103"/>
      <c r="F194" s="103"/>
      <c r="G194" s="103"/>
      <c r="H194" s="104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79"/>
      <c r="AF194" s="79"/>
      <c r="AG194" s="79"/>
      <c r="AH194" s="79"/>
      <c r="AI194" s="79"/>
      <c r="AJ194" s="80"/>
      <c r="AK194" s="79"/>
      <c r="AL194" s="286"/>
      <c r="AV194" s="79"/>
      <c r="AW194" s="286"/>
      <c r="BG194" s="79"/>
      <c r="BH194" s="286"/>
      <c r="BR194" s="79"/>
      <c r="BS194" s="286"/>
    </row>
    <row r="195" spans="2:71" x14ac:dyDescent="0.25">
      <c r="B195" s="116"/>
      <c r="C195" s="117"/>
      <c r="D195" s="118"/>
      <c r="E195" s="103"/>
      <c r="F195" s="103"/>
      <c r="G195" s="103"/>
      <c r="H195" s="104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79"/>
      <c r="AF195" s="79"/>
      <c r="AG195" s="79"/>
      <c r="AH195" s="79"/>
      <c r="AI195" s="79"/>
      <c r="AJ195" s="80"/>
      <c r="AK195" s="79"/>
      <c r="AL195" s="286"/>
      <c r="AV195" s="79"/>
      <c r="AW195" s="286"/>
      <c r="BG195" s="79"/>
      <c r="BH195" s="286"/>
      <c r="BR195" s="79"/>
      <c r="BS195" s="286"/>
    </row>
    <row r="196" spans="2:71" x14ac:dyDescent="0.25">
      <c r="B196" s="116"/>
      <c r="C196" s="117"/>
      <c r="D196" s="118"/>
      <c r="E196" s="103"/>
      <c r="F196" s="103"/>
      <c r="G196" s="103"/>
      <c r="H196" s="104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79"/>
      <c r="AF196" s="79"/>
      <c r="AG196" s="79"/>
      <c r="AH196" s="79"/>
      <c r="AI196" s="79"/>
      <c r="AJ196" s="80"/>
      <c r="AK196" s="79"/>
      <c r="AL196" s="286"/>
      <c r="AV196" s="79"/>
      <c r="AW196" s="286"/>
      <c r="BG196" s="79"/>
      <c r="BH196" s="286"/>
      <c r="BR196" s="79"/>
      <c r="BS196" s="286"/>
    </row>
    <row r="197" spans="2:71" x14ac:dyDescent="0.25">
      <c r="B197" s="116"/>
      <c r="C197" s="117"/>
      <c r="D197" s="118"/>
      <c r="E197" s="103"/>
      <c r="F197" s="103"/>
      <c r="G197" s="103"/>
      <c r="H197" s="104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79"/>
      <c r="AF197" s="79"/>
      <c r="AG197" s="79"/>
      <c r="AH197" s="79"/>
      <c r="AI197" s="79"/>
      <c r="AJ197" s="80"/>
      <c r="AK197" s="79"/>
      <c r="AL197" s="286"/>
      <c r="AV197" s="79"/>
      <c r="AW197" s="286"/>
      <c r="BG197" s="79"/>
      <c r="BH197" s="286"/>
      <c r="BR197" s="79"/>
      <c r="BS197" s="286"/>
    </row>
    <row r="198" spans="2:71" x14ac:dyDescent="0.25">
      <c r="B198" s="116"/>
      <c r="C198" s="117"/>
      <c r="D198" s="118"/>
      <c r="E198" s="103"/>
      <c r="F198" s="103"/>
      <c r="G198" s="103"/>
      <c r="H198" s="104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79"/>
      <c r="AF198" s="79"/>
      <c r="AG198" s="79"/>
      <c r="AH198" s="79"/>
      <c r="AI198" s="79"/>
      <c r="AJ198" s="80"/>
      <c r="AK198" s="79"/>
      <c r="AL198" s="286"/>
      <c r="AV198" s="79"/>
      <c r="AW198" s="286"/>
      <c r="BG198" s="79"/>
      <c r="BH198" s="286"/>
      <c r="BR198" s="79"/>
      <c r="BS198" s="286"/>
    </row>
    <row r="199" spans="2:71" x14ac:dyDescent="0.25">
      <c r="B199" s="116"/>
      <c r="C199" s="117"/>
      <c r="D199" s="118"/>
      <c r="E199" s="103"/>
      <c r="F199" s="103"/>
      <c r="G199" s="103"/>
      <c r="H199" s="104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79"/>
      <c r="AF199" s="79"/>
      <c r="AG199" s="79"/>
      <c r="AH199" s="79"/>
      <c r="AI199" s="79"/>
      <c r="AJ199" s="80"/>
      <c r="AK199" s="79"/>
      <c r="AL199" s="286"/>
      <c r="AV199" s="79"/>
      <c r="AW199" s="286"/>
      <c r="BG199" s="79"/>
      <c r="BH199" s="286"/>
      <c r="BR199" s="79"/>
      <c r="BS199" s="286"/>
    </row>
    <row r="200" spans="2:71" x14ac:dyDescent="0.25">
      <c r="B200" s="116"/>
      <c r="C200" s="117"/>
      <c r="D200" s="118"/>
      <c r="E200" s="103"/>
      <c r="F200" s="103"/>
      <c r="G200" s="103"/>
      <c r="H200" s="104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79"/>
      <c r="AF200" s="79"/>
      <c r="AG200" s="79"/>
      <c r="AH200" s="79"/>
      <c r="AI200" s="79"/>
      <c r="AJ200" s="80"/>
      <c r="AK200" s="79"/>
      <c r="AL200" s="286"/>
      <c r="AV200" s="79"/>
      <c r="AW200" s="286"/>
      <c r="BG200" s="79"/>
      <c r="BH200" s="286"/>
      <c r="BR200" s="79"/>
      <c r="BS200" s="286"/>
    </row>
    <row r="201" spans="2:71" x14ac:dyDescent="0.25">
      <c r="B201" s="116"/>
      <c r="C201" s="117"/>
      <c r="D201" s="118"/>
      <c r="E201" s="103"/>
      <c r="F201" s="103"/>
      <c r="G201" s="103"/>
      <c r="H201" s="104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79"/>
      <c r="AF201" s="79"/>
      <c r="AG201" s="79"/>
      <c r="AH201" s="79"/>
      <c r="AI201" s="79"/>
      <c r="AJ201" s="80"/>
      <c r="AK201" s="79"/>
      <c r="AL201" s="286"/>
      <c r="AV201" s="79"/>
      <c r="AW201" s="286"/>
      <c r="BG201" s="79"/>
      <c r="BH201" s="286"/>
      <c r="BR201" s="79"/>
      <c r="BS201" s="286"/>
    </row>
    <row r="202" spans="2:71" x14ac:dyDescent="0.25">
      <c r="B202" s="116"/>
      <c r="C202" s="117"/>
      <c r="D202" s="118"/>
      <c r="E202" s="103"/>
      <c r="F202" s="103"/>
      <c r="G202" s="103"/>
      <c r="H202" s="104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79"/>
      <c r="AF202" s="79"/>
      <c r="AG202" s="79"/>
      <c r="AH202" s="79"/>
      <c r="AI202" s="79"/>
      <c r="AJ202" s="80"/>
      <c r="AK202" s="79"/>
      <c r="AL202" s="286"/>
      <c r="AV202" s="79"/>
      <c r="AW202" s="286"/>
      <c r="BG202" s="79"/>
      <c r="BH202" s="286"/>
      <c r="BR202" s="79"/>
      <c r="BS202" s="286"/>
    </row>
    <row r="203" spans="2:71" x14ac:dyDescent="0.25">
      <c r="B203" s="116"/>
      <c r="C203" s="117"/>
      <c r="D203" s="118"/>
      <c r="E203" s="103"/>
      <c r="F203" s="103"/>
      <c r="G203" s="103"/>
      <c r="H203" s="104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79"/>
      <c r="AF203" s="79"/>
      <c r="AG203" s="79"/>
      <c r="AH203" s="79"/>
      <c r="AI203" s="79"/>
      <c r="AJ203" s="80"/>
      <c r="AK203" s="79"/>
      <c r="AL203" s="286"/>
      <c r="AV203" s="79"/>
      <c r="AW203" s="286"/>
      <c r="BG203" s="79"/>
      <c r="BH203" s="286"/>
      <c r="BR203" s="79"/>
      <c r="BS203" s="286"/>
    </row>
    <row r="204" spans="2:71" x14ac:dyDescent="0.25">
      <c r="B204" s="116"/>
      <c r="C204" s="117"/>
      <c r="D204" s="118"/>
      <c r="E204" s="103"/>
      <c r="F204" s="103"/>
      <c r="G204" s="103"/>
      <c r="H204" s="104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79"/>
      <c r="AF204" s="79"/>
      <c r="AG204" s="79"/>
      <c r="AH204" s="79"/>
      <c r="AI204" s="79"/>
      <c r="AJ204" s="80"/>
      <c r="AK204" s="79"/>
      <c r="AL204" s="286"/>
      <c r="AV204" s="79"/>
      <c r="AW204" s="286"/>
      <c r="BG204" s="79"/>
      <c r="BH204" s="286"/>
      <c r="BR204" s="79"/>
      <c r="BS204" s="286"/>
    </row>
    <row r="205" spans="2:71" x14ac:dyDescent="0.25">
      <c r="B205" s="116"/>
      <c r="C205" s="117"/>
      <c r="D205" s="118"/>
      <c r="E205" s="103"/>
      <c r="F205" s="103"/>
      <c r="G205" s="103"/>
      <c r="H205" s="104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79"/>
      <c r="AF205" s="79"/>
      <c r="AG205" s="79"/>
      <c r="AH205" s="79"/>
      <c r="AI205" s="79"/>
      <c r="AJ205" s="80"/>
      <c r="AK205" s="79"/>
      <c r="AL205" s="286"/>
      <c r="AV205" s="79"/>
      <c r="AW205" s="286"/>
      <c r="BG205" s="79"/>
      <c r="BH205" s="286"/>
      <c r="BR205" s="79"/>
      <c r="BS205" s="286"/>
    </row>
    <row r="206" spans="2:71" x14ac:dyDescent="0.25">
      <c r="B206" s="116"/>
      <c r="C206" s="117"/>
      <c r="D206" s="118"/>
      <c r="E206" s="103"/>
      <c r="F206" s="103"/>
      <c r="G206" s="103"/>
      <c r="H206" s="104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79"/>
      <c r="AF206" s="79"/>
      <c r="AG206" s="79"/>
      <c r="AH206" s="79"/>
      <c r="AI206" s="79"/>
      <c r="AJ206" s="80"/>
      <c r="AK206" s="79"/>
      <c r="AL206" s="286"/>
      <c r="AV206" s="79"/>
      <c r="AW206" s="286"/>
      <c r="BG206" s="79"/>
      <c r="BH206" s="286"/>
      <c r="BR206" s="79"/>
      <c r="BS206" s="286"/>
    </row>
    <row r="207" spans="2:71" x14ac:dyDescent="0.25">
      <c r="B207" s="116"/>
      <c r="C207" s="117"/>
      <c r="D207" s="118"/>
      <c r="E207" s="103"/>
      <c r="F207" s="103"/>
      <c r="G207" s="103"/>
      <c r="H207" s="104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79"/>
      <c r="AF207" s="79"/>
      <c r="AG207" s="79"/>
      <c r="AH207" s="79"/>
      <c r="AI207" s="79"/>
      <c r="AJ207" s="80"/>
      <c r="AK207" s="79"/>
      <c r="AL207" s="286"/>
      <c r="AV207" s="79"/>
      <c r="AW207" s="286"/>
      <c r="BG207" s="79"/>
      <c r="BH207" s="286"/>
      <c r="BR207" s="79"/>
      <c r="BS207" s="286"/>
    </row>
    <row r="208" spans="2:71" x14ac:dyDescent="0.25">
      <c r="B208" s="116"/>
      <c r="C208" s="117"/>
      <c r="D208" s="118"/>
      <c r="E208" s="103"/>
      <c r="F208" s="103"/>
      <c r="G208" s="103"/>
      <c r="H208" s="104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79"/>
      <c r="AF208" s="79"/>
      <c r="AG208" s="79"/>
      <c r="AH208" s="79"/>
      <c r="AI208" s="79"/>
      <c r="AJ208" s="80"/>
      <c r="AK208" s="79"/>
      <c r="AL208" s="286"/>
      <c r="AV208" s="79"/>
      <c r="AW208" s="286"/>
      <c r="BG208" s="79"/>
      <c r="BH208" s="286"/>
      <c r="BR208" s="79"/>
      <c r="BS208" s="286"/>
    </row>
    <row r="209" spans="2:71" x14ac:dyDescent="0.25">
      <c r="B209" s="119"/>
      <c r="C209" s="127"/>
      <c r="D209" s="118"/>
      <c r="E209" s="103"/>
      <c r="F209" s="103"/>
      <c r="G209" s="103"/>
      <c r="H209" s="104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79"/>
      <c r="AF209" s="79"/>
      <c r="AG209" s="79"/>
      <c r="AH209" s="79"/>
      <c r="AI209" s="79"/>
      <c r="AJ209" s="80"/>
      <c r="AK209" s="79"/>
      <c r="AL209" s="286"/>
      <c r="AV209" s="79"/>
      <c r="AW209" s="286"/>
      <c r="BG209" s="79"/>
      <c r="BH209" s="286"/>
      <c r="BR209" s="79"/>
      <c r="BS209" s="286"/>
    </row>
    <row r="210" spans="2:71" x14ac:dyDescent="0.25">
      <c r="B210" s="119"/>
      <c r="C210" s="127"/>
      <c r="D210" s="118"/>
      <c r="E210" s="103"/>
      <c r="F210" s="103"/>
      <c r="G210" s="103"/>
      <c r="H210" s="104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79"/>
      <c r="AF210" s="79"/>
      <c r="AG210" s="79"/>
      <c r="AH210" s="79"/>
      <c r="AI210" s="79"/>
      <c r="AJ210" s="80"/>
      <c r="AK210" s="79"/>
      <c r="AL210" s="286"/>
      <c r="AV210" s="79"/>
      <c r="AW210" s="286"/>
      <c r="BG210" s="79"/>
      <c r="BH210" s="286"/>
      <c r="BR210" s="79"/>
      <c r="BS210" s="286"/>
    </row>
    <row r="211" spans="2:71" x14ac:dyDescent="0.25">
      <c r="B211" s="119"/>
      <c r="C211" s="127"/>
      <c r="D211" s="118"/>
      <c r="E211" s="103"/>
      <c r="F211" s="103"/>
      <c r="G211" s="103"/>
      <c r="H211" s="104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79"/>
      <c r="AF211" s="79"/>
      <c r="AG211" s="79"/>
      <c r="AH211" s="79"/>
      <c r="AI211" s="79"/>
      <c r="AJ211" s="80"/>
      <c r="AK211" s="79"/>
      <c r="AL211" s="286"/>
      <c r="AV211" s="79"/>
      <c r="AW211" s="286"/>
      <c r="BG211" s="79"/>
      <c r="BH211" s="286"/>
      <c r="BR211" s="79"/>
      <c r="BS211" s="286"/>
    </row>
    <row r="212" spans="2:71" x14ac:dyDescent="0.25">
      <c r="B212" s="119"/>
      <c r="C212" s="127"/>
      <c r="D212" s="118"/>
      <c r="E212" s="103"/>
      <c r="F212" s="103"/>
      <c r="G212" s="103"/>
      <c r="H212" s="104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79"/>
      <c r="AF212" s="79"/>
      <c r="AG212" s="79"/>
      <c r="AH212" s="79"/>
      <c r="AI212" s="79"/>
      <c r="AJ212" s="80"/>
      <c r="AK212" s="79"/>
      <c r="AL212" s="286"/>
      <c r="AV212" s="79"/>
      <c r="AW212" s="286"/>
      <c r="BG212" s="79"/>
      <c r="BH212" s="286"/>
      <c r="BR212" s="79"/>
      <c r="BS212" s="286"/>
    </row>
    <row r="213" spans="2:71" x14ac:dyDescent="0.25">
      <c r="B213" s="119"/>
      <c r="C213" s="127"/>
      <c r="D213" s="118"/>
      <c r="E213" s="103"/>
      <c r="F213" s="103"/>
      <c r="G213" s="103"/>
      <c r="H213" s="104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79"/>
      <c r="AF213" s="79"/>
      <c r="AG213" s="79"/>
      <c r="AH213" s="79"/>
      <c r="AI213" s="79"/>
      <c r="AJ213" s="80"/>
      <c r="AK213" s="79"/>
      <c r="AL213" s="286"/>
      <c r="AV213" s="79"/>
      <c r="AW213" s="286"/>
      <c r="BG213" s="79"/>
      <c r="BH213" s="286"/>
      <c r="BR213" s="79"/>
      <c r="BS213" s="286"/>
    </row>
    <row r="214" spans="2:71" x14ac:dyDescent="0.25">
      <c r="B214" s="119"/>
      <c r="C214" s="127"/>
      <c r="D214" s="118"/>
      <c r="E214" s="103"/>
      <c r="F214" s="103"/>
      <c r="G214" s="103"/>
      <c r="H214" s="104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79"/>
      <c r="AF214" s="79"/>
      <c r="AG214" s="79"/>
      <c r="AH214" s="79"/>
      <c r="AI214" s="79"/>
      <c r="AJ214" s="80"/>
      <c r="AK214" s="79"/>
      <c r="AL214" s="286"/>
      <c r="AV214" s="79"/>
      <c r="AW214" s="286"/>
      <c r="BG214" s="79"/>
      <c r="BH214" s="286"/>
      <c r="BR214" s="79"/>
      <c r="BS214" s="286"/>
    </row>
    <row r="215" spans="2:71" x14ac:dyDescent="0.25">
      <c r="B215" s="119"/>
      <c r="C215" s="127"/>
      <c r="D215" s="118"/>
      <c r="E215" s="103"/>
      <c r="F215" s="103"/>
      <c r="G215" s="103"/>
      <c r="H215" s="104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79"/>
      <c r="AF215" s="79"/>
      <c r="AG215" s="79"/>
      <c r="AH215" s="79"/>
      <c r="AI215" s="79"/>
      <c r="AJ215" s="80"/>
      <c r="AK215" s="79"/>
      <c r="AL215" s="286"/>
      <c r="AV215" s="79"/>
      <c r="AW215" s="286"/>
      <c r="BG215" s="79"/>
      <c r="BH215" s="286"/>
      <c r="BR215" s="79"/>
      <c r="BS215" s="286"/>
    </row>
    <row r="216" spans="2:71" x14ac:dyDescent="0.25">
      <c r="B216" s="119"/>
      <c r="C216" s="127"/>
      <c r="D216" s="118"/>
      <c r="E216" s="103"/>
      <c r="F216" s="103"/>
      <c r="G216" s="103"/>
      <c r="H216" s="104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79"/>
      <c r="AF216" s="79"/>
      <c r="AG216" s="79"/>
      <c r="AH216" s="79"/>
      <c r="AI216" s="79"/>
      <c r="AJ216" s="80"/>
      <c r="AK216" s="79"/>
      <c r="AL216" s="286"/>
      <c r="AV216" s="79"/>
      <c r="AW216" s="286"/>
      <c r="BG216" s="79"/>
      <c r="BH216" s="286"/>
      <c r="BR216" s="79"/>
      <c r="BS216" s="286"/>
    </row>
    <row r="217" spans="2:71" x14ac:dyDescent="0.25">
      <c r="B217" s="119"/>
      <c r="C217" s="127"/>
      <c r="D217" s="118"/>
      <c r="E217" s="103"/>
      <c r="F217" s="103"/>
      <c r="G217" s="103"/>
      <c r="H217" s="104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79"/>
      <c r="AF217" s="79"/>
      <c r="AG217" s="79"/>
      <c r="AH217" s="79"/>
      <c r="AI217" s="79"/>
      <c r="AJ217" s="80"/>
      <c r="AK217" s="79"/>
      <c r="AL217" s="286"/>
      <c r="AV217" s="79"/>
      <c r="AW217" s="286"/>
      <c r="BG217" s="79"/>
      <c r="BH217" s="286"/>
      <c r="BR217" s="79"/>
      <c r="BS217" s="286"/>
    </row>
    <row r="218" spans="2:71" x14ac:dyDescent="0.25">
      <c r="B218" s="119"/>
      <c r="C218" s="127"/>
      <c r="D218" s="118"/>
      <c r="E218" s="103"/>
      <c r="F218" s="103"/>
      <c r="G218" s="103"/>
      <c r="H218" s="104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79"/>
      <c r="AF218" s="79"/>
      <c r="AG218" s="79"/>
      <c r="AH218" s="79"/>
      <c r="AI218" s="79"/>
      <c r="AJ218" s="80"/>
      <c r="AK218" s="79"/>
      <c r="AL218" s="286"/>
      <c r="AV218" s="79"/>
      <c r="AW218" s="286"/>
      <c r="BG218" s="79"/>
      <c r="BH218" s="286"/>
      <c r="BR218" s="79"/>
      <c r="BS218" s="286"/>
    </row>
    <row r="219" spans="2:71" x14ac:dyDescent="0.25">
      <c r="B219" s="119"/>
      <c r="C219" s="127"/>
      <c r="D219" s="118"/>
      <c r="E219" s="103"/>
      <c r="F219" s="103"/>
      <c r="G219" s="103"/>
      <c r="H219" s="104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79"/>
      <c r="AF219" s="79"/>
      <c r="AG219" s="79"/>
      <c r="AH219" s="79"/>
      <c r="AI219" s="79"/>
      <c r="AJ219" s="80"/>
      <c r="AK219" s="79"/>
      <c r="AL219" s="286"/>
      <c r="AV219" s="79"/>
      <c r="AW219" s="286"/>
      <c r="BG219" s="79"/>
      <c r="BH219" s="286"/>
      <c r="BR219" s="79"/>
      <c r="BS219" s="286"/>
    </row>
    <row r="220" spans="2:71" x14ac:dyDescent="0.25">
      <c r="B220" s="119"/>
      <c r="C220" s="127"/>
      <c r="D220" s="118"/>
      <c r="E220" s="103"/>
      <c r="F220" s="103"/>
      <c r="G220" s="103"/>
      <c r="H220" s="104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79"/>
      <c r="AF220" s="79"/>
      <c r="AG220" s="79"/>
      <c r="AH220" s="79"/>
      <c r="AI220" s="79"/>
      <c r="AJ220" s="80"/>
      <c r="AK220" s="79"/>
      <c r="AL220" s="286"/>
      <c r="AV220" s="79"/>
      <c r="AW220" s="286"/>
      <c r="BG220" s="79"/>
      <c r="BH220" s="286"/>
      <c r="BR220" s="79"/>
      <c r="BS220" s="286"/>
    </row>
    <row r="221" spans="2:71" x14ac:dyDescent="0.25">
      <c r="B221" s="119"/>
      <c r="C221" s="127"/>
      <c r="D221" s="118"/>
      <c r="E221" s="103"/>
      <c r="F221" s="103"/>
      <c r="G221" s="103"/>
      <c r="H221" s="104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79"/>
      <c r="AF221" s="79"/>
      <c r="AG221" s="79"/>
      <c r="AH221" s="79"/>
      <c r="AI221" s="79"/>
      <c r="AJ221" s="80"/>
      <c r="AK221" s="79"/>
      <c r="AL221" s="286"/>
      <c r="AV221" s="79"/>
      <c r="AW221" s="286"/>
      <c r="BG221" s="79"/>
      <c r="BH221" s="286"/>
      <c r="BR221" s="79"/>
      <c r="BS221" s="286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ColWidth="9.109375" defaultRowHeight="13.2" x14ac:dyDescent="0.25"/>
  <cols>
    <col min="1" max="1" width="8.44140625" style="79" bestFit="1" customWidth="1"/>
    <col min="2" max="3" width="5.33203125" style="79" bestFit="1" customWidth="1"/>
    <col min="4" max="4" width="5" style="79" bestFit="1" customWidth="1"/>
    <col min="5" max="5" width="5.33203125" style="79" bestFit="1" customWidth="1"/>
    <col min="6" max="6" width="5" style="79" bestFit="1" customWidth="1"/>
    <col min="7" max="7" width="5.33203125" style="79" bestFit="1" customWidth="1"/>
    <col min="8" max="8" width="6" style="79" bestFit="1" customWidth="1"/>
    <col min="9" max="9" width="5.44140625" style="79" bestFit="1" customWidth="1"/>
    <col min="10" max="10" width="6" style="79" bestFit="1" customWidth="1"/>
    <col min="11" max="12" width="5.33203125" style="79" bestFit="1" customWidth="1"/>
    <col min="13" max="14" width="4.88671875" style="79" bestFit="1" customWidth="1"/>
    <col min="15" max="15" width="5.33203125" style="79" bestFit="1" customWidth="1"/>
    <col min="16" max="16" width="5.5546875" style="79" bestFit="1" customWidth="1"/>
    <col min="17" max="17" width="6.44140625" style="79" bestFit="1" customWidth="1"/>
    <col min="18" max="18" width="5.5546875" style="79" bestFit="1" customWidth="1"/>
    <col min="19" max="21" width="6.44140625" style="79" bestFit="1" customWidth="1"/>
    <col min="22" max="16384" width="9.109375" style="201"/>
  </cols>
  <sheetData>
    <row r="1" spans="1:34" customFormat="1" ht="13.8" thickBot="1" x14ac:dyDescent="0.3">
      <c r="A1" s="345" t="s">
        <v>260</v>
      </c>
      <c r="B1" s="346">
        <v>-5</v>
      </c>
      <c r="C1" s="347">
        <v>-4</v>
      </c>
      <c r="D1" s="348">
        <v>-3.5</v>
      </c>
      <c r="E1" s="348">
        <v>-3</v>
      </c>
      <c r="F1" s="348">
        <v>-2.5</v>
      </c>
      <c r="G1" s="348">
        <v>-2</v>
      </c>
      <c r="H1" s="348">
        <v>-1.5</v>
      </c>
      <c r="I1" s="348">
        <v>-1</v>
      </c>
      <c r="J1" s="348">
        <v>-0.5</v>
      </c>
      <c r="K1" s="348">
        <v>0</v>
      </c>
      <c r="L1" s="348">
        <v>0.5</v>
      </c>
      <c r="M1" s="348">
        <v>1</v>
      </c>
      <c r="N1" s="348">
        <v>1.5</v>
      </c>
      <c r="O1" s="348">
        <v>2</v>
      </c>
      <c r="P1" s="348">
        <v>2.5</v>
      </c>
      <c r="Q1" s="348">
        <v>3</v>
      </c>
      <c r="R1" s="348">
        <v>4</v>
      </c>
      <c r="S1" s="348">
        <v>5</v>
      </c>
      <c r="T1" s="349">
        <v>10</v>
      </c>
      <c r="U1" s="350">
        <v>40</v>
      </c>
    </row>
    <row r="2" spans="1:34" customFormat="1" x14ac:dyDescent="0.25">
      <c r="A2" s="351">
        <v>37226</v>
      </c>
      <c r="B2" s="352">
        <v>4.5</v>
      </c>
      <c r="C2" s="353">
        <v>3.5</v>
      </c>
      <c r="D2" s="354">
        <v>2.25</v>
      </c>
      <c r="E2" s="355">
        <v>1.25</v>
      </c>
      <c r="F2" s="356">
        <v>0.5</v>
      </c>
      <c r="G2" s="356">
        <v>0.25</v>
      </c>
      <c r="H2" s="355">
        <v>0</v>
      </c>
      <c r="I2" s="356">
        <v>-0.25</v>
      </c>
      <c r="J2" s="355">
        <v>-0.25</v>
      </c>
      <c r="K2" s="355">
        <v>0</v>
      </c>
      <c r="L2" s="355">
        <v>2.25</v>
      </c>
      <c r="M2" s="356">
        <v>4.5</v>
      </c>
      <c r="N2" s="356">
        <v>6.75</v>
      </c>
      <c r="O2" s="355">
        <v>9</v>
      </c>
      <c r="P2" s="356">
        <v>11.25</v>
      </c>
      <c r="Q2" s="355">
        <v>13.5</v>
      </c>
      <c r="R2" s="356">
        <v>18</v>
      </c>
      <c r="S2" s="357">
        <v>20.25</v>
      </c>
      <c r="T2" s="358">
        <v>25</v>
      </c>
      <c r="U2" s="353">
        <v>50</v>
      </c>
    </row>
    <row r="3" spans="1:34" customFormat="1" x14ac:dyDescent="0.25">
      <c r="A3" s="351">
        <v>37257</v>
      </c>
      <c r="B3" s="359">
        <v>4.5</v>
      </c>
      <c r="C3" s="360">
        <v>3.5</v>
      </c>
      <c r="D3" s="354">
        <v>2.25</v>
      </c>
      <c r="E3" s="355">
        <v>1.25</v>
      </c>
      <c r="F3" s="356">
        <v>0.25</v>
      </c>
      <c r="G3" s="356">
        <v>-0.25</v>
      </c>
      <c r="H3" s="361">
        <v>-0.75</v>
      </c>
      <c r="I3" s="356">
        <v>-1.5</v>
      </c>
      <c r="J3" s="361">
        <v>-0.75</v>
      </c>
      <c r="K3" s="361">
        <v>0</v>
      </c>
      <c r="L3" s="361">
        <v>2.25</v>
      </c>
      <c r="M3" s="356">
        <v>4.5</v>
      </c>
      <c r="N3" s="356">
        <v>6.75</v>
      </c>
      <c r="O3" s="361">
        <v>9</v>
      </c>
      <c r="P3" s="356">
        <v>11.25</v>
      </c>
      <c r="Q3" s="361">
        <v>13.5</v>
      </c>
      <c r="R3" s="356">
        <v>18</v>
      </c>
      <c r="S3" s="362">
        <v>20.25</v>
      </c>
      <c r="T3" s="363">
        <v>25</v>
      </c>
      <c r="U3" s="360">
        <v>50</v>
      </c>
    </row>
    <row r="4" spans="1:34" customFormat="1" x14ac:dyDescent="0.25">
      <c r="A4" s="351">
        <v>37288</v>
      </c>
      <c r="B4" s="359">
        <v>4.5</v>
      </c>
      <c r="C4" s="360">
        <v>3.5</v>
      </c>
      <c r="D4" s="354">
        <v>2.25</v>
      </c>
      <c r="E4" s="355">
        <v>1.25</v>
      </c>
      <c r="F4" s="356">
        <v>0.25</v>
      </c>
      <c r="G4" s="356">
        <v>-0.25</v>
      </c>
      <c r="H4" s="361">
        <v>-0.75</v>
      </c>
      <c r="I4" s="356">
        <v>-1.5</v>
      </c>
      <c r="J4" s="361">
        <v>-0.75</v>
      </c>
      <c r="K4" s="361">
        <v>0</v>
      </c>
      <c r="L4" s="361">
        <v>2.25</v>
      </c>
      <c r="M4" s="356">
        <v>4.5</v>
      </c>
      <c r="N4" s="356">
        <v>6.75</v>
      </c>
      <c r="O4" s="361">
        <v>9</v>
      </c>
      <c r="P4" s="356">
        <v>11.25</v>
      </c>
      <c r="Q4" s="361">
        <v>13.5</v>
      </c>
      <c r="R4" s="356">
        <v>18</v>
      </c>
      <c r="S4" s="362">
        <v>20.25</v>
      </c>
      <c r="T4" s="363">
        <v>25</v>
      </c>
      <c r="U4" s="360">
        <v>50</v>
      </c>
    </row>
    <row r="5" spans="1:34" customFormat="1" x14ac:dyDescent="0.25">
      <c r="A5" s="351">
        <v>37316</v>
      </c>
      <c r="B5" s="359">
        <v>4.5</v>
      </c>
      <c r="C5" s="360">
        <v>3.5</v>
      </c>
      <c r="D5" s="354">
        <v>2.25</v>
      </c>
      <c r="E5" s="355">
        <v>1.25</v>
      </c>
      <c r="F5" s="356">
        <v>0.25</v>
      </c>
      <c r="G5" s="356">
        <v>-0.25</v>
      </c>
      <c r="H5" s="361">
        <v>-0.75</v>
      </c>
      <c r="I5" s="356">
        <v>-1.5</v>
      </c>
      <c r="J5" s="361">
        <v>-0.75</v>
      </c>
      <c r="K5" s="361">
        <v>0</v>
      </c>
      <c r="L5" s="361">
        <v>2.25</v>
      </c>
      <c r="M5" s="356">
        <v>4.5</v>
      </c>
      <c r="N5" s="356">
        <v>6.75</v>
      </c>
      <c r="O5" s="361">
        <v>9</v>
      </c>
      <c r="P5" s="356">
        <v>11.25</v>
      </c>
      <c r="Q5" s="361">
        <v>13.5</v>
      </c>
      <c r="R5" s="356">
        <v>18</v>
      </c>
      <c r="S5" s="362">
        <v>20.25</v>
      </c>
      <c r="T5" s="363">
        <v>25</v>
      </c>
      <c r="U5" s="360">
        <v>50</v>
      </c>
    </row>
    <row r="6" spans="1:34" customFormat="1" x14ac:dyDescent="0.25">
      <c r="A6" s="351">
        <v>37347</v>
      </c>
      <c r="B6" s="359">
        <v>4</v>
      </c>
      <c r="C6" s="360">
        <v>3</v>
      </c>
      <c r="D6" s="354">
        <v>1.5</v>
      </c>
      <c r="E6" s="355">
        <v>0.5</v>
      </c>
      <c r="F6" s="356">
        <v>0.1</v>
      </c>
      <c r="G6" s="356">
        <v>-0.25</v>
      </c>
      <c r="H6" s="361">
        <v>-0.75</v>
      </c>
      <c r="I6" s="356">
        <v>-1.25</v>
      </c>
      <c r="J6" s="361">
        <v>-0.75</v>
      </c>
      <c r="K6" s="361">
        <v>0</v>
      </c>
      <c r="L6" s="361">
        <v>2</v>
      </c>
      <c r="M6" s="356">
        <v>2.75</v>
      </c>
      <c r="N6" s="356">
        <v>3.5</v>
      </c>
      <c r="O6" s="361">
        <v>4.5</v>
      </c>
      <c r="P6" s="356">
        <v>5.5</v>
      </c>
      <c r="Q6" s="361">
        <v>6.5</v>
      </c>
      <c r="R6" s="356">
        <v>7.5</v>
      </c>
      <c r="S6" s="362">
        <v>8.5</v>
      </c>
      <c r="T6" s="364">
        <v>11</v>
      </c>
      <c r="U6" s="365">
        <v>29</v>
      </c>
      <c r="AG6" s="201"/>
      <c r="AH6" s="201"/>
    </row>
    <row r="7" spans="1:34" customFormat="1" x14ac:dyDescent="0.25">
      <c r="A7" s="351">
        <v>37377</v>
      </c>
      <c r="B7" s="359">
        <v>3</v>
      </c>
      <c r="C7" s="360">
        <v>2</v>
      </c>
      <c r="D7" s="354">
        <v>1</v>
      </c>
      <c r="E7" s="355">
        <v>0.75</v>
      </c>
      <c r="F7" s="356">
        <v>0.25</v>
      </c>
      <c r="G7" s="356">
        <v>-0.25</v>
      </c>
      <c r="H7" s="361">
        <v>-0.75</v>
      </c>
      <c r="I7" s="356">
        <v>-1</v>
      </c>
      <c r="J7" s="361">
        <v>-0.7</v>
      </c>
      <c r="K7" s="361">
        <v>0</v>
      </c>
      <c r="L7" s="361">
        <v>1.75</v>
      </c>
      <c r="M7" s="356">
        <v>2.5</v>
      </c>
      <c r="N7" s="356">
        <v>3.25</v>
      </c>
      <c r="O7" s="361">
        <v>4.25</v>
      </c>
      <c r="P7" s="356">
        <v>5.25</v>
      </c>
      <c r="Q7" s="361">
        <v>6</v>
      </c>
      <c r="R7" s="356">
        <v>7</v>
      </c>
      <c r="S7" s="362">
        <v>8</v>
      </c>
      <c r="T7" s="363">
        <v>9</v>
      </c>
      <c r="U7" s="360">
        <v>29</v>
      </c>
    </row>
    <row r="8" spans="1:34" customFormat="1" x14ac:dyDescent="0.25">
      <c r="A8" s="351">
        <v>37408</v>
      </c>
      <c r="B8" s="359">
        <v>3</v>
      </c>
      <c r="C8" s="360">
        <v>2</v>
      </c>
      <c r="D8" s="354">
        <v>1</v>
      </c>
      <c r="E8" s="355">
        <v>0.75</v>
      </c>
      <c r="F8" s="356">
        <v>0.25</v>
      </c>
      <c r="G8" s="356">
        <v>-0.25</v>
      </c>
      <c r="H8" s="361">
        <v>-0.75</v>
      </c>
      <c r="I8" s="356">
        <v>-1</v>
      </c>
      <c r="J8" s="361">
        <v>-0.7</v>
      </c>
      <c r="K8" s="361">
        <v>0</v>
      </c>
      <c r="L8" s="361">
        <v>1.75</v>
      </c>
      <c r="M8" s="356">
        <v>2.5</v>
      </c>
      <c r="N8" s="356">
        <v>3.25</v>
      </c>
      <c r="O8" s="361">
        <v>4.25</v>
      </c>
      <c r="P8" s="356">
        <v>5.25</v>
      </c>
      <c r="Q8" s="361">
        <v>6</v>
      </c>
      <c r="R8" s="356">
        <v>7</v>
      </c>
      <c r="S8" s="362">
        <v>8</v>
      </c>
      <c r="T8" s="363">
        <v>9</v>
      </c>
      <c r="U8" s="360">
        <v>29</v>
      </c>
    </row>
    <row r="9" spans="1:34" customFormat="1" x14ac:dyDescent="0.25">
      <c r="A9" s="351">
        <v>37438</v>
      </c>
      <c r="B9" s="359">
        <v>3</v>
      </c>
      <c r="C9" s="360">
        <v>2</v>
      </c>
      <c r="D9" s="354">
        <v>1</v>
      </c>
      <c r="E9" s="355">
        <v>0.75</v>
      </c>
      <c r="F9" s="356">
        <v>0.25</v>
      </c>
      <c r="G9" s="356">
        <v>-0.25</v>
      </c>
      <c r="H9" s="361">
        <v>-0.75</v>
      </c>
      <c r="I9" s="356">
        <v>-1</v>
      </c>
      <c r="J9" s="361">
        <v>-0.7</v>
      </c>
      <c r="K9" s="361">
        <v>0</v>
      </c>
      <c r="L9" s="361">
        <v>1.75</v>
      </c>
      <c r="M9" s="356">
        <v>2.5</v>
      </c>
      <c r="N9" s="356">
        <v>3.25</v>
      </c>
      <c r="O9" s="361">
        <v>4.25</v>
      </c>
      <c r="P9" s="356">
        <v>5.25</v>
      </c>
      <c r="Q9" s="361">
        <v>6</v>
      </c>
      <c r="R9" s="356">
        <v>7</v>
      </c>
      <c r="S9" s="362">
        <v>8</v>
      </c>
      <c r="T9" s="363">
        <v>9</v>
      </c>
      <c r="U9" s="360">
        <v>29</v>
      </c>
    </row>
    <row r="10" spans="1:34" customFormat="1" ht="13.8" thickBot="1" x14ac:dyDescent="0.3">
      <c r="A10" s="351">
        <v>37469</v>
      </c>
      <c r="B10" s="359">
        <v>3</v>
      </c>
      <c r="C10" s="360">
        <v>2</v>
      </c>
      <c r="D10" s="354">
        <v>1</v>
      </c>
      <c r="E10" s="355">
        <v>0.75</v>
      </c>
      <c r="F10" s="356">
        <v>0.25</v>
      </c>
      <c r="G10" s="356">
        <v>-0.25</v>
      </c>
      <c r="H10" s="361">
        <v>-0.75</v>
      </c>
      <c r="I10" s="356">
        <v>-1</v>
      </c>
      <c r="J10" s="361">
        <v>-0.7</v>
      </c>
      <c r="K10" s="361">
        <v>0</v>
      </c>
      <c r="L10" s="361">
        <v>1.75</v>
      </c>
      <c r="M10" s="356">
        <v>2.5</v>
      </c>
      <c r="N10" s="356">
        <v>3.25</v>
      </c>
      <c r="O10" s="361">
        <v>4.25</v>
      </c>
      <c r="P10" s="356">
        <v>5.25</v>
      </c>
      <c r="Q10" s="361">
        <v>6</v>
      </c>
      <c r="R10" s="356">
        <v>7</v>
      </c>
      <c r="S10" s="362">
        <v>8</v>
      </c>
      <c r="T10" s="363">
        <v>9</v>
      </c>
      <c r="U10" s="360">
        <v>29</v>
      </c>
    </row>
    <row r="11" spans="1:34" customFormat="1" ht="13.5" customHeight="1" thickBot="1" x14ac:dyDescent="0.35">
      <c r="A11" s="366">
        <v>37500</v>
      </c>
      <c r="B11" s="367">
        <v>3</v>
      </c>
      <c r="C11" s="368">
        <v>2</v>
      </c>
      <c r="D11" s="369">
        <v>1</v>
      </c>
      <c r="E11" s="370">
        <v>0.75</v>
      </c>
      <c r="F11" s="371">
        <v>0.25</v>
      </c>
      <c r="G11" s="371">
        <v>-0.25</v>
      </c>
      <c r="H11" s="370">
        <v>-0.75</v>
      </c>
      <c r="I11" s="371">
        <v>-1</v>
      </c>
      <c r="J11" s="370">
        <v>-0.7</v>
      </c>
      <c r="K11" s="370">
        <v>0</v>
      </c>
      <c r="L11" s="370">
        <v>1.75</v>
      </c>
      <c r="M11" s="371">
        <v>2.5</v>
      </c>
      <c r="N11" s="371">
        <v>3.25</v>
      </c>
      <c r="O11" s="370">
        <v>4.25</v>
      </c>
      <c r="P11" s="371">
        <v>5.25</v>
      </c>
      <c r="Q11" s="370">
        <v>6</v>
      </c>
      <c r="R11" s="371">
        <v>7</v>
      </c>
      <c r="S11" s="368">
        <v>8</v>
      </c>
      <c r="T11" s="372">
        <v>9</v>
      </c>
      <c r="U11" s="373">
        <v>29</v>
      </c>
      <c r="AD11" s="388">
        <v>36982</v>
      </c>
      <c r="AE11" s="389"/>
    </row>
    <row r="12" spans="1:34" customFormat="1" x14ac:dyDescent="0.25">
      <c r="A12" s="366">
        <v>37530</v>
      </c>
      <c r="B12" s="367">
        <v>3</v>
      </c>
      <c r="C12" s="368">
        <v>2</v>
      </c>
      <c r="D12" s="369">
        <v>1</v>
      </c>
      <c r="E12" s="370">
        <v>0.75</v>
      </c>
      <c r="F12" s="371">
        <v>0.25</v>
      </c>
      <c r="G12" s="371">
        <v>-0.25</v>
      </c>
      <c r="H12" s="370">
        <v>-0.75</v>
      </c>
      <c r="I12" s="371">
        <v>-1</v>
      </c>
      <c r="J12" s="370">
        <v>-0.7</v>
      </c>
      <c r="K12" s="370">
        <v>0</v>
      </c>
      <c r="L12" s="370">
        <v>1.75</v>
      </c>
      <c r="M12" s="371">
        <v>2.5</v>
      </c>
      <c r="N12" s="371">
        <v>3.25</v>
      </c>
      <c r="O12" s="370">
        <v>4.25</v>
      </c>
      <c r="P12" s="371">
        <v>5.25</v>
      </c>
      <c r="Q12" s="370">
        <v>6</v>
      </c>
      <c r="R12" s="371">
        <v>7</v>
      </c>
      <c r="S12" s="368">
        <v>8</v>
      </c>
      <c r="T12" s="372">
        <v>9</v>
      </c>
      <c r="U12" s="373">
        <v>29</v>
      </c>
    </row>
    <row r="13" spans="1:34" customFormat="1" x14ac:dyDescent="0.25">
      <c r="A13" s="366">
        <v>37561</v>
      </c>
      <c r="B13" s="367">
        <v>3</v>
      </c>
      <c r="C13" s="368">
        <v>2</v>
      </c>
      <c r="D13" s="369">
        <v>1</v>
      </c>
      <c r="E13" s="370">
        <v>0.75</v>
      </c>
      <c r="F13" s="371">
        <v>0.25</v>
      </c>
      <c r="G13" s="371">
        <v>-0.25</v>
      </c>
      <c r="H13" s="370">
        <v>-0.75</v>
      </c>
      <c r="I13" s="371">
        <v>-1</v>
      </c>
      <c r="J13" s="370">
        <v>-0.7</v>
      </c>
      <c r="K13" s="370">
        <v>0</v>
      </c>
      <c r="L13" s="370">
        <v>1.25</v>
      </c>
      <c r="M13" s="371">
        <v>1.75</v>
      </c>
      <c r="N13" s="371">
        <v>2.5</v>
      </c>
      <c r="O13" s="370">
        <v>3.25</v>
      </c>
      <c r="P13" s="371">
        <v>3.75</v>
      </c>
      <c r="Q13" s="370">
        <v>4.25</v>
      </c>
      <c r="R13" s="371">
        <v>4.75</v>
      </c>
      <c r="S13" s="368">
        <v>5.75</v>
      </c>
      <c r="T13" s="372">
        <v>8.1999999999999993</v>
      </c>
      <c r="U13" s="373">
        <v>29</v>
      </c>
    </row>
    <row r="14" spans="1:34" customFormat="1" x14ac:dyDescent="0.25">
      <c r="A14" s="366">
        <v>37591</v>
      </c>
      <c r="B14" s="367">
        <v>3</v>
      </c>
      <c r="C14" s="368">
        <v>2</v>
      </c>
      <c r="D14" s="369">
        <v>1</v>
      </c>
      <c r="E14" s="370">
        <v>0.75</v>
      </c>
      <c r="F14" s="371">
        <v>0.25</v>
      </c>
      <c r="G14" s="371">
        <v>-0.25</v>
      </c>
      <c r="H14" s="370">
        <v>-0.75</v>
      </c>
      <c r="I14" s="371">
        <v>-1</v>
      </c>
      <c r="J14" s="370">
        <v>-0.7</v>
      </c>
      <c r="K14" s="370">
        <v>0</v>
      </c>
      <c r="L14" s="370">
        <v>1.25</v>
      </c>
      <c r="M14" s="371">
        <v>1.75</v>
      </c>
      <c r="N14" s="371">
        <v>2.5</v>
      </c>
      <c r="O14" s="370">
        <v>3.25</v>
      </c>
      <c r="P14" s="371">
        <v>3.75</v>
      </c>
      <c r="Q14" s="370">
        <v>4.25</v>
      </c>
      <c r="R14" s="371">
        <v>4.75</v>
      </c>
      <c r="S14" s="368">
        <v>5.75</v>
      </c>
      <c r="T14" s="372">
        <v>8.1999999999999993</v>
      </c>
      <c r="U14" s="373">
        <v>29</v>
      </c>
    </row>
    <row r="15" spans="1:34" customFormat="1" x14ac:dyDescent="0.25">
      <c r="A15" s="366">
        <v>37622</v>
      </c>
      <c r="B15" s="367">
        <v>3</v>
      </c>
      <c r="C15" s="368">
        <v>2</v>
      </c>
      <c r="D15" s="369">
        <v>1</v>
      </c>
      <c r="E15" s="370">
        <v>0.75</v>
      </c>
      <c r="F15" s="371">
        <v>0.25</v>
      </c>
      <c r="G15" s="371">
        <v>-0.25</v>
      </c>
      <c r="H15" s="370">
        <v>-0.75</v>
      </c>
      <c r="I15" s="371">
        <v>-1</v>
      </c>
      <c r="J15" s="370">
        <v>-0.7</v>
      </c>
      <c r="K15" s="370">
        <v>0</v>
      </c>
      <c r="L15" s="370">
        <v>1.25</v>
      </c>
      <c r="M15" s="371">
        <v>1.75</v>
      </c>
      <c r="N15" s="371">
        <v>2.5</v>
      </c>
      <c r="O15" s="370">
        <v>3.25</v>
      </c>
      <c r="P15" s="371">
        <v>3.75</v>
      </c>
      <c r="Q15" s="370">
        <v>4.25</v>
      </c>
      <c r="R15" s="371">
        <v>4.75</v>
      </c>
      <c r="S15" s="368">
        <v>5.75</v>
      </c>
      <c r="T15" s="372">
        <v>8.1999999999999993</v>
      </c>
      <c r="U15" s="373">
        <v>29</v>
      </c>
    </row>
    <row r="16" spans="1:34" customFormat="1" x14ac:dyDescent="0.25">
      <c r="A16" s="366">
        <v>37653</v>
      </c>
      <c r="B16" s="367">
        <v>3</v>
      </c>
      <c r="C16" s="368">
        <v>2</v>
      </c>
      <c r="D16" s="369">
        <v>1</v>
      </c>
      <c r="E16" s="370">
        <v>0.75</v>
      </c>
      <c r="F16" s="371">
        <v>0.25</v>
      </c>
      <c r="G16" s="371">
        <v>-0.25</v>
      </c>
      <c r="H16" s="370">
        <v>-0.75</v>
      </c>
      <c r="I16" s="371">
        <v>-1</v>
      </c>
      <c r="J16" s="370">
        <v>-0.7</v>
      </c>
      <c r="K16" s="370">
        <v>0</v>
      </c>
      <c r="L16" s="370">
        <v>1.25</v>
      </c>
      <c r="M16" s="371">
        <v>1.75</v>
      </c>
      <c r="N16" s="371">
        <v>2.5</v>
      </c>
      <c r="O16" s="370">
        <v>3.25</v>
      </c>
      <c r="P16" s="371">
        <v>3.75</v>
      </c>
      <c r="Q16" s="370">
        <v>4.25</v>
      </c>
      <c r="R16" s="371">
        <v>4.75</v>
      </c>
      <c r="S16" s="368">
        <v>5.75</v>
      </c>
      <c r="T16" s="372">
        <v>8.1999999999999993</v>
      </c>
      <c r="U16" s="373">
        <v>29</v>
      </c>
    </row>
    <row r="17" spans="1:21" customFormat="1" x14ac:dyDescent="0.25">
      <c r="A17" s="366">
        <v>37681</v>
      </c>
      <c r="B17" s="367">
        <v>3</v>
      </c>
      <c r="C17" s="368">
        <v>2</v>
      </c>
      <c r="D17" s="369">
        <v>1</v>
      </c>
      <c r="E17" s="370">
        <v>0.75</v>
      </c>
      <c r="F17" s="371">
        <v>0.25</v>
      </c>
      <c r="G17" s="371">
        <v>-0.25</v>
      </c>
      <c r="H17" s="370">
        <v>-0.75</v>
      </c>
      <c r="I17" s="371">
        <v>-1</v>
      </c>
      <c r="J17" s="370">
        <v>-0.7</v>
      </c>
      <c r="K17" s="370">
        <v>0</v>
      </c>
      <c r="L17" s="370">
        <v>1.25</v>
      </c>
      <c r="M17" s="371">
        <v>1.75</v>
      </c>
      <c r="N17" s="371">
        <v>2.5</v>
      </c>
      <c r="O17" s="370">
        <v>3.25</v>
      </c>
      <c r="P17" s="371">
        <v>3.75</v>
      </c>
      <c r="Q17" s="370">
        <v>4.25</v>
      </c>
      <c r="R17" s="371">
        <v>4.75</v>
      </c>
      <c r="S17" s="368">
        <v>5.75</v>
      </c>
      <c r="T17" s="372">
        <v>8.1999999999999993</v>
      </c>
      <c r="U17" s="373">
        <v>29</v>
      </c>
    </row>
    <row r="18" spans="1:21" customFormat="1" x14ac:dyDescent="0.25">
      <c r="A18" s="366">
        <v>37712</v>
      </c>
      <c r="B18" s="367">
        <v>3</v>
      </c>
      <c r="C18" s="368">
        <v>2</v>
      </c>
      <c r="D18" s="369">
        <v>0.75</v>
      </c>
      <c r="E18" s="370">
        <v>0.5</v>
      </c>
      <c r="F18" s="371">
        <v>0.25</v>
      </c>
      <c r="G18" s="371">
        <v>-0.25</v>
      </c>
      <c r="H18" s="370">
        <v>-0.65</v>
      </c>
      <c r="I18" s="371">
        <v>-0.85</v>
      </c>
      <c r="J18" s="370">
        <v>-0.65</v>
      </c>
      <c r="K18" s="370">
        <v>0</v>
      </c>
      <c r="L18" s="370">
        <v>1</v>
      </c>
      <c r="M18" s="371">
        <v>1.5</v>
      </c>
      <c r="N18" s="371">
        <v>2.25</v>
      </c>
      <c r="O18" s="370">
        <v>3</v>
      </c>
      <c r="P18" s="371">
        <v>3.5</v>
      </c>
      <c r="Q18" s="370">
        <v>4</v>
      </c>
      <c r="R18" s="371">
        <v>4.5</v>
      </c>
      <c r="S18" s="368">
        <v>5.5</v>
      </c>
      <c r="T18" s="372">
        <v>8.1999999999999993</v>
      </c>
      <c r="U18" s="373">
        <v>29</v>
      </c>
    </row>
    <row r="19" spans="1:21" customFormat="1" x14ac:dyDescent="0.25">
      <c r="A19" s="366">
        <v>37742</v>
      </c>
      <c r="B19" s="367">
        <v>3</v>
      </c>
      <c r="C19" s="368">
        <v>2</v>
      </c>
      <c r="D19" s="369">
        <v>0.75</v>
      </c>
      <c r="E19" s="370">
        <v>0.5</v>
      </c>
      <c r="F19" s="371">
        <v>0.25</v>
      </c>
      <c r="G19" s="371">
        <v>-0.25</v>
      </c>
      <c r="H19" s="370">
        <v>-0.65</v>
      </c>
      <c r="I19" s="371">
        <v>-0.85</v>
      </c>
      <c r="J19" s="370">
        <v>-0.65</v>
      </c>
      <c r="K19" s="370">
        <v>0</v>
      </c>
      <c r="L19" s="370">
        <v>1</v>
      </c>
      <c r="M19" s="371">
        <v>1.5</v>
      </c>
      <c r="N19" s="371">
        <v>2.25</v>
      </c>
      <c r="O19" s="370">
        <v>3</v>
      </c>
      <c r="P19" s="371">
        <v>3.5</v>
      </c>
      <c r="Q19" s="370">
        <v>4</v>
      </c>
      <c r="R19" s="371">
        <v>4.5</v>
      </c>
      <c r="S19" s="368">
        <v>5.5</v>
      </c>
      <c r="T19" s="372">
        <v>8.1999999999999993</v>
      </c>
      <c r="U19" s="373">
        <v>29</v>
      </c>
    </row>
    <row r="20" spans="1:21" customFormat="1" x14ac:dyDescent="0.25">
      <c r="A20" s="366">
        <v>37773</v>
      </c>
      <c r="B20" s="367">
        <v>3</v>
      </c>
      <c r="C20" s="368">
        <v>2</v>
      </c>
      <c r="D20" s="369">
        <v>0.75</v>
      </c>
      <c r="E20" s="370">
        <v>0.5</v>
      </c>
      <c r="F20" s="371">
        <v>0.25</v>
      </c>
      <c r="G20" s="371">
        <v>-0.25</v>
      </c>
      <c r="H20" s="370">
        <v>-0.65</v>
      </c>
      <c r="I20" s="371">
        <v>-0.85</v>
      </c>
      <c r="J20" s="370">
        <v>-0.65</v>
      </c>
      <c r="K20" s="370">
        <v>0</v>
      </c>
      <c r="L20" s="370">
        <v>1</v>
      </c>
      <c r="M20" s="371">
        <v>1.5</v>
      </c>
      <c r="N20" s="371">
        <v>2.25</v>
      </c>
      <c r="O20" s="370">
        <v>3</v>
      </c>
      <c r="P20" s="371">
        <v>3.5</v>
      </c>
      <c r="Q20" s="370">
        <v>4</v>
      </c>
      <c r="R20" s="371">
        <v>4.5</v>
      </c>
      <c r="S20" s="368">
        <v>5.5</v>
      </c>
      <c r="T20" s="372">
        <v>8.1999999999999993</v>
      </c>
      <c r="U20" s="373">
        <v>29</v>
      </c>
    </row>
    <row r="21" spans="1:21" customFormat="1" x14ac:dyDescent="0.25">
      <c r="A21" s="366">
        <v>37803</v>
      </c>
      <c r="B21" s="367">
        <v>3</v>
      </c>
      <c r="C21" s="368">
        <v>2</v>
      </c>
      <c r="D21" s="369">
        <v>0.75</v>
      </c>
      <c r="E21" s="370">
        <v>0.5</v>
      </c>
      <c r="F21" s="371">
        <v>0.25</v>
      </c>
      <c r="G21" s="371">
        <v>-0.25</v>
      </c>
      <c r="H21" s="370">
        <v>-0.65</v>
      </c>
      <c r="I21" s="371">
        <v>-0.85</v>
      </c>
      <c r="J21" s="370">
        <v>-0.65</v>
      </c>
      <c r="K21" s="370">
        <v>0</v>
      </c>
      <c r="L21" s="370">
        <v>1</v>
      </c>
      <c r="M21" s="371">
        <v>1.5</v>
      </c>
      <c r="N21" s="371">
        <v>2.25</v>
      </c>
      <c r="O21" s="370">
        <v>3</v>
      </c>
      <c r="P21" s="371">
        <v>3.5</v>
      </c>
      <c r="Q21" s="370">
        <v>4</v>
      </c>
      <c r="R21" s="371">
        <v>4.5</v>
      </c>
      <c r="S21" s="368">
        <v>5.5</v>
      </c>
      <c r="T21" s="372">
        <v>8.1999999999999993</v>
      </c>
      <c r="U21" s="373">
        <v>29</v>
      </c>
    </row>
    <row r="22" spans="1:21" customFormat="1" x14ac:dyDescent="0.25">
      <c r="A22" s="366">
        <v>37834</v>
      </c>
      <c r="B22" s="367">
        <v>3</v>
      </c>
      <c r="C22" s="368">
        <v>2</v>
      </c>
      <c r="D22" s="369">
        <v>0.75</v>
      </c>
      <c r="E22" s="370">
        <v>0.5</v>
      </c>
      <c r="F22" s="371">
        <v>0.25</v>
      </c>
      <c r="G22" s="371">
        <v>-0.25</v>
      </c>
      <c r="H22" s="370">
        <v>-0.65</v>
      </c>
      <c r="I22" s="371">
        <v>-0.85</v>
      </c>
      <c r="J22" s="370">
        <v>-0.65</v>
      </c>
      <c r="K22" s="370">
        <v>0</v>
      </c>
      <c r="L22" s="370">
        <v>1</v>
      </c>
      <c r="M22" s="371">
        <v>1.5</v>
      </c>
      <c r="N22" s="371">
        <v>2.25</v>
      </c>
      <c r="O22" s="370">
        <v>3</v>
      </c>
      <c r="P22" s="371">
        <v>3.5</v>
      </c>
      <c r="Q22" s="370">
        <v>4</v>
      </c>
      <c r="R22" s="371">
        <v>4.5</v>
      </c>
      <c r="S22" s="368">
        <v>5.5</v>
      </c>
      <c r="T22" s="372">
        <v>8.1999999999999993</v>
      </c>
      <c r="U22" s="373">
        <v>29</v>
      </c>
    </row>
    <row r="23" spans="1:21" customFormat="1" x14ac:dyDescent="0.25">
      <c r="A23" s="366">
        <v>37865</v>
      </c>
      <c r="B23" s="367">
        <v>3</v>
      </c>
      <c r="C23" s="368">
        <v>2</v>
      </c>
      <c r="D23" s="369">
        <v>0.75</v>
      </c>
      <c r="E23" s="370">
        <v>0.5</v>
      </c>
      <c r="F23" s="371">
        <v>0.25</v>
      </c>
      <c r="G23" s="371">
        <v>-0.25</v>
      </c>
      <c r="H23" s="370">
        <v>-0.65</v>
      </c>
      <c r="I23" s="371">
        <v>-0.85</v>
      </c>
      <c r="J23" s="370">
        <v>-0.65</v>
      </c>
      <c r="K23" s="370">
        <v>0</v>
      </c>
      <c r="L23" s="370">
        <v>1</v>
      </c>
      <c r="M23" s="371">
        <v>1.5</v>
      </c>
      <c r="N23" s="371">
        <v>2.25</v>
      </c>
      <c r="O23" s="370">
        <v>3</v>
      </c>
      <c r="P23" s="371">
        <v>3.5</v>
      </c>
      <c r="Q23" s="370">
        <v>4</v>
      </c>
      <c r="R23" s="371">
        <v>4.5</v>
      </c>
      <c r="S23" s="368">
        <v>5.5</v>
      </c>
      <c r="T23" s="372">
        <v>8.1999999999999993</v>
      </c>
      <c r="U23" s="373">
        <v>29</v>
      </c>
    </row>
    <row r="24" spans="1:21" customFormat="1" x14ac:dyDescent="0.25">
      <c r="A24" s="366">
        <v>37895</v>
      </c>
      <c r="B24" s="367">
        <v>3</v>
      </c>
      <c r="C24" s="368">
        <v>2</v>
      </c>
      <c r="D24" s="369">
        <v>0.75</v>
      </c>
      <c r="E24" s="370">
        <v>0.5</v>
      </c>
      <c r="F24" s="371">
        <v>0.25</v>
      </c>
      <c r="G24" s="371">
        <v>-0.25</v>
      </c>
      <c r="H24" s="370">
        <v>-0.65</v>
      </c>
      <c r="I24" s="371">
        <v>-0.85</v>
      </c>
      <c r="J24" s="370">
        <v>-0.65</v>
      </c>
      <c r="K24" s="370">
        <v>0</v>
      </c>
      <c r="L24" s="370">
        <v>1</v>
      </c>
      <c r="M24" s="371">
        <v>1.5</v>
      </c>
      <c r="N24" s="371">
        <v>2.25</v>
      </c>
      <c r="O24" s="370">
        <v>3</v>
      </c>
      <c r="P24" s="371">
        <v>3.5</v>
      </c>
      <c r="Q24" s="370">
        <v>4</v>
      </c>
      <c r="R24" s="371">
        <v>4.5</v>
      </c>
      <c r="S24" s="368">
        <v>5.5</v>
      </c>
      <c r="T24" s="372">
        <v>8.1999999999999993</v>
      </c>
      <c r="U24" s="373">
        <v>29</v>
      </c>
    </row>
    <row r="25" spans="1:21" customFormat="1" x14ac:dyDescent="0.25">
      <c r="A25" s="366">
        <v>37926</v>
      </c>
      <c r="B25" s="367">
        <v>3</v>
      </c>
      <c r="C25" s="368">
        <v>2</v>
      </c>
      <c r="D25" s="369">
        <v>0.75</v>
      </c>
      <c r="E25" s="370">
        <v>0.5</v>
      </c>
      <c r="F25" s="371">
        <v>0.25</v>
      </c>
      <c r="G25" s="371">
        <v>-0.25</v>
      </c>
      <c r="H25" s="370">
        <v>-0.65</v>
      </c>
      <c r="I25" s="371">
        <v>-0.85</v>
      </c>
      <c r="J25" s="370">
        <v>-0.65</v>
      </c>
      <c r="K25" s="370">
        <v>0</v>
      </c>
      <c r="L25" s="370">
        <v>1</v>
      </c>
      <c r="M25" s="371">
        <v>1.5</v>
      </c>
      <c r="N25" s="371">
        <v>2.25</v>
      </c>
      <c r="O25" s="370">
        <v>3</v>
      </c>
      <c r="P25" s="371">
        <v>3.5</v>
      </c>
      <c r="Q25" s="370">
        <v>4</v>
      </c>
      <c r="R25" s="371">
        <v>4.5</v>
      </c>
      <c r="S25" s="368">
        <v>5.5</v>
      </c>
      <c r="T25" s="372">
        <v>8.1999999999999993</v>
      </c>
      <c r="U25" s="373">
        <v>29</v>
      </c>
    </row>
    <row r="26" spans="1:21" customFormat="1" x14ac:dyDescent="0.25">
      <c r="A26" s="366">
        <v>37956</v>
      </c>
      <c r="B26" s="367">
        <v>3</v>
      </c>
      <c r="C26" s="368">
        <v>2</v>
      </c>
      <c r="D26" s="369">
        <v>0.75</v>
      </c>
      <c r="E26" s="370">
        <v>0.5</v>
      </c>
      <c r="F26" s="371">
        <v>0.25</v>
      </c>
      <c r="G26" s="371">
        <v>-0.25</v>
      </c>
      <c r="H26" s="370">
        <v>-0.65</v>
      </c>
      <c r="I26" s="371">
        <v>-0.85</v>
      </c>
      <c r="J26" s="370">
        <v>-0.65</v>
      </c>
      <c r="K26" s="370">
        <v>0</v>
      </c>
      <c r="L26" s="370">
        <v>1</v>
      </c>
      <c r="M26" s="371">
        <v>1.5</v>
      </c>
      <c r="N26" s="371">
        <v>2.25</v>
      </c>
      <c r="O26" s="370">
        <v>3</v>
      </c>
      <c r="P26" s="371">
        <v>3.5</v>
      </c>
      <c r="Q26" s="370">
        <v>4</v>
      </c>
      <c r="R26" s="371">
        <v>4.5</v>
      </c>
      <c r="S26" s="368">
        <v>5.5</v>
      </c>
      <c r="T26" s="372">
        <v>8.1999999999999993</v>
      </c>
      <c r="U26" s="373">
        <v>29</v>
      </c>
    </row>
    <row r="27" spans="1:21" customFormat="1" x14ac:dyDescent="0.25">
      <c r="A27" s="366">
        <v>37987</v>
      </c>
      <c r="B27" s="367">
        <v>3</v>
      </c>
      <c r="C27" s="368">
        <v>2</v>
      </c>
      <c r="D27" s="369">
        <v>0.75</v>
      </c>
      <c r="E27" s="370">
        <v>0.5</v>
      </c>
      <c r="F27" s="371">
        <v>0.25</v>
      </c>
      <c r="G27" s="371">
        <v>-0.25</v>
      </c>
      <c r="H27" s="370">
        <v>-0.65</v>
      </c>
      <c r="I27" s="371">
        <v>-0.85</v>
      </c>
      <c r="J27" s="370">
        <v>-0.65</v>
      </c>
      <c r="K27" s="370">
        <v>0</v>
      </c>
      <c r="L27" s="370">
        <v>1</v>
      </c>
      <c r="M27" s="371">
        <v>1.5</v>
      </c>
      <c r="N27" s="371">
        <v>2.25</v>
      </c>
      <c r="O27" s="370">
        <v>3</v>
      </c>
      <c r="P27" s="371">
        <v>3.5</v>
      </c>
      <c r="Q27" s="370">
        <v>4</v>
      </c>
      <c r="R27" s="371">
        <v>4.5</v>
      </c>
      <c r="S27" s="368">
        <v>5.5</v>
      </c>
      <c r="T27" s="372">
        <v>8.1999999999999993</v>
      </c>
      <c r="U27" s="373">
        <v>29</v>
      </c>
    </row>
    <row r="28" spans="1:21" customFormat="1" x14ac:dyDescent="0.25">
      <c r="A28" s="366">
        <v>38018</v>
      </c>
      <c r="B28" s="367">
        <v>3</v>
      </c>
      <c r="C28" s="368">
        <v>2</v>
      </c>
      <c r="D28" s="369">
        <v>0.75</v>
      </c>
      <c r="E28" s="370">
        <v>0.5</v>
      </c>
      <c r="F28" s="371">
        <v>0.25</v>
      </c>
      <c r="G28" s="371">
        <v>-0.25</v>
      </c>
      <c r="H28" s="370">
        <v>-0.65</v>
      </c>
      <c r="I28" s="371">
        <v>-0.85</v>
      </c>
      <c r="J28" s="370">
        <v>-0.65</v>
      </c>
      <c r="K28" s="370">
        <v>0</v>
      </c>
      <c r="L28" s="370">
        <v>1</v>
      </c>
      <c r="M28" s="371">
        <v>1.5</v>
      </c>
      <c r="N28" s="371">
        <v>2.25</v>
      </c>
      <c r="O28" s="370">
        <v>3</v>
      </c>
      <c r="P28" s="371">
        <v>3.5</v>
      </c>
      <c r="Q28" s="370">
        <v>4</v>
      </c>
      <c r="R28" s="371">
        <v>4.5</v>
      </c>
      <c r="S28" s="368">
        <v>5.5</v>
      </c>
      <c r="T28" s="372">
        <v>8.1999999999999993</v>
      </c>
      <c r="U28" s="373">
        <v>29</v>
      </c>
    </row>
    <row r="29" spans="1:21" customFormat="1" x14ac:dyDescent="0.25">
      <c r="A29" s="366">
        <v>38047</v>
      </c>
      <c r="B29" s="367">
        <v>3</v>
      </c>
      <c r="C29" s="368">
        <v>2</v>
      </c>
      <c r="D29" s="369">
        <v>0.75</v>
      </c>
      <c r="E29" s="370">
        <v>0.5</v>
      </c>
      <c r="F29" s="371">
        <v>0.25</v>
      </c>
      <c r="G29" s="371">
        <v>-0.25</v>
      </c>
      <c r="H29" s="370">
        <v>-0.65</v>
      </c>
      <c r="I29" s="371">
        <v>-0.85</v>
      </c>
      <c r="J29" s="370">
        <v>-0.65</v>
      </c>
      <c r="K29" s="370">
        <v>0</v>
      </c>
      <c r="L29" s="370">
        <v>1</v>
      </c>
      <c r="M29" s="371">
        <v>1.5</v>
      </c>
      <c r="N29" s="371">
        <v>2.25</v>
      </c>
      <c r="O29" s="370">
        <v>3</v>
      </c>
      <c r="P29" s="371">
        <v>3.5</v>
      </c>
      <c r="Q29" s="370">
        <v>4</v>
      </c>
      <c r="R29" s="371">
        <v>4.5</v>
      </c>
      <c r="S29" s="368">
        <v>5.5</v>
      </c>
      <c r="T29" s="372">
        <v>8.1999999999999993</v>
      </c>
      <c r="U29" s="373">
        <v>29</v>
      </c>
    </row>
    <row r="30" spans="1:21" customFormat="1" x14ac:dyDescent="0.25">
      <c r="A30" s="366">
        <v>38078</v>
      </c>
      <c r="B30" s="367">
        <v>3</v>
      </c>
      <c r="C30" s="368">
        <v>2</v>
      </c>
      <c r="D30" s="369">
        <v>0.75</v>
      </c>
      <c r="E30" s="370">
        <v>0.5</v>
      </c>
      <c r="F30" s="371">
        <v>0.25</v>
      </c>
      <c r="G30" s="371">
        <v>-0.25</v>
      </c>
      <c r="H30" s="370">
        <v>-0.65</v>
      </c>
      <c r="I30" s="371">
        <v>-0.85</v>
      </c>
      <c r="J30" s="370">
        <v>-0.65</v>
      </c>
      <c r="K30" s="370">
        <v>0</v>
      </c>
      <c r="L30" s="370">
        <v>1</v>
      </c>
      <c r="M30" s="371">
        <v>1.5</v>
      </c>
      <c r="N30" s="371">
        <v>2.25</v>
      </c>
      <c r="O30" s="370">
        <v>3</v>
      </c>
      <c r="P30" s="371">
        <v>3.5</v>
      </c>
      <c r="Q30" s="370">
        <v>4</v>
      </c>
      <c r="R30" s="371">
        <v>4.5</v>
      </c>
      <c r="S30" s="368">
        <v>5.5</v>
      </c>
      <c r="T30" s="372">
        <v>8.1999999999999993</v>
      </c>
      <c r="U30" s="373">
        <v>29</v>
      </c>
    </row>
    <row r="31" spans="1:21" customFormat="1" x14ac:dyDescent="0.25">
      <c r="A31" s="366">
        <v>38108</v>
      </c>
      <c r="B31" s="367">
        <v>3</v>
      </c>
      <c r="C31" s="368">
        <v>2</v>
      </c>
      <c r="D31" s="369">
        <v>0.75</v>
      </c>
      <c r="E31" s="370">
        <v>0.5</v>
      </c>
      <c r="F31" s="371">
        <v>0.25</v>
      </c>
      <c r="G31" s="371">
        <v>-0.25</v>
      </c>
      <c r="H31" s="370">
        <v>-0.65</v>
      </c>
      <c r="I31" s="371">
        <v>-0.85</v>
      </c>
      <c r="J31" s="370">
        <v>-0.65</v>
      </c>
      <c r="K31" s="370">
        <v>0</v>
      </c>
      <c r="L31" s="370">
        <v>1</v>
      </c>
      <c r="M31" s="371">
        <v>1.5</v>
      </c>
      <c r="N31" s="371">
        <v>2.25</v>
      </c>
      <c r="O31" s="370">
        <v>3</v>
      </c>
      <c r="P31" s="371">
        <v>3.5</v>
      </c>
      <c r="Q31" s="370">
        <v>4</v>
      </c>
      <c r="R31" s="371">
        <v>4.5</v>
      </c>
      <c r="S31" s="368">
        <v>5.5</v>
      </c>
      <c r="T31" s="372">
        <v>8.1999999999999993</v>
      </c>
      <c r="U31" s="373">
        <v>29</v>
      </c>
    </row>
    <row r="32" spans="1:21" customFormat="1" x14ac:dyDescent="0.25">
      <c r="A32" s="366">
        <v>38139</v>
      </c>
      <c r="B32" s="367">
        <v>3</v>
      </c>
      <c r="C32" s="368">
        <v>2</v>
      </c>
      <c r="D32" s="369">
        <v>0.75</v>
      </c>
      <c r="E32" s="370">
        <v>0.5</v>
      </c>
      <c r="F32" s="371">
        <v>0.25</v>
      </c>
      <c r="G32" s="371">
        <v>-0.25</v>
      </c>
      <c r="H32" s="370">
        <v>-0.65</v>
      </c>
      <c r="I32" s="371">
        <v>-0.85</v>
      </c>
      <c r="J32" s="370">
        <v>-0.65</v>
      </c>
      <c r="K32" s="370">
        <v>0</v>
      </c>
      <c r="L32" s="370">
        <v>1</v>
      </c>
      <c r="M32" s="371">
        <v>1.5</v>
      </c>
      <c r="N32" s="371">
        <v>2.25</v>
      </c>
      <c r="O32" s="370">
        <v>3</v>
      </c>
      <c r="P32" s="371">
        <v>3.5</v>
      </c>
      <c r="Q32" s="370">
        <v>4</v>
      </c>
      <c r="R32" s="371">
        <v>4.5</v>
      </c>
      <c r="S32" s="368">
        <v>5.5</v>
      </c>
      <c r="T32" s="372">
        <v>8.1999999999999993</v>
      </c>
      <c r="U32" s="373">
        <v>29</v>
      </c>
    </row>
    <row r="33" spans="1:21" customFormat="1" x14ac:dyDescent="0.25">
      <c r="A33" s="366">
        <v>38169</v>
      </c>
      <c r="B33" s="367">
        <v>3</v>
      </c>
      <c r="C33" s="368">
        <v>2</v>
      </c>
      <c r="D33" s="369">
        <v>0.75</v>
      </c>
      <c r="E33" s="370">
        <v>0.5</v>
      </c>
      <c r="F33" s="371">
        <v>0.25</v>
      </c>
      <c r="G33" s="371">
        <v>-0.25</v>
      </c>
      <c r="H33" s="370">
        <v>-0.65</v>
      </c>
      <c r="I33" s="371">
        <v>-0.85</v>
      </c>
      <c r="J33" s="370">
        <v>-0.65</v>
      </c>
      <c r="K33" s="370">
        <v>0</v>
      </c>
      <c r="L33" s="370">
        <v>1</v>
      </c>
      <c r="M33" s="371">
        <v>1.5</v>
      </c>
      <c r="N33" s="371">
        <v>2.25</v>
      </c>
      <c r="O33" s="370">
        <v>3</v>
      </c>
      <c r="P33" s="371">
        <v>3.5</v>
      </c>
      <c r="Q33" s="370">
        <v>4</v>
      </c>
      <c r="R33" s="371">
        <v>4.5</v>
      </c>
      <c r="S33" s="368">
        <v>5.5</v>
      </c>
      <c r="T33" s="372">
        <v>8.1999999999999993</v>
      </c>
      <c r="U33" s="373">
        <v>29</v>
      </c>
    </row>
    <row r="34" spans="1:21" customFormat="1" x14ac:dyDescent="0.25">
      <c r="A34" s="366">
        <v>38200</v>
      </c>
      <c r="B34" s="367">
        <v>3</v>
      </c>
      <c r="C34" s="368">
        <v>2</v>
      </c>
      <c r="D34" s="369">
        <v>0.75</v>
      </c>
      <c r="E34" s="370">
        <v>0.5</v>
      </c>
      <c r="F34" s="371">
        <v>0.25</v>
      </c>
      <c r="G34" s="371">
        <v>-0.25</v>
      </c>
      <c r="H34" s="370">
        <v>-0.65</v>
      </c>
      <c r="I34" s="371">
        <v>-0.85</v>
      </c>
      <c r="J34" s="370">
        <v>-0.65</v>
      </c>
      <c r="K34" s="370">
        <v>0</v>
      </c>
      <c r="L34" s="370">
        <v>1</v>
      </c>
      <c r="M34" s="371">
        <v>1.5</v>
      </c>
      <c r="N34" s="371">
        <v>2.25</v>
      </c>
      <c r="O34" s="370">
        <v>3</v>
      </c>
      <c r="P34" s="371">
        <v>3.5</v>
      </c>
      <c r="Q34" s="370">
        <v>4</v>
      </c>
      <c r="R34" s="371">
        <v>4.5</v>
      </c>
      <c r="S34" s="368">
        <v>5.5</v>
      </c>
      <c r="T34" s="372">
        <v>8.1999999999999993</v>
      </c>
      <c r="U34" s="373">
        <v>29</v>
      </c>
    </row>
    <row r="35" spans="1:21" customFormat="1" x14ac:dyDescent="0.25">
      <c r="A35" s="366">
        <v>38231</v>
      </c>
      <c r="B35" s="367">
        <v>3</v>
      </c>
      <c r="C35" s="368">
        <v>2</v>
      </c>
      <c r="D35" s="369">
        <v>0.75</v>
      </c>
      <c r="E35" s="370">
        <v>0.5</v>
      </c>
      <c r="F35" s="371">
        <v>0.25</v>
      </c>
      <c r="G35" s="371">
        <v>-0.25</v>
      </c>
      <c r="H35" s="370">
        <v>-0.65</v>
      </c>
      <c r="I35" s="371">
        <v>-0.85</v>
      </c>
      <c r="J35" s="370">
        <v>-0.65</v>
      </c>
      <c r="K35" s="370">
        <v>0</v>
      </c>
      <c r="L35" s="370">
        <v>1</v>
      </c>
      <c r="M35" s="371">
        <v>1.5</v>
      </c>
      <c r="N35" s="371">
        <v>2.25</v>
      </c>
      <c r="O35" s="370">
        <v>3</v>
      </c>
      <c r="P35" s="371">
        <v>3.5</v>
      </c>
      <c r="Q35" s="370">
        <v>4</v>
      </c>
      <c r="R35" s="371">
        <v>4.5</v>
      </c>
      <c r="S35" s="368">
        <v>5.5</v>
      </c>
      <c r="T35" s="372">
        <v>8.1999999999999993</v>
      </c>
      <c r="U35" s="373">
        <v>29</v>
      </c>
    </row>
    <row r="36" spans="1:21" customFormat="1" x14ac:dyDescent="0.25">
      <c r="A36" s="366">
        <v>38261</v>
      </c>
      <c r="B36" s="367">
        <v>3</v>
      </c>
      <c r="C36" s="368">
        <v>2</v>
      </c>
      <c r="D36" s="369">
        <v>0.75</v>
      </c>
      <c r="E36" s="370">
        <v>0.5</v>
      </c>
      <c r="F36" s="371">
        <v>0.25</v>
      </c>
      <c r="G36" s="371">
        <v>-0.25</v>
      </c>
      <c r="H36" s="370">
        <v>-0.65</v>
      </c>
      <c r="I36" s="371">
        <v>-0.85</v>
      </c>
      <c r="J36" s="370">
        <v>-0.65</v>
      </c>
      <c r="K36" s="370">
        <v>0</v>
      </c>
      <c r="L36" s="370">
        <v>1</v>
      </c>
      <c r="M36" s="371">
        <v>1.5</v>
      </c>
      <c r="N36" s="371">
        <v>2.25</v>
      </c>
      <c r="O36" s="370">
        <v>3</v>
      </c>
      <c r="P36" s="371">
        <v>3.5</v>
      </c>
      <c r="Q36" s="370">
        <v>4</v>
      </c>
      <c r="R36" s="371">
        <v>4.5</v>
      </c>
      <c r="S36" s="368">
        <v>5.5</v>
      </c>
      <c r="T36" s="372">
        <v>8.1999999999999993</v>
      </c>
      <c r="U36" s="373">
        <v>29</v>
      </c>
    </row>
    <row r="37" spans="1:21" customFormat="1" x14ac:dyDescent="0.25">
      <c r="A37" s="366">
        <v>38292</v>
      </c>
      <c r="B37" s="367">
        <v>3</v>
      </c>
      <c r="C37" s="368">
        <v>2</v>
      </c>
      <c r="D37" s="369">
        <v>0.75</v>
      </c>
      <c r="E37" s="370">
        <v>0.5</v>
      </c>
      <c r="F37" s="371">
        <v>0.25</v>
      </c>
      <c r="G37" s="371">
        <v>-0.25</v>
      </c>
      <c r="H37" s="370">
        <v>-0.65</v>
      </c>
      <c r="I37" s="371">
        <v>-0.85</v>
      </c>
      <c r="J37" s="370">
        <v>-0.65</v>
      </c>
      <c r="K37" s="370">
        <v>0</v>
      </c>
      <c r="L37" s="370">
        <v>1</v>
      </c>
      <c r="M37" s="371">
        <v>1.5</v>
      </c>
      <c r="N37" s="371">
        <v>2.25</v>
      </c>
      <c r="O37" s="370">
        <v>3</v>
      </c>
      <c r="P37" s="371">
        <v>3.5</v>
      </c>
      <c r="Q37" s="370">
        <v>4</v>
      </c>
      <c r="R37" s="371">
        <v>4.5</v>
      </c>
      <c r="S37" s="368">
        <v>5.5</v>
      </c>
      <c r="T37" s="372">
        <v>8.1999999999999993</v>
      </c>
      <c r="U37" s="373">
        <v>29</v>
      </c>
    </row>
    <row r="38" spans="1:21" customFormat="1" x14ac:dyDescent="0.25">
      <c r="A38" s="366">
        <v>40513</v>
      </c>
      <c r="B38" s="367">
        <v>3</v>
      </c>
      <c r="C38" s="368">
        <v>2</v>
      </c>
      <c r="D38" s="369">
        <v>0.75</v>
      </c>
      <c r="E38" s="370">
        <v>0.5</v>
      </c>
      <c r="F38" s="371">
        <v>0.25</v>
      </c>
      <c r="G38" s="371">
        <v>-0.25</v>
      </c>
      <c r="H38" s="370">
        <v>-0.65</v>
      </c>
      <c r="I38" s="371">
        <v>-0.85</v>
      </c>
      <c r="J38" s="370">
        <v>-0.65</v>
      </c>
      <c r="K38" s="370">
        <v>0</v>
      </c>
      <c r="L38" s="370">
        <v>1</v>
      </c>
      <c r="M38" s="371">
        <v>1.5</v>
      </c>
      <c r="N38" s="371">
        <v>2.25</v>
      </c>
      <c r="O38" s="370">
        <v>3</v>
      </c>
      <c r="P38" s="371">
        <v>3.5</v>
      </c>
      <c r="Q38" s="370">
        <v>4</v>
      </c>
      <c r="R38" s="371">
        <v>4.5</v>
      </c>
      <c r="S38" s="368">
        <v>5.5</v>
      </c>
      <c r="T38" s="372">
        <v>8.1999999999999993</v>
      </c>
      <c r="U38" s="373">
        <v>29</v>
      </c>
    </row>
    <row r="39" spans="1:21" customFormat="1" ht="13.8" thickBot="1" x14ac:dyDescent="0.3">
      <c r="A39" s="374">
        <v>44531</v>
      </c>
      <c r="B39" s="375">
        <v>3</v>
      </c>
      <c r="C39" s="376">
        <v>2</v>
      </c>
      <c r="D39" s="377">
        <v>0.75</v>
      </c>
      <c r="E39" s="378">
        <v>0.5</v>
      </c>
      <c r="F39" s="379">
        <v>0.25</v>
      </c>
      <c r="G39" s="380">
        <v>-0.25</v>
      </c>
      <c r="H39" s="378">
        <v>-0.65</v>
      </c>
      <c r="I39" s="379">
        <v>-0.85</v>
      </c>
      <c r="J39" s="378">
        <v>-0.65</v>
      </c>
      <c r="K39" s="378">
        <v>0</v>
      </c>
      <c r="L39" s="378">
        <v>1</v>
      </c>
      <c r="M39" s="379">
        <v>1.5</v>
      </c>
      <c r="N39" s="380">
        <v>2.25</v>
      </c>
      <c r="O39" s="378">
        <v>3</v>
      </c>
      <c r="P39" s="380">
        <v>3.4</v>
      </c>
      <c r="Q39" s="378">
        <v>4</v>
      </c>
      <c r="R39" s="380">
        <v>4.5</v>
      </c>
      <c r="S39" s="376">
        <v>5.5</v>
      </c>
      <c r="T39" s="381">
        <v>8.1999999999999993</v>
      </c>
      <c r="U39" s="382">
        <v>29</v>
      </c>
    </row>
    <row r="40" spans="1:21" customFormat="1" x14ac:dyDescent="0.25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5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8" thickBot="1" x14ac:dyDescent="0.3">
      <c r="A42" s="212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</row>
    <row r="43" spans="1:21" ht="13.8" thickBot="1" x14ac:dyDescent="0.3">
      <c r="A43" s="202"/>
      <c r="B43" s="203">
        <v>-5</v>
      </c>
      <c r="C43" s="204">
        <v>-4</v>
      </c>
      <c r="D43" s="205">
        <v>-3.5</v>
      </c>
      <c r="E43" s="205">
        <v>-3</v>
      </c>
      <c r="F43" s="205">
        <v>-2.5</v>
      </c>
      <c r="G43" s="205">
        <v>-2</v>
      </c>
      <c r="H43" s="205">
        <v>-1.5</v>
      </c>
      <c r="I43" s="205">
        <v>-1</v>
      </c>
      <c r="J43" s="205">
        <v>-0.5</v>
      </c>
      <c r="K43" s="205">
        <v>0</v>
      </c>
      <c r="L43" s="205">
        <v>0.5</v>
      </c>
      <c r="M43" s="205">
        <v>1</v>
      </c>
      <c r="N43" s="205">
        <v>1.5</v>
      </c>
      <c r="O43" s="205">
        <v>2</v>
      </c>
      <c r="P43" s="205">
        <v>2.5</v>
      </c>
      <c r="Q43" s="205">
        <v>3</v>
      </c>
      <c r="R43" s="205">
        <v>4</v>
      </c>
      <c r="S43" s="205">
        <v>5</v>
      </c>
      <c r="T43" s="206">
        <v>10</v>
      </c>
      <c r="U43" s="207">
        <v>40</v>
      </c>
    </row>
    <row r="44" spans="1:21" x14ac:dyDescent="0.25">
      <c r="A44" s="208">
        <v>37165</v>
      </c>
      <c r="B44" s="222">
        <v>4.75</v>
      </c>
      <c r="C44" s="223">
        <v>3.75</v>
      </c>
      <c r="D44" s="224">
        <v>2.5</v>
      </c>
      <c r="E44" s="225">
        <v>1.5</v>
      </c>
      <c r="F44" s="226">
        <v>0.5</v>
      </c>
      <c r="G44" s="226">
        <v>0</v>
      </c>
      <c r="H44" s="225">
        <v>-0.5</v>
      </c>
      <c r="I44" s="226">
        <v>-0.75</v>
      </c>
      <c r="J44" s="225">
        <v>-0.5</v>
      </c>
      <c r="K44" s="225">
        <v>0</v>
      </c>
      <c r="L44" s="225">
        <v>1</v>
      </c>
      <c r="M44" s="226">
        <v>1.75</v>
      </c>
      <c r="N44" s="226">
        <v>2.5</v>
      </c>
      <c r="O44" s="225">
        <v>3.25</v>
      </c>
      <c r="P44" s="226">
        <v>4</v>
      </c>
      <c r="Q44" s="225">
        <v>4.75</v>
      </c>
      <c r="R44" s="226">
        <v>6</v>
      </c>
      <c r="S44" s="227">
        <v>7.25</v>
      </c>
      <c r="T44" s="228">
        <v>16.260978154878529</v>
      </c>
      <c r="U44" s="223">
        <v>58.403635071802682</v>
      </c>
    </row>
    <row r="45" spans="1:21" x14ac:dyDescent="0.25">
      <c r="A45" s="209">
        <v>37196</v>
      </c>
      <c r="B45" s="229">
        <v>4.5</v>
      </c>
      <c r="C45" s="230">
        <v>3.5</v>
      </c>
      <c r="D45" s="231">
        <v>2.25</v>
      </c>
      <c r="E45" s="232">
        <v>1.25</v>
      </c>
      <c r="F45" s="233">
        <v>0.25</v>
      </c>
      <c r="G45" s="233">
        <v>-0.25</v>
      </c>
      <c r="H45" s="232">
        <v>-0.75</v>
      </c>
      <c r="I45" s="233">
        <v>-1</v>
      </c>
      <c r="J45" s="232">
        <v>-0.75</v>
      </c>
      <c r="K45" s="232">
        <v>0</v>
      </c>
      <c r="L45" s="232">
        <v>1.25</v>
      </c>
      <c r="M45" s="233">
        <v>2.5</v>
      </c>
      <c r="N45" s="233">
        <v>3</v>
      </c>
      <c r="O45" s="232">
        <v>3.75</v>
      </c>
      <c r="P45" s="233">
        <v>4.5</v>
      </c>
      <c r="Q45" s="232">
        <v>5</v>
      </c>
      <c r="R45" s="233">
        <v>6.25</v>
      </c>
      <c r="S45" s="234">
        <v>7.5</v>
      </c>
      <c r="T45" s="235">
        <v>12</v>
      </c>
      <c r="U45" s="230">
        <v>44</v>
      </c>
    </row>
    <row r="46" spans="1:21" x14ac:dyDescent="0.25">
      <c r="A46" s="209">
        <v>37226</v>
      </c>
      <c r="B46" s="229">
        <v>4.5</v>
      </c>
      <c r="C46" s="230">
        <v>3.5</v>
      </c>
      <c r="D46" s="231">
        <v>2.25</v>
      </c>
      <c r="E46" s="232">
        <v>1.25</v>
      </c>
      <c r="F46" s="233">
        <v>0.25</v>
      </c>
      <c r="G46" s="233">
        <v>-0.25</v>
      </c>
      <c r="H46" s="232">
        <v>-0.75</v>
      </c>
      <c r="I46" s="233">
        <v>-1</v>
      </c>
      <c r="J46" s="232">
        <v>-0.75</v>
      </c>
      <c r="K46" s="232">
        <v>0</v>
      </c>
      <c r="L46" s="232">
        <v>1.25</v>
      </c>
      <c r="M46" s="233">
        <v>2.5</v>
      </c>
      <c r="N46" s="233">
        <v>3</v>
      </c>
      <c r="O46" s="232">
        <v>3.75</v>
      </c>
      <c r="P46" s="233">
        <v>4.5</v>
      </c>
      <c r="Q46" s="232">
        <v>5</v>
      </c>
      <c r="R46" s="233">
        <v>6.25</v>
      </c>
      <c r="S46" s="234">
        <v>7.5</v>
      </c>
      <c r="T46" s="235">
        <v>12</v>
      </c>
      <c r="U46" s="230">
        <v>44</v>
      </c>
    </row>
    <row r="47" spans="1:21" x14ac:dyDescent="0.25">
      <c r="A47" s="209">
        <v>37257</v>
      </c>
      <c r="B47" s="229">
        <v>4.5</v>
      </c>
      <c r="C47" s="230">
        <v>3.5</v>
      </c>
      <c r="D47" s="231">
        <v>2.25</v>
      </c>
      <c r="E47" s="232">
        <v>1.25</v>
      </c>
      <c r="F47" s="233">
        <v>0.25</v>
      </c>
      <c r="G47" s="233">
        <v>-0.25</v>
      </c>
      <c r="H47" s="232">
        <v>-0.75</v>
      </c>
      <c r="I47" s="233">
        <v>-1</v>
      </c>
      <c r="J47" s="232">
        <v>-0.75</v>
      </c>
      <c r="K47" s="232">
        <v>0</v>
      </c>
      <c r="L47" s="232">
        <v>1.25</v>
      </c>
      <c r="M47" s="233">
        <v>2.5</v>
      </c>
      <c r="N47" s="233">
        <v>3</v>
      </c>
      <c r="O47" s="232">
        <v>3.75</v>
      </c>
      <c r="P47" s="233">
        <v>4.5</v>
      </c>
      <c r="Q47" s="232">
        <v>5</v>
      </c>
      <c r="R47" s="233">
        <v>6.25</v>
      </c>
      <c r="S47" s="234">
        <v>7.5</v>
      </c>
      <c r="T47" s="235">
        <v>12</v>
      </c>
      <c r="U47" s="230">
        <v>44</v>
      </c>
    </row>
    <row r="48" spans="1:21" x14ac:dyDescent="0.25">
      <c r="A48" s="209">
        <v>37288</v>
      </c>
      <c r="B48" s="229">
        <v>4.5</v>
      </c>
      <c r="C48" s="230">
        <v>3.5</v>
      </c>
      <c r="D48" s="231">
        <v>2.25</v>
      </c>
      <c r="E48" s="232">
        <v>1.25</v>
      </c>
      <c r="F48" s="233">
        <v>0.25</v>
      </c>
      <c r="G48" s="233">
        <v>-0.25</v>
      </c>
      <c r="H48" s="232">
        <v>-0.75</v>
      </c>
      <c r="I48" s="233">
        <v>-1</v>
      </c>
      <c r="J48" s="232">
        <v>-0.75</v>
      </c>
      <c r="K48" s="232">
        <v>0</v>
      </c>
      <c r="L48" s="232">
        <v>1.25</v>
      </c>
      <c r="M48" s="233">
        <v>2.5</v>
      </c>
      <c r="N48" s="233">
        <v>3</v>
      </c>
      <c r="O48" s="232">
        <v>3.75</v>
      </c>
      <c r="P48" s="233">
        <v>4.5</v>
      </c>
      <c r="Q48" s="232">
        <v>5</v>
      </c>
      <c r="R48" s="233">
        <v>6.25</v>
      </c>
      <c r="S48" s="234">
        <v>7.5</v>
      </c>
      <c r="T48" s="235">
        <v>12</v>
      </c>
      <c r="U48" s="230">
        <v>44</v>
      </c>
    </row>
    <row r="49" spans="1:21" x14ac:dyDescent="0.25">
      <c r="A49" s="209">
        <v>37316</v>
      </c>
      <c r="B49" s="229">
        <v>4.5</v>
      </c>
      <c r="C49" s="230">
        <v>3.5</v>
      </c>
      <c r="D49" s="231">
        <v>2.25</v>
      </c>
      <c r="E49" s="232">
        <v>1.25</v>
      </c>
      <c r="F49" s="233">
        <v>0.25</v>
      </c>
      <c r="G49" s="233">
        <v>-0.25</v>
      </c>
      <c r="H49" s="232">
        <v>-0.75</v>
      </c>
      <c r="I49" s="233">
        <v>-1</v>
      </c>
      <c r="J49" s="232">
        <v>-0.75</v>
      </c>
      <c r="K49" s="232">
        <v>0</v>
      </c>
      <c r="L49" s="232">
        <v>1.2</v>
      </c>
      <c r="M49" s="233">
        <v>2.4</v>
      </c>
      <c r="N49" s="233">
        <v>2.9</v>
      </c>
      <c r="O49" s="232">
        <v>3.65</v>
      </c>
      <c r="P49" s="233">
        <v>4.4000000000000004</v>
      </c>
      <c r="Q49" s="232">
        <v>4.9000000000000004</v>
      </c>
      <c r="R49" s="233">
        <v>6.1</v>
      </c>
      <c r="S49" s="234">
        <v>7.3</v>
      </c>
      <c r="T49" s="235">
        <v>12</v>
      </c>
      <c r="U49" s="230">
        <v>44</v>
      </c>
    </row>
    <row r="50" spans="1:21" x14ac:dyDescent="0.25">
      <c r="A50" s="209">
        <v>37347</v>
      </c>
      <c r="B50" s="229">
        <v>4</v>
      </c>
      <c r="C50" s="230">
        <v>3</v>
      </c>
      <c r="D50" s="231">
        <v>1.5</v>
      </c>
      <c r="E50" s="232">
        <v>0.5</v>
      </c>
      <c r="F50" s="233">
        <v>0.1</v>
      </c>
      <c r="G50" s="233">
        <v>-0.25</v>
      </c>
      <c r="H50" s="232">
        <v>-0.5</v>
      </c>
      <c r="I50" s="233">
        <v>-0.85</v>
      </c>
      <c r="J50" s="232">
        <v>-0.65</v>
      </c>
      <c r="K50" s="232">
        <v>0</v>
      </c>
      <c r="L50" s="232">
        <v>0.9</v>
      </c>
      <c r="M50" s="233">
        <v>1.5</v>
      </c>
      <c r="N50" s="233">
        <v>2.25</v>
      </c>
      <c r="O50" s="232">
        <v>2.5</v>
      </c>
      <c r="P50" s="233">
        <v>3.35</v>
      </c>
      <c r="Q50" s="232">
        <v>3.5</v>
      </c>
      <c r="R50" s="233">
        <v>4.5</v>
      </c>
      <c r="S50" s="234">
        <v>5.25</v>
      </c>
      <c r="T50" s="235">
        <v>8.1999999999999993</v>
      </c>
      <c r="U50" s="230">
        <v>29</v>
      </c>
    </row>
    <row r="51" spans="1:21" x14ac:dyDescent="0.25">
      <c r="A51" s="209">
        <v>37377</v>
      </c>
      <c r="B51" s="236">
        <v>3</v>
      </c>
      <c r="C51" s="237">
        <v>2</v>
      </c>
      <c r="D51" s="231">
        <v>1</v>
      </c>
      <c r="E51" s="232">
        <v>0.75</v>
      </c>
      <c r="F51" s="233">
        <v>0.25</v>
      </c>
      <c r="G51" s="233">
        <v>0</v>
      </c>
      <c r="H51" s="238">
        <v>-0.4</v>
      </c>
      <c r="I51" s="233">
        <v>-0.6</v>
      </c>
      <c r="J51" s="238">
        <v>-0.6</v>
      </c>
      <c r="K51" s="238">
        <v>0</v>
      </c>
      <c r="L51" s="238">
        <v>0.8</v>
      </c>
      <c r="M51" s="233">
        <v>1.25</v>
      </c>
      <c r="N51" s="233">
        <v>1.75</v>
      </c>
      <c r="O51" s="238">
        <v>2.25</v>
      </c>
      <c r="P51" s="233">
        <v>2.85</v>
      </c>
      <c r="Q51" s="238">
        <v>3.25</v>
      </c>
      <c r="R51" s="233">
        <v>4.25</v>
      </c>
      <c r="S51" s="239">
        <v>5</v>
      </c>
      <c r="T51" s="240">
        <v>8.1999999999999993</v>
      </c>
      <c r="U51" s="237">
        <v>29</v>
      </c>
    </row>
    <row r="52" spans="1:21" x14ac:dyDescent="0.25">
      <c r="A52" s="209">
        <v>37408</v>
      </c>
      <c r="B52" s="236">
        <v>3</v>
      </c>
      <c r="C52" s="237">
        <v>2</v>
      </c>
      <c r="D52" s="231">
        <v>1</v>
      </c>
      <c r="E52" s="232">
        <v>0.75</v>
      </c>
      <c r="F52" s="233">
        <v>0.25</v>
      </c>
      <c r="G52" s="233">
        <v>0</v>
      </c>
      <c r="H52" s="238">
        <v>-0.4</v>
      </c>
      <c r="I52" s="233">
        <v>-0.6</v>
      </c>
      <c r="J52" s="238">
        <v>-0.6</v>
      </c>
      <c r="K52" s="238">
        <v>0</v>
      </c>
      <c r="L52" s="238">
        <v>0.8</v>
      </c>
      <c r="M52" s="233">
        <v>1.25</v>
      </c>
      <c r="N52" s="233">
        <v>1.75</v>
      </c>
      <c r="O52" s="238">
        <v>2.25</v>
      </c>
      <c r="P52" s="233">
        <v>2.85</v>
      </c>
      <c r="Q52" s="238">
        <v>3.25</v>
      </c>
      <c r="R52" s="233">
        <v>4.25</v>
      </c>
      <c r="S52" s="239">
        <v>5</v>
      </c>
      <c r="T52" s="240">
        <v>8.1999999999999993</v>
      </c>
      <c r="U52" s="237">
        <v>29</v>
      </c>
    </row>
    <row r="53" spans="1:21" x14ac:dyDescent="0.25">
      <c r="A53" s="209">
        <v>37438</v>
      </c>
      <c r="B53" s="236">
        <v>3</v>
      </c>
      <c r="C53" s="237">
        <v>2</v>
      </c>
      <c r="D53" s="231">
        <v>1</v>
      </c>
      <c r="E53" s="232">
        <v>0.75</v>
      </c>
      <c r="F53" s="233">
        <v>0.25</v>
      </c>
      <c r="G53" s="233">
        <v>0</v>
      </c>
      <c r="H53" s="238">
        <v>-0.4</v>
      </c>
      <c r="I53" s="233">
        <v>-0.6</v>
      </c>
      <c r="J53" s="238">
        <v>-0.6</v>
      </c>
      <c r="K53" s="238">
        <v>0</v>
      </c>
      <c r="L53" s="238">
        <v>0.8</v>
      </c>
      <c r="M53" s="233">
        <v>1.25</v>
      </c>
      <c r="N53" s="233">
        <v>1.75</v>
      </c>
      <c r="O53" s="238">
        <v>2.25</v>
      </c>
      <c r="P53" s="233">
        <v>2.85</v>
      </c>
      <c r="Q53" s="238">
        <v>3.25</v>
      </c>
      <c r="R53" s="233">
        <v>4.25</v>
      </c>
      <c r="S53" s="239">
        <v>5</v>
      </c>
      <c r="T53" s="240">
        <v>8.1999999999999993</v>
      </c>
      <c r="U53" s="237">
        <v>29</v>
      </c>
    </row>
    <row r="54" spans="1:21" x14ac:dyDescent="0.25">
      <c r="A54" s="209">
        <v>37469</v>
      </c>
      <c r="B54" s="236">
        <v>3</v>
      </c>
      <c r="C54" s="237">
        <v>2</v>
      </c>
      <c r="D54" s="231">
        <v>1</v>
      </c>
      <c r="E54" s="232">
        <v>0.75</v>
      </c>
      <c r="F54" s="233">
        <v>0.25</v>
      </c>
      <c r="G54" s="233">
        <v>0</v>
      </c>
      <c r="H54" s="238">
        <v>-0.4</v>
      </c>
      <c r="I54" s="233">
        <v>-0.6</v>
      </c>
      <c r="J54" s="238">
        <v>-0.6</v>
      </c>
      <c r="K54" s="238">
        <v>0</v>
      </c>
      <c r="L54" s="238">
        <v>0.8</v>
      </c>
      <c r="M54" s="233">
        <v>1.25</v>
      </c>
      <c r="N54" s="233">
        <v>1.75</v>
      </c>
      <c r="O54" s="238">
        <v>2.25</v>
      </c>
      <c r="P54" s="233">
        <v>2.85</v>
      </c>
      <c r="Q54" s="238">
        <v>3.25</v>
      </c>
      <c r="R54" s="233">
        <v>4.25</v>
      </c>
      <c r="S54" s="239">
        <v>5</v>
      </c>
      <c r="T54" s="241">
        <v>8.1999999999999993</v>
      </c>
      <c r="U54" s="242">
        <v>29</v>
      </c>
    </row>
    <row r="55" spans="1:21" x14ac:dyDescent="0.25">
      <c r="A55" s="209">
        <v>37500</v>
      </c>
      <c r="B55" s="236">
        <v>3</v>
      </c>
      <c r="C55" s="237">
        <v>2</v>
      </c>
      <c r="D55" s="231">
        <v>1</v>
      </c>
      <c r="E55" s="232">
        <v>0.75</v>
      </c>
      <c r="F55" s="233">
        <v>0.25</v>
      </c>
      <c r="G55" s="233">
        <v>0</v>
      </c>
      <c r="H55" s="238">
        <v>-0.4</v>
      </c>
      <c r="I55" s="233">
        <v>-0.6</v>
      </c>
      <c r="J55" s="238">
        <v>-0.6</v>
      </c>
      <c r="K55" s="238">
        <v>0</v>
      </c>
      <c r="L55" s="238">
        <v>0.8</v>
      </c>
      <c r="M55" s="233">
        <v>1.25</v>
      </c>
      <c r="N55" s="233">
        <v>1.75</v>
      </c>
      <c r="O55" s="238">
        <v>2.25</v>
      </c>
      <c r="P55" s="233">
        <v>2.85</v>
      </c>
      <c r="Q55" s="238">
        <v>3.25</v>
      </c>
      <c r="R55" s="233">
        <v>4.25</v>
      </c>
      <c r="S55" s="239">
        <v>5</v>
      </c>
      <c r="T55" s="240">
        <v>8.1999999999999993</v>
      </c>
      <c r="U55" s="237">
        <v>29</v>
      </c>
    </row>
    <row r="56" spans="1:21" x14ac:dyDescent="0.25">
      <c r="A56" s="209">
        <v>37530</v>
      </c>
      <c r="B56" s="236">
        <v>3</v>
      </c>
      <c r="C56" s="237">
        <v>2</v>
      </c>
      <c r="D56" s="231">
        <v>1</v>
      </c>
      <c r="E56" s="232">
        <v>0.75</v>
      </c>
      <c r="F56" s="233">
        <v>0.25</v>
      </c>
      <c r="G56" s="233">
        <v>0</v>
      </c>
      <c r="H56" s="238">
        <v>-0.4</v>
      </c>
      <c r="I56" s="233">
        <v>-0.6</v>
      </c>
      <c r="J56" s="238">
        <v>-0.6</v>
      </c>
      <c r="K56" s="238">
        <v>0</v>
      </c>
      <c r="L56" s="238">
        <v>0.8</v>
      </c>
      <c r="M56" s="233">
        <v>1.25</v>
      </c>
      <c r="N56" s="233">
        <v>1.75</v>
      </c>
      <c r="O56" s="238">
        <v>2.25</v>
      </c>
      <c r="P56" s="233">
        <v>2.85</v>
      </c>
      <c r="Q56" s="238">
        <v>3.25</v>
      </c>
      <c r="R56" s="233">
        <v>4.25</v>
      </c>
      <c r="S56" s="239">
        <v>5</v>
      </c>
      <c r="T56" s="240">
        <v>8.1999999999999993</v>
      </c>
      <c r="U56" s="237">
        <v>29</v>
      </c>
    </row>
    <row r="57" spans="1:21" x14ac:dyDescent="0.25">
      <c r="A57" s="209">
        <v>37561</v>
      </c>
      <c r="B57" s="236">
        <v>3</v>
      </c>
      <c r="C57" s="237">
        <v>2</v>
      </c>
      <c r="D57" s="231">
        <v>1</v>
      </c>
      <c r="E57" s="232">
        <v>0.75</v>
      </c>
      <c r="F57" s="233">
        <v>0.25</v>
      </c>
      <c r="G57" s="233">
        <v>0</v>
      </c>
      <c r="H57" s="238">
        <v>-0.4</v>
      </c>
      <c r="I57" s="233">
        <v>-0.6</v>
      </c>
      <c r="J57" s="238">
        <v>-0.6</v>
      </c>
      <c r="K57" s="238">
        <v>0</v>
      </c>
      <c r="L57" s="238">
        <v>0.8</v>
      </c>
      <c r="M57" s="233">
        <v>1.25</v>
      </c>
      <c r="N57" s="233">
        <v>1.75</v>
      </c>
      <c r="O57" s="238">
        <v>2.25</v>
      </c>
      <c r="P57" s="233">
        <v>2.85</v>
      </c>
      <c r="Q57" s="238">
        <v>3.25</v>
      </c>
      <c r="R57" s="233">
        <v>4.25</v>
      </c>
      <c r="S57" s="239">
        <v>5</v>
      </c>
      <c r="T57" s="240">
        <v>8.1999999999999993</v>
      </c>
      <c r="U57" s="237">
        <v>29</v>
      </c>
    </row>
    <row r="58" spans="1:21" x14ac:dyDescent="0.25">
      <c r="A58" s="209">
        <v>37591</v>
      </c>
      <c r="B58" s="236">
        <v>3</v>
      </c>
      <c r="C58" s="237">
        <v>2</v>
      </c>
      <c r="D58" s="231">
        <v>1</v>
      </c>
      <c r="E58" s="232">
        <v>0.75</v>
      </c>
      <c r="F58" s="233">
        <v>0.25</v>
      </c>
      <c r="G58" s="233">
        <v>0</v>
      </c>
      <c r="H58" s="238">
        <v>-0.4</v>
      </c>
      <c r="I58" s="233">
        <v>-0.6</v>
      </c>
      <c r="J58" s="238">
        <v>-0.6</v>
      </c>
      <c r="K58" s="238">
        <v>0</v>
      </c>
      <c r="L58" s="238">
        <v>0.8</v>
      </c>
      <c r="M58" s="233">
        <v>1.25</v>
      </c>
      <c r="N58" s="233">
        <v>1.75</v>
      </c>
      <c r="O58" s="238">
        <v>2.25</v>
      </c>
      <c r="P58" s="233">
        <v>2.85</v>
      </c>
      <c r="Q58" s="238">
        <v>3.25</v>
      </c>
      <c r="R58" s="233">
        <v>4.25</v>
      </c>
      <c r="S58" s="239">
        <v>5</v>
      </c>
      <c r="T58" s="240">
        <v>8.1999999999999993</v>
      </c>
      <c r="U58" s="237">
        <v>29</v>
      </c>
    </row>
    <row r="59" spans="1:21" x14ac:dyDescent="0.25">
      <c r="A59" s="210">
        <v>37622</v>
      </c>
      <c r="B59" s="243">
        <v>3</v>
      </c>
      <c r="C59" s="244">
        <v>2</v>
      </c>
      <c r="D59" s="245">
        <v>1</v>
      </c>
      <c r="E59" s="246">
        <v>0.75</v>
      </c>
      <c r="F59" s="247">
        <v>0.25</v>
      </c>
      <c r="G59" s="247">
        <v>0</v>
      </c>
      <c r="H59" s="246">
        <v>-0.4</v>
      </c>
      <c r="I59" s="247">
        <v>-0.6</v>
      </c>
      <c r="J59" s="246">
        <v>-0.6</v>
      </c>
      <c r="K59" s="246">
        <v>0</v>
      </c>
      <c r="L59" s="246">
        <v>0.8</v>
      </c>
      <c r="M59" s="247">
        <v>1.25</v>
      </c>
      <c r="N59" s="247">
        <v>1.75</v>
      </c>
      <c r="O59" s="246">
        <v>2.25</v>
      </c>
      <c r="P59" s="247">
        <v>2.85</v>
      </c>
      <c r="Q59" s="246">
        <v>3.25</v>
      </c>
      <c r="R59" s="247">
        <v>4.25</v>
      </c>
      <c r="S59" s="244">
        <v>5</v>
      </c>
      <c r="T59" s="248">
        <v>8.1999999999999993</v>
      </c>
      <c r="U59" s="249">
        <v>29</v>
      </c>
    </row>
    <row r="60" spans="1:21" x14ac:dyDescent="0.25">
      <c r="A60" s="210">
        <v>37653</v>
      </c>
      <c r="B60" s="243">
        <v>3</v>
      </c>
      <c r="C60" s="244">
        <v>2</v>
      </c>
      <c r="D60" s="245">
        <v>1</v>
      </c>
      <c r="E60" s="246">
        <v>0.75</v>
      </c>
      <c r="F60" s="247">
        <v>0.25</v>
      </c>
      <c r="G60" s="247">
        <v>0</v>
      </c>
      <c r="H60" s="246">
        <v>-0.4</v>
      </c>
      <c r="I60" s="247">
        <v>-0.6</v>
      </c>
      <c r="J60" s="246">
        <v>-0.6</v>
      </c>
      <c r="K60" s="246">
        <v>0</v>
      </c>
      <c r="L60" s="246">
        <v>0.8</v>
      </c>
      <c r="M60" s="247">
        <v>1.25</v>
      </c>
      <c r="N60" s="247">
        <v>1.75</v>
      </c>
      <c r="O60" s="246">
        <v>2.25</v>
      </c>
      <c r="P60" s="247">
        <v>2.85</v>
      </c>
      <c r="Q60" s="246">
        <v>3.25</v>
      </c>
      <c r="R60" s="247">
        <v>4.25</v>
      </c>
      <c r="S60" s="244">
        <v>5</v>
      </c>
      <c r="T60" s="248">
        <v>8.1999999999999993</v>
      </c>
      <c r="U60" s="249">
        <v>29</v>
      </c>
    </row>
    <row r="61" spans="1:21" x14ac:dyDescent="0.25">
      <c r="A61" s="210">
        <v>37681</v>
      </c>
      <c r="B61" s="243">
        <v>3</v>
      </c>
      <c r="C61" s="244">
        <v>2</v>
      </c>
      <c r="D61" s="245">
        <v>1</v>
      </c>
      <c r="E61" s="246">
        <v>0.75</v>
      </c>
      <c r="F61" s="247">
        <v>0.25</v>
      </c>
      <c r="G61" s="247">
        <v>0</v>
      </c>
      <c r="H61" s="246">
        <v>-0.4</v>
      </c>
      <c r="I61" s="247">
        <v>-0.6</v>
      </c>
      <c r="J61" s="246">
        <v>-0.6</v>
      </c>
      <c r="K61" s="246">
        <v>0</v>
      </c>
      <c r="L61" s="246">
        <v>0.8</v>
      </c>
      <c r="M61" s="247">
        <v>1.25</v>
      </c>
      <c r="N61" s="247">
        <v>1.75</v>
      </c>
      <c r="O61" s="246">
        <v>2.25</v>
      </c>
      <c r="P61" s="247">
        <v>2.85</v>
      </c>
      <c r="Q61" s="246">
        <v>3.25</v>
      </c>
      <c r="R61" s="247">
        <v>4.25</v>
      </c>
      <c r="S61" s="244">
        <v>5</v>
      </c>
      <c r="T61" s="248">
        <v>8.1999999999999993</v>
      </c>
      <c r="U61" s="249">
        <v>29</v>
      </c>
    </row>
    <row r="62" spans="1:21" x14ac:dyDescent="0.25">
      <c r="A62" s="210">
        <v>37712</v>
      </c>
      <c r="B62" s="243">
        <v>3</v>
      </c>
      <c r="C62" s="244">
        <v>2</v>
      </c>
      <c r="D62" s="245">
        <v>0.75</v>
      </c>
      <c r="E62" s="246">
        <v>0.5</v>
      </c>
      <c r="F62" s="247">
        <v>0.25</v>
      </c>
      <c r="G62" s="247">
        <v>0</v>
      </c>
      <c r="H62" s="246">
        <v>-0.35</v>
      </c>
      <c r="I62" s="247">
        <v>-0.5</v>
      </c>
      <c r="J62" s="246">
        <v>-0.55000000000000004</v>
      </c>
      <c r="K62" s="246">
        <v>0</v>
      </c>
      <c r="L62" s="246">
        <v>0.8</v>
      </c>
      <c r="M62" s="247">
        <v>1.25</v>
      </c>
      <c r="N62" s="247">
        <v>1.75</v>
      </c>
      <c r="O62" s="246">
        <v>2.25</v>
      </c>
      <c r="P62" s="247">
        <v>2.85</v>
      </c>
      <c r="Q62" s="246">
        <v>3.25</v>
      </c>
      <c r="R62" s="247">
        <v>4.25</v>
      </c>
      <c r="S62" s="244">
        <v>5</v>
      </c>
      <c r="T62" s="248">
        <v>8.1999999999999993</v>
      </c>
      <c r="U62" s="249">
        <v>29</v>
      </c>
    </row>
    <row r="63" spans="1:21" x14ac:dyDescent="0.25">
      <c r="A63" s="210">
        <v>37742</v>
      </c>
      <c r="B63" s="243">
        <v>3</v>
      </c>
      <c r="C63" s="244">
        <v>2</v>
      </c>
      <c r="D63" s="245">
        <v>0.75</v>
      </c>
      <c r="E63" s="246">
        <v>0.5</v>
      </c>
      <c r="F63" s="247">
        <v>0.25</v>
      </c>
      <c r="G63" s="247">
        <v>0</v>
      </c>
      <c r="H63" s="246">
        <v>-0.35</v>
      </c>
      <c r="I63" s="247">
        <v>-0.5</v>
      </c>
      <c r="J63" s="246">
        <v>-0.55000000000000004</v>
      </c>
      <c r="K63" s="246">
        <v>0</v>
      </c>
      <c r="L63" s="246">
        <v>0.8</v>
      </c>
      <c r="M63" s="247">
        <v>1.25</v>
      </c>
      <c r="N63" s="247">
        <v>1.75</v>
      </c>
      <c r="O63" s="246">
        <v>2.25</v>
      </c>
      <c r="P63" s="247">
        <v>2.85</v>
      </c>
      <c r="Q63" s="246">
        <v>3.25</v>
      </c>
      <c r="R63" s="247">
        <v>4.25</v>
      </c>
      <c r="S63" s="244">
        <v>5</v>
      </c>
      <c r="T63" s="248">
        <v>8.1999999999999993</v>
      </c>
      <c r="U63" s="249">
        <v>29</v>
      </c>
    </row>
    <row r="64" spans="1:21" x14ac:dyDescent="0.25">
      <c r="A64" s="210">
        <v>37773</v>
      </c>
      <c r="B64" s="243">
        <v>3</v>
      </c>
      <c r="C64" s="244">
        <v>2</v>
      </c>
      <c r="D64" s="245">
        <v>0.75</v>
      </c>
      <c r="E64" s="246">
        <v>0.5</v>
      </c>
      <c r="F64" s="247">
        <v>0.25</v>
      </c>
      <c r="G64" s="247">
        <v>0</v>
      </c>
      <c r="H64" s="246">
        <v>-0.35</v>
      </c>
      <c r="I64" s="247">
        <v>-0.5</v>
      </c>
      <c r="J64" s="246">
        <v>-0.55000000000000004</v>
      </c>
      <c r="K64" s="246">
        <v>0</v>
      </c>
      <c r="L64" s="246">
        <v>0.8</v>
      </c>
      <c r="M64" s="247">
        <v>1.25</v>
      </c>
      <c r="N64" s="247">
        <v>1.75</v>
      </c>
      <c r="O64" s="246">
        <v>2.25</v>
      </c>
      <c r="P64" s="247">
        <v>2.85</v>
      </c>
      <c r="Q64" s="246">
        <v>3.25</v>
      </c>
      <c r="R64" s="247">
        <v>4.25</v>
      </c>
      <c r="S64" s="244">
        <v>5</v>
      </c>
      <c r="T64" s="248">
        <v>8.1999999999999993</v>
      </c>
      <c r="U64" s="249">
        <v>29</v>
      </c>
    </row>
    <row r="65" spans="1:21" x14ac:dyDescent="0.25">
      <c r="A65" s="210">
        <v>37803</v>
      </c>
      <c r="B65" s="243">
        <v>3</v>
      </c>
      <c r="C65" s="244">
        <v>2</v>
      </c>
      <c r="D65" s="245">
        <v>0.75</v>
      </c>
      <c r="E65" s="246">
        <v>0.5</v>
      </c>
      <c r="F65" s="247">
        <v>0.25</v>
      </c>
      <c r="G65" s="247">
        <v>0</v>
      </c>
      <c r="H65" s="246">
        <v>-0.35</v>
      </c>
      <c r="I65" s="247">
        <v>-0.5</v>
      </c>
      <c r="J65" s="246">
        <v>-0.55000000000000004</v>
      </c>
      <c r="K65" s="246">
        <v>0</v>
      </c>
      <c r="L65" s="246">
        <v>0.8</v>
      </c>
      <c r="M65" s="247">
        <v>1.25</v>
      </c>
      <c r="N65" s="247">
        <v>1.75</v>
      </c>
      <c r="O65" s="246">
        <v>2.25</v>
      </c>
      <c r="P65" s="247">
        <v>2.85</v>
      </c>
      <c r="Q65" s="246">
        <v>3.25</v>
      </c>
      <c r="R65" s="247">
        <v>4.25</v>
      </c>
      <c r="S65" s="244">
        <v>5</v>
      </c>
      <c r="T65" s="248">
        <v>8.1999999999999993</v>
      </c>
      <c r="U65" s="249">
        <v>29</v>
      </c>
    </row>
    <row r="66" spans="1:21" x14ac:dyDescent="0.25">
      <c r="A66" s="210">
        <v>37834</v>
      </c>
      <c r="B66" s="243">
        <v>3</v>
      </c>
      <c r="C66" s="244">
        <v>2</v>
      </c>
      <c r="D66" s="245">
        <v>0.75</v>
      </c>
      <c r="E66" s="246">
        <v>0.5</v>
      </c>
      <c r="F66" s="247">
        <v>0.25</v>
      </c>
      <c r="G66" s="247">
        <v>0</v>
      </c>
      <c r="H66" s="246">
        <v>-0.35</v>
      </c>
      <c r="I66" s="247">
        <v>-0.5</v>
      </c>
      <c r="J66" s="246">
        <v>-0.55000000000000004</v>
      </c>
      <c r="K66" s="246">
        <v>0</v>
      </c>
      <c r="L66" s="246">
        <v>0.8</v>
      </c>
      <c r="M66" s="247">
        <v>1.25</v>
      </c>
      <c r="N66" s="247">
        <v>1.75</v>
      </c>
      <c r="O66" s="246">
        <v>2.25</v>
      </c>
      <c r="P66" s="247">
        <v>2.85</v>
      </c>
      <c r="Q66" s="246">
        <v>3.25</v>
      </c>
      <c r="R66" s="247">
        <v>4.25</v>
      </c>
      <c r="S66" s="244">
        <v>5</v>
      </c>
      <c r="T66" s="248">
        <v>8.1999999999999993</v>
      </c>
      <c r="U66" s="249">
        <v>29</v>
      </c>
    </row>
    <row r="67" spans="1:21" x14ac:dyDescent="0.25">
      <c r="A67" s="210">
        <v>37865</v>
      </c>
      <c r="B67" s="243">
        <v>3</v>
      </c>
      <c r="C67" s="244">
        <v>2</v>
      </c>
      <c r="D67" s="245">
        <v>0.75</v>
      </c>
      <c r="E67" s="246">
        <v>0.5</v>
      </c>
      <c r="F67" s="247">
        <v>0.25</v>
      </c>
      <c r="G67" s="247">
        <v>0</v>
      </c>
      <c r="H67" s="246">
        <v>-0.35</v>
      </c>
      <c r="I67" s="247">
        <v>-0.5</v>
      </c>
      <c r="J67" s="246">
        <v>-0.55000000000000004</v>
      </c>
      <c r="K67" s="246">
        <v>0</v>
      </c>
      <c r="L67" s="246">
        <v>0.8</v>
      </c>
      <c r="M67" s="247">
        <v>1.25</v>
      </c>
      <c r="N67" s="247">
        <v>1.75</v>
      </c>
      <c r="O67" s="246">
        <v>2.25</v>
      </c>
      <c r="P67" s="247">
        <v>2.85</v>
      </c>
      <c r="Q67" s="246">
        <v>3.25</v>
      </c>
      <c r="R67" s="247">
        <v>4.25</v>
      </c>
      <c r="S67" s="244">
        <v>5</v>
      </c>
      <c r="T67" s="248">
        <v>8.1999999999999993</v>
      </c>
      <c r="U67" s="249">
        <v>29</v>
      </c>
    </row>
    <row r="68" spans="1:21" x14ac:dyDescent="0.25">
      <c r="A68" s="210">
        <v>37895</v>
      </c>
      <c r="B68" s="243">
        <v>3</v>
      </c>
      <c r="C68" s="244">
        <v>2</v>
      </c>
      <c r="D68" s="245">
        <v>0.75</v>
      </c>
      <c r="E68" s="246">
        <v>0.5</v>
      </c>
      <c r="F68" s="247">
        <v>0.25</v>
      </c>
      <c r="G68" s="247">
        <v>0</v>
      </c>
      <c r="H68" s="246">
        <v>-0.35</v>
      </c>
      <c r="I68" s="247">
        <v>-0.5</v>
      </c>
      <c r="J68" s="246">
        <v>-0.55000000000000004</v>
      </c>
      <c r="K68" s="246">
        <v>0</v>
      </c>
      <c r="L68" s="246">
        <v>0.8</v>
      </c>
      <c r="M68" s="247">
        <v>1.25</v>
      </c>
      <c r="N68" s="247">
        <v>1.75</v>
      </c>
      <c r="O68" s="246">
        <v>2.25</v>
      </c>
      <c r="P68" s="247">
        <v>2.85</v>
      </c>
      <c r="Q68" s="246">
        <v>3.25</v>
      </c>
      <c r="R68" s="247">
        <v>4.25</v>
      </c>
      <c r="S68" s="244">
        <v>5</v>
      </c>
      <c r="T68" s="248">
        <v>8.1999999999999993</v>
      </c>
      <c r="U68" s="249">
        <v>29</v>
      </c>
    </row>
    <row r="69" spans="1:21" x14ac:dyDescent="0.25">
      <c r="A69" s="210">
        <v>37926</v>
      </c>
      <c r="B69" s="243">
        <v>3</v>
      </c>
      <c r="C69" s="244">
        <v>2</v>
      </c>
      <c r="D69" s="245">
        <v>0.75</v>
      </c>
      <c r="E69" s="246">
        <v>0.5</v>
      </c>
      <c r="F69" s="247">
        <v>0.25</v>
      </c>
      <c r="G69" s="247">
        <v>0</v>
      </c>
      <c r="H69" s="246">
        <v>-0.35</v>
      </c>
      <c r="I69" s="247">
        <v>-0.5</v>
      </c>
      <c r="J69" s="246">
        <v>-0.55000000000000004</v>
      </c>
      <c r="K69" s="246">
        <v>0</v>
      </c>
      <c r="L69" s="246">
        <v>0.8</v>
      </c>
      <c r="M69" s="247">
        <v>1.25</v>
      </c>
      <c r="N69" s="247">
        <v>1.75</v>
      </c>
      <c r="O69" s="246">
        <v>2.25</v>
      </c>
      <c r="P69" s="247">
        <v>2.85</v>
      </c>
      <c r="Q69" s="246">
        <v>3.25</v>
      </c>
      <c r="R69" s="247">
        <v>4.25</v>
      </c>
      <c r="S69" s="244">
        <v>5</v>
      </c>
      <c r="T69" s="248">
        <v>8.1999999999999993</v>
      </c>
      <c r="U69" s="249">
        <v>29</v>
      </c>
    </row>
    <row r="70" spans="1:21" x14ac:dyDescent="0.25">
      <c r="A70" s="210">
        <v>37956</v>
      </c>
      <c r="B70" s="243">
        <v>3</v>
      </c>
      <c r="C70" s="244">
        <v>2</v>
      </c>
      <c r="D70" s="245">
        <v>0.75</v>
      </c>
      <c r="E70" s="246">
        <v>0.5</v>
      </c>
      <c r="F70" s="247">
        <v>0.25</v>
      </c>
      <c r="G70" s="247">
        <v>0</v>
      </c>
      <c r="H70" s="246">
        <v>-0.35</v>
      </c>
      <c r="I70" s="247">
        <v>-0.5</v>
      </c>
      <c r="J70" s="246">
        <v>-0.55000000000000004</v>
      </c>
      <c r="K70" s="246">
        <v>0</v>
      </c>
      <c r="L70" s="246">
        <v>0.8</v>
      </c>
      <c r="M70" s="247">
        <v>1.25</v>
      </c>
      <c r="N70" s="247">
        <v>1.75</v>
      </c>
      <c r="O70" s="246">
        <v>2.25</v>
      </c>
      <c r="P70" s="247">
        <v>2.85</v>
      </c>
      <c r="Q70" s="246">
        <v>3.25</v>
      </c>
      <c r="R70" s="247">
        <v>4.25</v>
      </c>
      <c r="S70" s="244">
        <v>5</v>
      </c>
      <c r="T70" s="248">
        <v>8.1999999999999993</v>
      </c>
      <c r="U70" s="249">
        <v>29</v>
      </c>
    </row>
    <row r="71" spans="1:21" x14ac:dyDescent="0.25">
      <c r="A71" s="210">
        <v>37987</v>
      </c>
      <c r="B71" s="243">
        <v>3</v>
      </c>
      <c r="C71" s="244">
        <v>2</v>
      </c>
      <c r="D71" s="245">
        <v>0.75</v>
      </c>
      <c r="E71" s="246">
        <v>0.5</v>
      </c>
      <c r="F71" s="247">
        <v>0.25</v>
      </c>
      <c r="G71" s="247">
        <v>0</v>
      </c>
      <c r="H71" s="246">
        <v>-0.35</v>
      </c>
      <c r="I71" s="247">
        <v>-0.5</v>
      </c>
      <c r="J71" s="246">
        <v>-0.55000000000000004</v>
      </c>
      <c r="K71" s="246">
        <v>0</v>
      </c>
      <c r="L71" s="246">
        <v>0.8</v>
      </c>
      <c r="M71" s="247">
        <v>1.25</v>
      </c>
      <c r="N71" s="247">
        <v>1.75</v>
      </c>
      <c r="O71" s="246">
        <v>2.25</v>
      </c>
      <c r="P71" s="247">
        <v>2.85</v>
      </c>
      <c r="Q71" s="246">
        <v>3.25</v>
      </c>
      <c r="R71" s="247">
        <v>4.25</v>
      </c>
      <c r="S71" s="244">
        <v>5</v>
      </c>
      <c r="T71" s="248">
        <v>8.1999999999999993</v>
      </c>
      <c r="U71" s="249">
        <v>29</v>
      </c>
    </row>
    <row r="72" spans="1:21" x14ac:dyDescent="0.25">
      <c r="A72" s="210">
        <v>38018</v>
      </c>
      <c r="B72" s="243">
        <v>3</v>
      </c>
      <c r="C72" s="244">
        <v>2</v>
      </c>
      <c r="D72" s="245">
        <v>0.75</v>
      </c>
      <c r="E72" s="246">
        <v>0.5</v>
      </c>
      <c r="F72" s="247">
        <v>0.25</v>
      </c>
      <c r="G72" s="247">
        <v>0</v>
      </c>
      <c r="H72" s="246">
        <v>-0.35</v>
      </c>
      <c r="I72" s="247">
        <v>-0.5</v>
      </c>
      <c r="J72" s="246">
        <v>-0.55000000000000004</v>
      </c>
      <c r="K72" s="246">
        <v>0</v>
      </c>
      <c r="L72" s="246">
        <v>0.8</v>
      </c>
      <c r="M72" s="247">
        <v>1.25</v>
      </c>
      <c r="N72" s="247">
        <v>1.75</v>
      </c>
      <c r="O72" s="246">
        <v>2.25</v>
      </c>
      <c r="P72" s="247">
        <v>2.85</v>
      </c>
      <c r="Q72" s="246">
        <v>3.25</v>
      </c>
      <c r="R72" s="247">
        <v>4.25</v>
      </c>
      <c r="S72" s="244">
        <v>5</v>
      </c>
      <c r="T72" s="248">
        <v>8.1999999999999993</v>
      </c>
      <c r="U72" s="249">
        <v>29</v>
      </c>
    </row>
    <row r="73" spans="1:21" x14ac:dyDescent="0.25">
      <c r="A73" s="210">
        <v>38047</v>
      </c>
      <c r="B73" s="243">
        <v>3</v>
      </c>
      <c r="C73" s="244">
        <v>2</v>
      </c>
      <c r="D73" s="245">
        <v>0.75</v>
      </c>
      <c r="E73" s="246">
        <v>0.5</v>
      </c>
      <c r="F73" s="247">
        <v>0.25</v>
      </c>
      <c r="G73" s="247">
        <v>0</v>
      </c>
      <c r="H73" s="246">
        <v>-0.35</v>
      </c>
      <c r="I73" s="247">
        <v>-0.5</v>
      </c>
      <c r="J73" s="246">
        <v>-0.55000000000000004</v>
      </c>
      <c r="K73" s="246">
        <v>0</v>
      </c>
      <c r="L73" s="246">
        <v>0.8</v>
      </c>
      <c r="M73" s="247">
        <v>1.25</v>
      </c>
      <c r="N73" s="247">
        <v>1.75</v>
      </c>
      <c r="O73" s="246">
        <v>2.25</v>
      </c>
      <c r="P73" s="247">
        <v>2.85</v>
      </c>
      <c r="Q73" s="246">
        <v>3.25</v>
      </c>
      <c r="R73" s="247">
        <v>4.25</v>
      </c>
      <c r="S73" s="244">
        <v>5</v>
      </c>
      <c r="T73" s="248">
        <v>8.1999999999999993</v>
      </c>
      <c r="U73" s="249">
        <v>29</v>
      </c>
    </row>
    <row r="74" spans="1:21" x14ac:dyDescent="0.25">
      <c r="A74" s="210">
        <v>38078</v>
      </c>
      <c r="B74" s="243">
        <v>3</v>
      </c>
      <c r="C74" s="244">
        <v>2</v>
      </c>
      <c r="D74" s="245">
        <v>0.75</v>
      </c>
      <c r="E74" s="246">
        <v>0.5</v>
      </c>
      <c r="F74" s="247">
        <v>0.25</v>
      </c>
      <c r="G74" s="247">
        <v>0</v>
      </c>
      <c r="H74" s="246">
        <v>-0.3</v>
      </c>
      <c r="I74" s="247">
        <v>-0.5</v>
      </c>
      <c r="J74" s="246">
        <v>-0.55000000000000004</v>
      </c>
      <c r="K74" s="246">
        <v>0</v>
      </c>
      <c r="L74" s="246">
        <v>0.8</v>
      </c>
      <c r="M74" s="247">
        <v>1.25</v>
      </c>
      <c r="N74" s="247">
        <v>1.75</v>
      </c>
      <c r="O74" s="246">
        <v>2.25</v>
      </c>
      <c r="P74" s="247">
        <v>2.85</v>
      </c>
      <c r="Q74" s="246">
        <v>3.25</v>
      </c>
      <c r="R74" s="247">
        <v>4.25</v>
      </c>
      <c r="S74" s="244">
        <v>5</v>
      </c>
      <c r="T74" s="248">
        <v>8.1999999999999993</v>
      </c>
      <c r="U74" s="249">
        <v>29</v>
      </c>
    </row>
    <row r="75" spans="1:21" x14ac:dyDescent="0.25">
      <c r="A75" s="210">
        <v>38108</v>
      </c>
      <c r="B75" s="243">
        <v>3</v>
      </c>
      <c r="C75" s="244">
        <v>2</v>
      </c>
      <c r="D75" s="245">
        <v>0.75</v>
      </c>
      <c r="E75" s="246">
        <v>0.5</v>
      </c>
      <c r="F75" s="247">
        <v>0.25</v>
      </c>
      <c r="G75" s="247">
        <v>0</v>
      </c>
      <c r="H75" s="246">
        <v>-0.3</v>
      </c>
      <c r="I75" s="247">
        <v>-0.5</v>
      </c>
      <c r="J75" s="246">
        <v>-0.55000000000000004</v>
      </c>
      <c r="K75" s="246">
        <v>0</v>
      </c>
      <c r="L75" s="246">
        <v>0.8</v>
      </c>
      <c r="M75" s="247">
        <v>1.25</v>
      </c>
      <c r="N75" s="247">
        <v>1.75</v>
      </c>
      <c r="O75" s="246">
        <v>2.25</v>
      </c>
      <c r="P75" s="247">
        <v>2.85</v>
      </c>
      <c r="Q75" s="246">
        <v>3.25</v>
      </c>
      <c r="R75" s="247">
        <v>4.25</v>
      </c>
      <c r="S75" s="244">
        <v>5</v>
      </c>
      <c r="T75" s="248">
        <v>8.1999999999999993</v>
      </c>
      <c r="U75" s="249">
        <v>29</v>
      </c>
    </row>
    <row r="76" spans="1:21" x14ac:dyDescent="0.25">
      <c r="A76" s="210">
        <v>38139</v>
      </c>
      <c r="B76" s="243">
        <v>3</v>
      </c>
      <c r="C76" s="244">
        <v>2</v>
      </c>
      <c r="D76" s="245">
        <v>0.75</v>
      </c>
      <c r="E76" s="246">
        <v>0.5</v>
      </c>
      <c r="F76" s="247">
        <v>0.25</v>
      </c>
      <c r="G76" s="247">
        <v>0</v>
      </c>
      <c r="H76" s="246">
        <v>-0.3</v>
      </c>
      <c r="I76" s="247">
        <v>-0.5</v>
      </c>
      <c r="J76" s="246">
        <v>-0.55000000000000004</v>
      </c>
      <c r="K76" s="246">
        <v>0</v>
      </c>
      <c r="L76" s="246">
        <v>0.8</v>
      </c>
      <c r="M76" s="247">
        <v>1.25</v>
      </c>
      <c r="N76" s="247">
        <v>1.75</v>
      </c>
      <c r="O76" s="246">
        <v>2.25</v>
      </c>
      <c r="P76" s="247">
        <v>2.85</v>
      </c>
      <c r="Q76" s="246">
        <v>3.25</v>
      </c>
      <c r="R76" s="247">
        <v>4.25</v>
      </c>
      <c r="S76" s="244">
        <v>5</v>
      </c>
      <c r="T76" s="248">
        <v>8.1999999999999993</v>
      </c>
      <c r="U76" s="249">
        <v>29</v>
      </c>
    </row>
    <row r="77" spans="1:21" x14ac:dyDescent="0.25">
      <c r="A77" s="210">
        <v>38169</v>
      </c>
      <c r="B77" s="243">
        <v>3</v>
      </c>
      <c r="C77" s="244">
        <v>2</v>
      </c>
      <c r="D77" s="245">
        <v>0.75</v>
      </c>
      <c r="E77" s="246">
        <v>0.5</v>
      </c>
      <c r="F77" s="247">
        <v>0.25</v>
      </c>
      <c r="G77" s="247">
        <v>0</v>
      </c>
      <c r="H77" s="246">
        <v>-0.3</v>
      </c>
      <c r="I77" s="247">
        <v>-0.5</v>
      </c>
      <c r="J77" s="246">
        <v>-0.55000000000000004</v>
      </c>
      <c r="K77" s="246">
        <v>0</v>
      </c>
      <c r="L77" s="246">
        <v>0.8</v>
      </c>
      <c r="M77" s="247">
        <v>1.25</v>
      </c>
      <c r="N77" s="247">
        <v>1.75</v>
      </c>
      <c r="O77" s="246">
        <v>2.25</v>
      </c>
      <c r="P77" s="247">
        <v>2.85</v>
      </c>
      <c r="Q77" s="246">
        <v>3.25</v>
      </c>
      <c r="R77" s="247">
        <v>4.25</v>
      </c>
      <c r="S77" s="244">
        <v>5</v>
      </c>
      <c r="T77" s="248">
        <v>8.1999999999999993</v>
      </c>
      <c r="U77" s="249">
        <v>29</v>
      </c>
    </row>
    <row r="78" spans="1:21" x14ac:dyDescent="0.25">
      <c r="A78" s="210">
        <v>38200</v>
      </c>
      <c r="B78" s="243">
        <v>3</v>
      </c>
      <c r="C78" s="244">
        <v>2</v>
      </c>
      <c r="D78" s="245">
        <v>0.75</v>
      </c>
      <c r="E78" s="246">
        <v>0.5</v>
      </c>
      <c r="F78" s="247">
        <v>0.25</v>
      </c>
      <c r="G78" s="247">
        <v>0</v>
      </c>
      <c r="H78" s="246">
        <v>-0.3</v>
      </c>
      <c r="I78" s="247">
        <v>-0.5</v>
      </c>
      <c r="J78" s="246">
        <v>-0.55000000000000004</v>
      </c>
      <c r="K78" s="246">
        <v>0</v>
      </c>
      <c r="L78" s="246">
        <v>0.8</v>
      </c>
      <c r="M78" s="247">
        <v>1.25</v>
      </c>
      <c r="N78" s="247">
        <v>1.75</v>
      </c>
      <c r="O78" s="246">
        <v>2.25</v>
      </c>
      <c r="P78" s="247">
        <v>2.85</v>
      </c>
      <c r="Q78" s="246">
        <v>3.25</v>
      </c>
      <c r="R78" s="247">
        <v>4.25</v>
      </c>
      <c r="S78" s="244">
        <v>5</v>
      </c>
      <c r="T78" s="248">
        <v>8.1999999999999993</v>
      </c>
      <c r="U78" s="249">
        <v>29</v>
      </c>
    </row>
    <row r="79" spans="1:21" x14ac:dyDescent="0.25">
      <c r="A79" s="210">
        <v>38231</v>
      </c>
      <c r="B79" s="243">
        <v>3</v>
      </c>
      <c r="C79" s="244">
        <v>2</v>
      </c>
      <c r="D79" s="245">
        <v>0.75</v>
      </c>
      <c r="E79" s="246">
        <v>0.5</v>
      </c>
      <c r="F79" s="247">
        <v>0.25</v>
      </c>
      <c r="G79" s="247">
        <v>0</v>
      </c>
      <c r="H79" s="246">
        <v>-0.3</v>
      </c>
      <c r="I79" s="247">
        <v>-0.5</v>
      </c>
      <c r="J79" s="246">
        <v>-0.55000000000000004</v>
      </c>
      <c r="K79" s="246">
        <v>0</v>
      </c>
      <c r="L79" s="246">
        <v>0.8</v>
      </c>
      <c r="M79" s="247">
        <v>1.25</v>
      </c>
      <c r="N79" s="247">
        <v>1.75</v>
      </c>
      <c r="O79" s="246">
        <v>2.25</v>
      </c>
      <c r="P79" s="247">
        <v>2.85</v>
      </c>
      <c r="Q79" s="246">
        <v>3.25</v>
      </c>
      <c r="R79" s="247">
        <v>4.25</v>
      </c>
      <c r="S79" s="244">
        <v>5</v>
      </c>
      <c r="T79" s="248">
        <v>8.1999999999999993</v>
      </c>
      <c r="U79" s="249">
        <v>29</v>
      </c>
    </row>
    <row r="80" spans="1:21" x14ac:dyDescent="0.25">
      <c r="A80" s="210">
        <v>40513</v>
      </c>
      <c r="B80" s="243">
        <v>3</v>
      </c>
      <c r="C80" s="244">
        <v>2</v>
      </c>
      <c r="D80" s="245">
        <v>0.75</v>
      </c>
      <c r="E80" s="246">
        <v>0.5</v>
      </c>
      <c r="F80" s="247">
        <v>0.25</v>
      </c>
      <c r="G80" s="247">
        <v>0</v>
      </c>
      <c r="H80" s="246">
        <v>-0.3</v>
      </c>
      <c r="I80" s="247">
        <v>-0.5</v>
      </c>
      <c r="J80" s="246">
        <v>-0.55000000000000004</v>
      </c>
      <c r="K80" s="246">
        <v>0</v>
      </c>
      <c r="L80" s="246">
        <v>0.8</v>
      </c>
      <c r="M80" s="247">
        <v>1.25</v>
      </c>
      <c r="N80" s="247">
        <v>1.75</v>
      </c>
      <c r="O80" s="246">
        <v>2.25</v>
      </c>
      <c r="P80" s="247">
        <v>2.85</v>
      </c>
      <c r="Q80" s="246">
        <v>3.25</v>
      </c>
      <c r="R80" s="247">
        <v>4.25</v>
      </c>
      <c r="S80" s="244">
        <v>5</v>
      </c>
      <c r="T80" s="248">
        <v>8.1999999999999993</v>
      </c>
      <c r="U80" s="249">
        <v>29</v>
      </c>
    </row>
    <row r="81" spans="1:21" ht="13.8" thickBot="1" x14ac:dyDescent="0.3">
      <c r="A81" s="211">
        <v>44531</v>
      </c>
      <c r="B81" s="250">
        <v>3</v>
      </c>
      <c r="C81" s="251">
        <v>2</v>
      </c>
      <c r="D81" s="252">
        <v>0.75</v>
      </c>
      <c r="E81" s="253">
        <v>0.5</v>
      </c>
      <c r="F81" s="254">
        <v>0.25</v>
      </c>
      <c r="G81" s="254">
        <v>0</v>
      </c>
      <c r="H81" s="253">
        <v>-0.3</v>
      </c>
      <c r="I81" s="254">
        <v>-0.5</v>
      </c>
      <c r="J81" s="253">
        <v>-0.55000000000000004</v>
      </c>
      <c r="K81" s="253">
        <v>0</v>
      </c>
      <c r="L81" s="253">
        <v>0.8</v>
      </c>
      <c r="M81" s="254">
        <v>1.25</v>
      </c>
      <c r="N81" s="254">
        <v>1.75</v>
      </c>
      <c r="O81" s="253">
        <v>2.25</v>
      </c>
      <c r="P81" s="254">
        <v>2.85</v>
      </c>
      <c r="Q81" s="253">
        <v>3.25</v>
      </c>
      <c r="R81" s="254">
        <v>4.25</v>
      </c>
      <c r="S81" s="251">
        <v>5</v>
      </c>
      <c r="T81" s="255">
        <v>8.1999999999999993</v>
      </c>
      <c r="U81" s="256">
        <v>29</v>
      </c>
    </row>
    <row r="82" spans="1:21" ht="13.8" thickBot="1" x14ac:dyDescent="0.3"/>
    <row r="83" spans="1:21" x14ac:dyDescent="0.25">
      <c r="A83" s="79">
        <v>1</v>
      </c>
      <c r="B83" s="79">
        <v>1</v>
      </c>
      <c r="C83" s="213" t="s">
        <v>160</v>
      </c>
      <c r="D83" s="214" t="s">
        <v>160</v>
      </c>
      <c r="E83" s="214" t="s">
        <v>160</v>
      </c>
      <c r="F83" s="214" t="s">
        <v>160</v>
      </c>
      <c r="G83" s="214" t="s">
        <v>160</v>
      </c>
      <c r="H83" s="214" t="s">
        <v>160</v>
      </c>
      <c r="I83" s="215" t="s">
        <v>160</v>
      </c>
    </row>
    <row r="84" spans="1:21" x14ac:dyDescent="0.25">
      <c r="A84" s="79" t="s">
        <v>161</v>
      </c>
      <c r="B84" s="79">
        <v>2</v>
      </c>
      <c r="C84" s="216" t="s">
        <v>160</v>
      </c>
      <c r="D84" s="101" t="s">
        <v>160</v>
      </c>
      <c r="E84" s="101" t="s">
        <v>160</v>
      </c>
      <c r="F84" s="101" t="s">
        <v>160</v>
      </c>
      <c r="G84" s="101" t="s">
        <v>160</v>
      </c>
      <c r="H84" s="101" t="s">
        <v>160</v>
      </c>
      <c r="I84" s="217" t="s">
        <v>160</v>
      </c>
    </row>
    <row r="85" spans="1:21" x14ac:dyDescent="0.25">
      <c r="A85" s="79" t="s">
        <v>162</v>
      </c>
      <c r="B85" s="79">
        <v>3</v>
      </c>
      <c r="C85" s="216" t="s">
        <v>160</v>
      </c>
      <c r="D85" s="101" t="s">
        <v>160</v>
      </c>
      <c r="E85" s="101" t="s">
        <v>160</v>
      </c>
      <c r="F85" s="101" t="s">
        <v>160</v>
      </c>
      <c r="G85" s="101" t="s">
        <v>160</v>
      </c>
      <c r="H85" s="101" t="s">
        <v>160</v>
      </c>
      <c r="I85" s="217" t="s">
        <v>160</v>
      </c>
    </row>
    <row r="86" spans="1:21" x14ac:dyDescent="0.25">
      <c r="B86" s="79">
        <v>4</v>
      </c>
      <c r="C86" s="216" t="s">
        <v>160</v>
      </c>
      <c r="D86" s="101" t="s">
        <v>160</v>
      </c>
      <c r="E86" s="101" t="s">
        <v>160</v>
      </c>
      <c r="F86" s="101" t="s">
        <v>160</v>
      </c>
      <c r="G86" s="101" t="s">
        <v>160</v>
      </c>
      <c r="H86" s="101" t="s">
        <v>160</v>
      </c>
      <c r="I86" s="217" t="s">
        <v>160</v>
      </c>
    </row>
    <row r="87" spans="1:21" x14ac:dyDescent="0.25">
      <c r="B87" s="79">
        <v>5</v>
      </c>
      <c r="C87" s="216" t="s">
        <v>160</v>
      </c>
      <c r="D87" s="101" t="s">
        <v>160</v>
      </c>
      <c r="E87" s="101" t="s">
        <v>160</v>
      </c>
      <c r="F87" s="101" t="s">
        <v>160</v>
      </c>
      <c r="G87" s="101" t="s">
        <v>160</v>
      </c>
      <c r="H87" s="101" t="s">
        <v>160</v>
      </c>
      <c r="I87" s="217" t="s">
        <v>160</v>
      </c>
    </row>
    <row r="88" spans="1:21" x14ac:dyDescent="0.25">
      <c r="B88" s="79">
        <v>6</v>
      </c>
      <c r="C88" s="216" t="s">
        <v>160</v>
      </c>
      <c r="D88" s="101" t="s">
        <v>160</v>
      </c>
      <c r="E88" s="101" t="s">
        <v>160</v>
      </c>
      <c r="F88" s="101" t="s">
        <v>160</v>
      </c>
      <c r="G88" s="101" t="s">
        <v>160</v>
      </c>
      <c r="H88" s="101" t="s">
        <v>160</v>
      </c>
      <c r="I88" s="217" t="s">
        <v>160</v>
      </c>
    </row>
    <row r="89" spans="1:21" x14ac:dyDescent="0.25">
      <c r="B89" s="79">
        <v>7</v>
      </c>
      <c r="C89" s="216" t="s">
        <v>160</v>
      </c>
      <c r="D89" s="101" t="s">
        <v>160</v>
      </c>
      <c r="E89" s="101" t="s">
        <v>160</v>
      </c>
      <c r="F89" s="101" t="s">
        <v>160</v>
      </c>
      <c r="G89" s="101" t="s">
        <v>160</v>
      </c>
      <c r="H89" s="101" t="s">
        <v>160</v>
      </c>
      <c r="I89" s="217" t="s">
        <v>160</v>
      </c>
    </row>
    <row r="90" spans="1:21" x14ac:dyDescent="0.25">
      <c r="B90" s="79">
        <v>8</v>
      </c>
      <c r="C90" s="216" t="s">
        <v>160</v>
      </c>
      <c r="D90" s="101" t="s">
        <v>160</v>
      </c>
      <c r="E90" s="101" t="s">
        <v>160</v>
      </c>
      <c r="F90" s="101" t="s">
        <v>160</v>
      </c>
      <c r="G90" s="101" t="s">
        <v>160</v>
      </c>
      <c r="H90" s="101" t="s">
        <v>160</v>
      </c>
      <c r="I90" s="217" t="s">
        <v>160</v>
      </c>
    </row>
    <row r="91" spans="1:21" x14ac:dyDescent="0.25">
      <c r="B91" s="79">
        <v>9</v>
      </c>
      <c r="C91" s="216" t="s">
        <v>160</v>
      </c>
      <c r="D91" s="101" t="s">
        <v>160</v>
      </c>
      <c r="E91" s="101" t="s">
        <v>160</v>
      </c>
      <c r="F91" s="101" t="s">
        <v>160</v>
      </c>
      <c r="G91" s="101" t="s">
        <v>160</v>
      </c>
      <c r="H91" s="101" t="s">
        <v>160</v>
      </c>
      <c r="I91" s="217" t="s">
        <v>160</v>
      </c>
    </row>
    <row r="92" spans="1:21" x14ac:dyDescent="0.25">
      <c r="B92" s="79">
        <v>10</v>
      </c>
      <c r="C92" s="216" t="s">
        <v>160</v>
      </c>
      <c r="D92" s="101" t="s">
        <v>160</v>
      </c>
      <c r="E92" s="101" t="s">
        <v>160</v>
      </c>
      <c r="F92" s="101" t="s">
        <v>160</v>
      </c>
      <c r="G92" s="101" t="s">
        <v>160</v>
      </c>
      <c r="H92" s="101" t="s">
        <v>160</v>
      </c>
      <c r="I92" s="217" t="s">
        <v>160</v>
      </c>
    </row>
    <row r="93" spans="1:21" x14ac:dyDescent="0.25">
      <c r="B93" s="79">
        <v>11</v>
      </c>
      <c r="C93" s="216" t="s">
        <v>160</v>
      </c>
      <c r="D93" s="101" t="s">
        <v>160</v>
      </c>
      <c r="E93" s="101" t="s">
        <v>160</v>
      </c>
      <c r="F93" s="101" t="s">
        <v>160</v>
      </c>
      <c r="G93" s="101" t="s">
        <v>160</v>
      </c>
      <c r="H93" s="101" t="s">
        <v>160</v>
      </c>
      <c r="I93" s="217" t="s">
        <v>160</v>
      </c>
    </row>
    <row r="94" spans="1:21" x14ac:dyDescent="0.25">
      <c r="B94" s="79">
        <v>12</v>
      </c>
      <c r="C94" s="216" t="s">
        <v>160</v>
      </c>
      <c r="D94" s="101" t="s">
        <v>160</v>
      </c>
      <c r="E94" s="101" t="s">
        <v>160</v>
      </c>
      <c r="F94" s="101" t="s">
        <v>160</v>
      </c>
      <c r="G94" s="101" t="s">
        <v>160</v>
      </c>
      <c r="H94" s="101" t="s">
        <v>160</v>
      </c>
      <c r="I94" s="217" t="s">
        <v>160</v>
      </c>
    </row>
    <row r="95" spans="1:21" x14ac:dyDescent="0.25">
      <c r="B95" s="79">
        <v>13</v>
      </c>
      <c r="C95" s="216" t="s">
        <v>160</v>
      </c>
      <c r="D95" s="101" t="s">
        <v>160</v>
      </c>
      <c r="E95" s="101" t="s">
        <v>160</v>
      </c>
      <c r="F95" s="101" t="s">
        <v>160</v>
      </c>
      <c r="G95" s="101" t="s">
        <v>160</v>
      </c>
      <c r="H95" s="101" t="s">
        <v>160</v>
      </c>
      <c r="I95" s="217" t="s">
        <v>160</v>
      </c>
    </row>
    <row r="96" spans="1:21" x14ac:dyDescent="0.25">
      <c r="B96" s="79">
        <v>14</v>
      </c>
      <c r="C96" s="216" t="s">
        <v>160</v>
      </c>
      <c r="D96" s="101" t="s">
        <v>160</v>
      </c>
      <c r="E96" s="101" t="s">
        <v>160</v>
      </c>
      <c r="F96" s="101" t="s">
        <v>160</v>
      </c>
      <c r="G96" s="101" t="s">
        <v>160</v>
      </c>
      <c r="H96" s="101" t="s">
        <v>160</v>
      </c>
      <c r="I96" s="217" t="s">
        <v>160</v>
      </c>
    </row>
    <row r="97" spans="2:9" x14ac:dyDescent="0.25">
      <c r="B97" s="79">
        <v>15</v>
      </c>
      <c r="C97" s="216" t="s">
        <v>160</v>
      </c>
      <c r="D97" s="101" t="s">
        <v>160</v>
      </c>
      <c r="E97" s="101" t="s">
        <v>160</v>
      </c>
      <c r="F97" s="101" t="s">
        <v>160</v>
      </c>
      <c r="G97" s="101" t="s">
        <v>160</v>
      </c>
      <c r="H97" s="101" t="s">
        <v>160</v>
      </c>
      <c r="I97" s="217" t="s">
        <v>160</v>
      </c>
    </row>
    <row r="98" spans="2:9" x14ac:dyDescent="0.25">
      <c r="B98" s="79">
        <v>16</v>
      </c>
      <c r="C98" s="216" t="s">
        <v>160</v>
      </c>
      <c r="D98" s="101" t="s">
        <v>160</v>
      </c>
      <c r="E98" s="101" t="s">
        <v>160</v>
      </c>
      <c r="F98" s="101" t="s">
        <v>160</v>
      </c>
      <c r="G98" s="101" t="s">
        <v>160</v>
      </c>
      <c r="H98" s="101" t="s">
        <v>160</v>
      </c>
      <c r="I98" s="217" t="s">
        <v>160</v>
      </c>
    </row>
    <row r="99" spans="2:9" x14ac:dyDescent="0.25">
      <c r="B99" s="79">
        <v>17</v>
      </c>
      <c r="C99" s="216" t="s">
        <v>160</v>
      </c>
      <c r="D99" s="101" t="s">
        <v>160</v>
      </c>
      <c r="E99" s="101" t="s">
        <v>160</v>
      </c>
      <c r="F99" s="101" t="s">
        <v>160</v>
      </c>
      <c r="G99" s="101" t="s">
        <v>160</v>
      </c>
      <c r="H99" s="101" t="s">
        <v>160</v>
      </c>
      <c r="I99" s="217" t="s">
        <v>160</v>
      </c>
    </row>
    <row r="100" spans="2:9" x14ac:dyDescent="0.25">
      <c r="B100" s="79">
        <v>18</v>
      </c>
      <c r="C100" s="216" t="s">
        <v>160</v>
      </c>
      <c r="D100" s="101" t="s">
        <v>160</v>
      </c>
      <c r="E100" s="101" t="s">
        <v>160</v>
      </c>
      <c r="F100" s="101" t="s">
        <v>160</v>
      </c>
      <c r="G100" s="101" t="s">
        <v>160</v>
      </c>
      <c r="H100" s="101" t="s">
        <v>160</v>
      </c>
      <c r="I100" s="217" t="s">
        <v>160</v>
      </c>
    </row>
    <row r="101" spans="2:9" x14ac:dyDescent="0.25">
      <c r="B101" s="79">
        <v>19</v>
      </c>
      <c r="C101" s="216" t="s">
        <v>160</v>
      </c>
      <c r="D101" s="101" t="s">
        <v>160</v>
      </c>
      <c r="E101" s="101" t="s">
        <v>160</v>
      </c>
      <c r="F101" s="101" t="s">
        <v>160</v>
      </c>
      <c r="G101" s="101" t="s">
        <v>160</v>
      </c>
      <c r="H101" s="101" t="s">
        <v>160</v>
      </c>
      <c r="I101" s="217" t="s">
        <v>160</v>
      </c>
    </row>
    <row r="102" spans="2:9" x14ac:dyDescent="0.25">
      <c r="B102" s="79">
        <v>20</v>
      </c>
      <c r="C102" s="216" t="s">
        <v>160</v>
      </c>
      <c r="D102" s="101" t="s">
        <v>160</v>
      </c>
      <c r="E102" s="101" t="s">
        <v>160</v>
      </c>
      <c r="F102" s="101" t="s">
        <v>160</v>
      </c>
      <c r="G102" s="101" t="s">
        <v>160</v>
      </c>
      <c r="H102" s="101" t="s">
        <v>160</v>
      </c>
      <c r="I102" s="217" t="s">
        <v>160</v>
      </c>
    </row>
    <row r="103" spans="2:9" x14ac:dyDescent="0.25">
      <c r="B103" s="79">
        <v>21</v>
      </c>
      <c r="C103" s="216" t="s">
        <v>160</v>
      </c>
      <c r="D103" s="101" t="s">
        <v>160</v>
      </c>
      <c r="E103" s="101" t="s">
        <v>160</v>
      </c>
      <c r="F103" s="101" t="s">
        <v>160</v>
      </c>
      <c r="G103" s="101" t="s">
        <v>160</v>
      </c>
      <c r="H103" s="101" t="s">
        <v>160</v>
      </c>
      <c r="I103" s="217" t="s">
        <v>160</v>
      </c>
    </row>
    <row r="104" spans="2:9" x14ac:dyDescent="0.25">
      <c r="B104" s="79">
        <v>22</v>
      </c>
      <c r="C104" s="216" t="s">
        <v>160</v>
      </c>
      <c r="D104" s="101" t="s">
        <v>160</v>
      </c>
      <c r="E104" s="101" t="s">
        <v>160</v>
      </c>
      <c r="F104" s="101" t="s">
        <v>160</v>
      </c>
      <c r="G104" s="101" t="s">
        <v>160</v>
      </c>
      <c r="H104" s="101" t="s">
        <v>160</v>
      </c>
      <c r="I104" s="217" t="s">
        <v>160</v>
      </c>
    </row>
    <row r="105" spans="2:9" x14ac:dyDescent="0.25">
      <c r="B105" s="79">
        <v>23</v>
      </c>
      <c r="C105" s="216" t="s">
        <v>160</v>
      </c>
      <c r="D105" s="101" t="s">
        <v>160</v>
      </c>
      <c r="E105" s="101" t="s">
        <v>160</v>
      </c>
      <c r="F105" s="101" t="s">
        <v>160</v>
      </c>
      <c r="G105" s="101" t="s">
        <v>160</v>
      </c>
      <c r="H105" s="101" t="s">
        <v>160</v>
      </c>
      <c r="I105" s="217" t="s">
        <v>160</v>
      </c>
    </row>
    <row r="106" spans="2:9" x14ac:dyDescent="0.25">
      <c r="B106" s="79">
        <v>24</v>
      </c>
      <c r="C106" s="216" t="s">
        <v>160</v>
      </c>
      <c r="D106" s="101" t="s">
        <v>160</v>
      </c>
      <c r="E106" s="101" t="s">
        <v>160</v>
      </c>
      <c r="F106" s="101" t="s">
        <v>160</v>
      </c>
      <c r="G106" s="101" t="s">
        <v>160</v>
      </c>
      <c r="H106" s="101" t="s">
        <v>160</v>
      </c>
      <c r="I106" s="217" t="s">
        <v>160</v>
      </c>
    </row>
    <row r="107" spans="2:9" x14ac:dyDescent="0.25">
      <c r="B107" s="79">
        <v>25</v>
      </c>
      <c r="C107" s="216" t="s">
        <v>160</v>
      </c>
      <c r="D107" s="101" t="s">
        <v>160</v>
      </c>
      <c r="E107" s="101" t="s">
        <v>160</v>
      </c>
      <c r="F107" s="101" t="s">
        <v>160</v>
      </c>
      <c r="G107" s="101" t="s">
        <v>160</v>
      </c>
      <c r="H107" s="101" t="s">
        <v>160</v>
      </c>
      <c r="I107" s="217" t="s">
        <v>160</v>
      </c>
    </row>
    <row r="108" spans="2:9" x14ac:dyDescent="0.25">
      <c r="B108" s="79">
        <v>26</v>
      </c>
      <c r="C108" s="216" t="s">
        <v>160</v>
      </c>
      <c r="D108" s="101" t="s">
        <v>160</v>
      </c>
      <c r="E108" s="101" t="s">
        <v>160</v>
      </c>
      <c r="F108" s="101" t="s">
        <v>160</v>
      </c>
      <c r="G108" s="101" t="s">
        <v>160</v>
      </c>
      <c r="H108" s="101" t="s">
        <v>160</v>
      </c>
      <c r="I108" s="217" t="s">
        <v>160</v>
      </c>
    </row>
    <row r="109" spans="2:9" x14ac:dyDescent="0.25">
      <c r="B109" s="79">
        <v>27</v>
      </c>
      <c r="C109" s="216" t="s">
        <v>160</v>
      </c>
      <c r="D109" s="101" t="s">
        <v>160</v>
      </c>
      <c r="E109" s="101" t="s">
        <v>160</v>
      </c>
      <c r="F109" s="101" t="s">
        <v>160</v>
      </c>
      <c r="G109" s="101" t="s">
        <v>160</v>
      </c>
      <c r="H109" s="101" t="s">
        <v>160</v>
      </c>
      <c r="I109" s="217" t="s">
        <v>160</v>
      </c>
    </row>
    <row r="110" spans="2:9" x14ac:dyDescent="0.25">
      <c r="B110" s="79">
        <v>28</v>
      </c>
      <c r="C110" s="216" t="s">
        <v>160</v>
      </c>
      <c r="D110" s="101" t="s">
        <v>160</v>
      </c>
      <c r="E110" s="101" t="s">
        <v>160</v>
      </c>
      <c r="F110" s="101" t="s">
        <v>160</v>
      </c>
      <c r="G110" s="101" t="s">
        <v>160</v>
      </c>
      <c r="H110" s="101" t="s">
        <v>160</v>
      </c>
      <c r="I110" s="217" t="s">
        <v>160</v>
      </c>
    </row>
    <row r="111" spans="2:9" x14ac:dyDescent="0.25">
      <c r="B111" s="79">
        <v>29</v>
      </c>
      <c r="C111" s="216" t="s">
        <v>160</v>
      </c>
      <c r="D111" s="101" t="s">
        <v>160</v>
      </c>
      <c r="E111" s="101" t="s">
        <v>160</v>
      </c>
      <c r="F111" s="101" t="s">
        <v>160</v>
      </c>
      <c r="G111" s="101" t="s">
        <v>160</v>
      </c>
      <c r="H111" s="101" t="s">
        <v>160</v>
      </c>
      <c r="I111" s="217" t="s">
        <v>160</v>
      </c>
    </row>
    <row r="112" spans="2:9" x14ac:dyDescent="0.25">
      <c r="B112" s="79">
        <v>30</v>
      </c>
      <c r="C112" s="216" t="s">
        <v>160</v>
      </c>
      <c r="D112" s="101" t="s">
        <v>160</v>
      </c>
      <c r="E112" s="101" t="s">
        <v>160</v>
      </c>
      <c r="F112" s="101" t="s">
        <v>160</v>
      </c>
      <c r="G112" s="101" t="s">
        <v>160</v>
      </c>
      <c r="H112" s="101" t="s">
        <v>160</v>
      </c>
      <c r="I112" s="217" t="s">
        <v>160</v>
      </c>
    </row>
    <row r="113" spans="1:9" x14ac:dyDescent="0.25">
      <c r="B113" s="79">
        <v>31</v>
      </c>
      <c r="C113" s="216" t="s">
        <v>160</v>
      </c>
      <c r="D113" s="101" t="s">
        <v>160</v>
      </c>
      <c r="E113" s="101" t="s">
        <v>160</v>
      </c>
      <c r="F113" s="101" t="s">
        <v>160</v>
      </c>
      <c r="G113" s="101" t="s">
        <v>160</v>
      </c>
      <c r="H113" s="101" t="s">
        <v>160</v>
      </c>
      <c r="I113" s="217" t="s">
        <v>160</v>
      </c>
    </row>
    <row r="114" spans="1:9" x14ac:dyDescent="0.25">
      <c r="B114" s="79">
        <v>32</v>
      </c>
      <c r="C114" s="216" t="s">
        <v>160</v>
      </c>
      <c r="D114" s="101" t="s">
        <v>160</v>
      </c>
      <c r="E114" s="101" t="s">
        <v>160</v>
      </c>
      <c r="F114" s="101" t="s">
        <v>160</v>
      </c>
      <c r="G114" s="101" t="s">
        <v>160</v>
      </c>
      <c r="H114" s="101" t="s">
        <v>160</v>
      </c>
      <c r="I114" s="217" t="s">
        <v>160</v>
      </c>
    </row>
    <row r="115" spans="1:9" x14ac:dyDescent="0.25">
      <c r="B115" s="79">
        <v>33</v>
      </c>
      <c r="C115" s="216" t="s">
        <v>160</v>
      </c>
      <c r="D115" s="101" t="s">
        <v>160</v>
      </c>
      <c r="E115" s="101" t="s">
        <v>160</v>
      </c>
      <c r="F115" s="101" t="s">
        <v>160</v>
      </c>
      <c r="G115" s="101" t="s">
        <v>160</v>
      </c>
      <c r="H115" s="101" t="s">
        <v>160</v>
      </c>
      <c r="I115" s="217" t="s">
        <v>160</v>
      </c>
    </row>
    <row r="116" spans="1:9" x14ac:dyDescent="0.25">
      <c r="B116" s="79">
        <v>34</v>
      </c>
      <c r="C116" s="216" t="s">
        <v>160</v>
      </c>
      <c r="D116" s="101" t="s">
        <v>160</v>
      </c>
      <c r="E116" s="101" t="s">
        <v>160</v>
      </c>
      <c r="F116" s="101" t="s">
        <v>160</v>
      </c>
      <c r="G116" s="101" t="s">
        <v>160</v>
      </c>
      <c r="H116" s="101" t="s">
        <v>160</v>
      </c>
      <c r="I116" s="217" t="s">
        <v>160</v>
      </c>
    </row>
    <row r="117" spans="1:9" x14ac:dyDescent="0.25">
      <c r="B117" s="79">
        <v>35</v>
      </c>
      <c r="C117" s="216" t="s">
        <v>160</v>
      </c>
      <c r="D117" s="101" t="s">
        <v>160</v>
      </c>
      <c r="E117" s="101" t="s">
        <v>160</v>
      </c>
      <c r="F117" s="101" t="s">
        <v>160</v>
      </c>
      <c r="G117" s="101" t="s">
        <v>160</v>
      </c>
      <c r="H117" s="101" t="s">
        <v>160</v>
      </c>
      <c r="I117" s="217" t="s">
        <v>160</v>
      </c>
    </row>
    <row r="118" spans="1:9" x14ac:dyDescent="0.25">
      <c r="B118" s="79">
        <v>36</v>
      </c>
      <c r="C118" s="216" t="s">
        <v>160</v>
      </c>
      <c r="D118" s="101" t="s">
        <v>160</v>
      </c>
      <c r="E118" s="101" t="s">
        <v>160</v>
      </c>
      <c r="F118" s="101" t="s">
        <v>160</v>
      </c>
      <c r="G118" s="101" t="s">
        <v>160</v>
      </c>
      <c r="H118" s="101" t="s">
        <v>160</v>
      </c>
      <c r="I118" s="217" t="s">
        <v>160</v>
      </c>
    </row>
    <row r="119" spans="1:9" x14ac:dyDescent="0.25">
      <c r="B119" s="79">
        <v>37</v>
      </c>
      <c r="C119" s="216" t="s">
        <v>160</v>
      </c>
      <c r="D119" s="101" t="s">
        <v>160</v>
      </c>
      <c r="E119" s="101" t="s">
        <v>160</v>
      </c>
      <c r="F119" s="101" t="s">
        <v>160</v>
      </c>
      <c r="G119" s="101" t="s">
        <v>160</v>
      </c>
      <c r="H119" s="101" t="s">
        <v>160</v>
      </c>
      <c r="I119" s="217" t="s">
        <v>160</v>
      </c>
    </row>
    <row r="120" spans="1:9" ht="13.8" thickBot="1" x14ac:dyDescent="0.3">
      <c r="B120" s="79">
        <v>38</v>
      </c>
      <c r="C120" s="218" t="s">
        <v>160</v>
      </c>
      <c r="D120" s="219" t="s">
        <v>160</v>
      </c>
      <c r="E120" s="219" t="s">
        <v>160</v>
      </c>
      <c r="F120" s="219" t="s">
        <v>160</v>
      </c>
      <c r="G120" s="219" t="s">
        <v>160</v>
      </c>
      <c r="H120" s="219" t="s">
        <v>160</v>
      </c>
      <c r="I120" s="220" t="s">
        <v>160</v>
      </c>
    </row>
    <row r="121" spans="1:9" x14ac:dyDescent="0.25">
      <c r="D121" s="101"/>
      <c r="E121" s="101"/>
      <c r="F121" s="101"/>
      <c r="G121" s="101"/>
      <c r="H121" s="101"/>
      <c r="I121" s="101"/>
    </row>
    <row r="122" spans="1:9" x14ac:dyDescent="0.25">
      <c r="B122" s="221"/>
      <c r="D122" s="101"/>
      <c r="E122" s="101"/>
      <c r="F122" s="101"/>
      <c r="G122" s="101"/>
      <c r="H122" s="101"/>
      <c r="I122" s="101"/>
    </row>
    <row r="123" spans="1:9" x14ac:dyDescent="0.25">
      <c r="A123" s="79">
        <v>1</v>
      </c>
    </row>
    <row r="124" spans="1:9" x14ac:dyDescent="0.25">
      <c r="D124" s="101"/>
      <c r="E124" s="101"/>
      <c r="F124" s="101"/>
      <c r="G124" s="101"/>
      <c r="H124" s="101"/>
      <c r="I124" s="101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3.2" x14ac:dyDescent="0.25"/>
  <cols>
    <col min="1" max="1" width="18.6640625" style="144" bestFit="1" customWidth="1"/>
  </cols>
  <sheetData>
    <row r="4" spans="1:11" x14ac:dyDescent="0.25">
      <c r="A4" s="144" t="s">
        <v>95</v>
      </c>
      <c r="K4" s="144" t="s">
        <v>76</v>
      </c>
    </row>
    <row r="5" spans="1:11" x14ac:dyDescent="0.25">
      <c r="A5" s="144" t="s">
        <v>98</v>
      </c>
      <c r="K5" s="144" t="s">
        <v>87</v>
      </c>
    </row>
    <row r="6" spans="1:11" x14ac:dyDescent="0.25">
      <c r="A6" s="144" t="s">
        <v>54</v>
      </c>
      <c r="K6" s="144" t="s">
        <v>70</v>
      </c>
    </row>
    <row r="7" spans="1:11" x14ac:dyDescent="0.25">
      <c r="A7" s="144" t="s">
        <v>70</v>
      </c>
      <c r="K7" s="144" t="s">
        <v>62</v>
      </c>
    </row>
    <row r="8" spans="1:11" x14ac:dyDescent="0.25">
      <c r="A8" s="144" t="s">
        <v>88</v>
      </c>
      <c r="G8" s="144" t="s">
        <v>77</v>
      </c>
      <c r="K8" s="144" t="s">
        <v>92</v>
      </c>
    </row>
    <row r="9" spans="1:11" x14ac:dyDescent="0.25">
      <c r="A9" s="144" t="s">
        <v>71</v>
      </c>
      <c r="G9" s="144" t="s">
        <v>79</v>
      </c>
      <c r="K9" s="144" t="s">
        <v>89</v>
      </c>
    </row>
    <row r="10" spans="1:11" x14ac:dyDescent="0.25">
      <c r="A10" s="144" t="s">
        <v>72</v>
      </c>
      <c r="G10" s="144" t="s">
        <v>65</v>
      </c>
      <c r="K10" s="144" t="s">
        <v>90</v>
      </c>
    </row>
    <row r="11" spans="1:11" x14ac:dyDescent="0.25">
      <c r="A11" s="144" t="s">
        <v>89</v>
      </c>
      <c r="K11" s="144" t="s">
        <v>86</v>
      </c>
    </row>
    <row r="12" spans="1:11" x14ac:dyDescent="0.25">
      <c r="A12" s="144" t="s">
        <v>90</v>
      </c>
      <c r="K12" s="144" t="s">
        <v>68</v>
      </c>
    </row>
    <row r="13" spans="1:11" x14ac:dyDescent="0.25">
      <c r="A13" s="144" t="s">
        <v>73</v>
      </c>
      <c r="K13" s="144" t="s">
        <v>69</v>
      </c>
    </row>
    <row r="14" spans="1:11" x14ac:dyDescent="0.25">
      <c r="A14" s="144" t="s">
        <v>74</v>
      </c>
      <c r="K14" s="144" t="s">
        <v>94</v>
      </c>
    </row>
    <row r="15" spans="1:11" x14ac:dyDescent="0.25">
      <c r="A15" s="144" t="s">
        <v>75</v>
      </c>
      <c r="K15" s="144" t="s">
        <v>142</v>
      </c>
    </row>
    <row r="16" spans="1:11" x14ac:dyDescent="0.25">
      <c r="A16" s="144" t="s">
        <v>76</v>
      </c>
    </row>
    <row r="17" spans="1:8" x14ac:dyDescent="0.25">
      <c r="A17" s="144" t="s">
        <v>87</v>
      </c>
    </row>
    <row r="18" spans="1:8" x14ac:dyDescent="0.25">
      <c r="A18" s="144" t="s">
        <v>102</v>
      </c>
    </row>
    <row r="19" spans="1:8" x14ac:dyDescent="0.25">
      <c r="A19" s="144" t="s">
        <v>59</v>
      </c>
      <c r="F19" s="144" t="s">
        <v>81</v>
      </c>
    </row>
    <row r="20" spans="1:8" x14ac:dyDescent="0.25">
      <c r="A20" s="144" t="s">
        <v>55</v>
      </c>
      <c r="F20" s="144" t="s">
        <v>60</v>
      </c>
      <c r="H20" s="144" t="s">
        <v>79</v>
      </c>
    </row>
    <row r="21" spans="1:8" x14ac:dyDescent="0.25">
      <c r="A21" s="144" t="s">
        <v>101</v>
      </c>
      <c r="H21" s="144" t="s">
        <v>78</v>
      </c>
    </row>
    <row r="22" spans="1:8" x14ac:dyDescent="0.25">
      <c r="A22" s="144" t="s">
        <v>56</v>
      </c>
    </row>
    <row r="23" spans="1:8" x14ac:dyDescent="0.25">
      <c r="A23" s="144" t="s">
        <v>57</v>
      </c>
    </row>
    <row r="24" spans="1:8" x14ac:dyDescent="0.25">
      <c r="A24" s="144" t="s">
        <v>58</v>
      </c>
    </row>
    <row r="25" spans="1:8" x14ac:dyDescent="0.25">
      <c r="A25" s="144" t="s">
        <v>60</v>
      </c>
    </row>
    <row r="26" spans="1:8" x14ac:dyDescent="0.25">
      <c r="A26" s="144" t="s">
        <v>91</v>
      </c>
    </row>
    <row r="27" spans="1:8" x14ac:dyDescent="0.25">
      <c r="A27" s="144" t="s">
        <v>92</v>
      </c>
    </row>
    <row r="28" spans="1:8" x14ac:dyDescent="0.25">
      <c r="A28" s="144" t="s">
        <v>61</v>
      </c>
    </row>
    <row r="29" spans="1:8" x14ac:dyDescent="0.25">
      <c r="A29" s="144" t="s">
        <v>62</v>
      </c>
      <c r="F29" s="144" t="s">
        <v>87</v>
      </c>
    </row>
    <row r="30" spans="1:8" x14ac:dyDescent="0.25">
      <c r="A30" s="144" t="s">
        <v>93</v>
      </c>
      <c r="F30" s="144" t="s">
        <v>70</v>
      </c>
    </row>
    <row r="31" spans="1:8" x14ac:dyDescent="0.25">
      <c r="A31" s="144" t="s">
        <v>77</v>
      </c>
      <c r="F31" s="144" t="s">
        <v>90</v>
      </c>
    </row>
    <row r="32" spans="1:8" x14ac:dyDescent="0.25">
      <c r="A32" s="144" t="s">
        <v>78</v>
      </c>
      <c r="F32" s="144" t="s">
        <v>62</v>
      </c>
    </row>
    <row r="33" spans="1:6" x14ac:dyDescent="0.25">
      <c r="A33" s="144" t="s">
        <v>103</v>
      </c>
      <c r="F33" s="144" t="s">
        <v>68</v>
      </c>
    </row>
    <row r="34" spans="1:6" x14ac:dyDescent="0.25">
      <c r="A34" s="144" t="s">
        <v>99</v>
      </c>
      <c r="F34" s="144" t="s">
        <v>66</v>
      </c>
    </row>
    <row r="35" spans="1:6" x14ac:dyDescent="0.25">
      <c r="A35" s="144" t="s">
        <v>79</v>
      </c>
      <c r="F35" s="144" t="s">
        <v>86</v>
      </c>
    </row>
    <row r="36" spans="1:6" x14ac:dyDescent="0.25">
      <c r="A36" s="144" t="s">
        <v>97</v>
      </c>
    </row>
    <row r="37" spans="1:6" x14ac:dyDescent="0.25">
      <c r="A37" s="144" t="s">
        <v>80</v>
      </c>
    </row>
    <row r="38" spans="1:6" x14ac:dyDescent="0.25">
      <c r="A38" s="144" t="s">
        <v>81</v>
      </c>
    </row>
    <row r="39" spans="1:6" x14ac:dyDescent="0.25">
      <c r="A39" s="144" t="s">
        <v>100</v>
      </c>
    </row>
    <row r="40" spans="1:6" x14ac:dyDescent="0.25">
      <c r="A40" s="144" t="s">
        <v>82</v>
      </c>
    </row>
    <row r="41" spans="1:6" x14ac:dyDescent="0.25">
      <c r="A41" s="144" t="s">
        <v>84</v>
      </c>
    </row>
    <row r="42" spans="1:6" x14ac:dyDescent="0.25">
      <c r="A42" s="144" t="s">
        <v>85</v>
      </c>
    </row>
    <row r="43" spans="1:6" x14ac:dyDescent="0.25">
      <c r="A43" s="144" t="s">
        <v>86</v>
      </c>
      <c r="F43" s="144" t="s">
        <v>60</v>
      </c>
    </row>
    <row r="44" spans="1:6" x14ac:dyDescent="0.25">
      <c r="A44" s="144" t="s">
        <v>64</v>
      </c>
      <c r="F44" s="144" t="s">
        <v>81</v>
      </c>
    </row>
    <row r="45" spans="1:6" x14ac:dyDescent="0.25">
      <c r="A45" s="144" t="s">
        <v>65</v>
      </c>
    </row>
    <row r="46" spans="1:6" x14ac:dyDescent="0.25">
      <c r="A46" s="144" t="s">
        <v>83</v>
      </c>
    </row>
    <row r="47" spans="1:6" x14ac:dyDescent="0.25">
      <c r="A47" s="144" t="s">
        <v>96</v>
      </c>
    </row>
    <row r="48" spans="1:6" x14ac:dyDescent="0.25">
      <c r="A48" s="144" t="s">
        <v>147</v>
      </c>
    </row>
    <row r="49" spans="1:1" x14ac:dyDescent="0.25">
      <c r="A49" s="144" t="s">
        <v>63</v>
      </c>
    </row>
    <row r="50" spans="1:1" x14ac:dyDescent="0.25">
      <c r="A50" s="144" t="s">
        <v>66</v>
      </c>
    </row>
    <row r="51" spans="1:1" x14ac:dyDescent="0.25">
      <c r="A51" s="144" t="s">
        <v>67</v>
      </c>
    </row>
    <row r="52" spans="1:1" x14ac:dyDescent="0.25">
      <c r="A52" s="144" t="s">
        <v>68</v>
      </c>
    </row>
    <row r="53" spans="1:1" x14ac:dyDescent="0.25">
      <c r="A53" s="144" t="s">
        <v>69</v>
      </c>
    </row>
    <row r="54" spans="1:1" x14ac:dyDescent="0.25">
      <c r="A54" s="144" t="s">
        <v>94</v>
      </c>
    </row>
    <row r="55" spans="1:1" x14ac:dyDescent="0.25">
      <c r="A55" s="144" t="s">
        <v>142</v>
      </c>
    </row>
    <row r="56" spans="1:1" x14ac:dyDescent="0.25">
      <c r="A56" s="144" t="s">
        <v>136</v>
      </c>
    </row>
    <row r="57" spans="1:1" x14ac:dyDescent="0.25">
      <c r="A57" s="144" t="s">
        <v>91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defaultRowHeight="13.2" x14ac:dyDescent="0.25"/>
  <cols>
    <col min="1" max="2" width="9.109375" style="23" customWidth="1"/>
    <col min="3" max="3" width="11.5546875" style="25" customWidth="1"/>
    <col min="4" max="5" width="9.109375" style="24" customWidth="1"/>
    <col min="6" max="6" width="11.44140625" style="24" customWidth="1"/>
    <col min="7" max="7" width="10.5546875" style="24" customWidth="1"/>
    <col min="8" max="9" width="9.109375" style="24" customWidth="1"/>
    <col min="10" max="10" width="13.109375" style="24" customWidth="1"/>
    <col min="11" max="11" width="13" style="24" customWidth="1"/>
    <col min="12" max="12" width="10.33203125" style="24" customWidth="1"/>
    <col min="13" max="13" width="9.6640625" style="24" customWidth="1"/>
    <col min="14" max="14" width="11.88671875" style="24" customWidth="1"/>
    <col min="15" max="15" width="10.109375" style="24" customWidth="1"/>
    <col min="16" max="16" width="11.33203125" style="23" customWidth="1"/>
    <col min="17" max="17" width="11.109375" style="23" customWidth="1"/>
    <col min="18" max="18" width="9" style="23" customWidth="1"/>
    <col min="19" max="19" width="11.33203125" style="23" customWidth="1"/>
    <col min="20" max="20" width="9.44140625" style="23" customWidth="1"/>
    <col min="21" max="21" width="14.33203125" style="23" customWidth="1"/>
    <col min="22" max="22" width="10.88671875" style="23" customWidth="1"/>
    <col min="23" max="23" width="9.109375" style="23" customWidth="1"/>
    <col min="24" max="24" width="13.109375" style="23" customWidth="1"/>
    <col min="25" max="101" width="9.109375" style="23" customWidth="1"/>
  </cols>
  <sheetData>
    <row r="1" spans="1:74" x14ac:dyDescent="0.25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5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5">
      <c r="C3" s="26" t="s">
        <v>8</v>
      </c>
      <c r="D3" s="24" t="s">
        <v>9</v>
      </c>
      <c r="E3" s="277" t="s">
        <v>9</v>
      </c>
      <c r="F3" s="277" t="s">
        <v>105</v>
      </c>
      <c r="G3" s="277" t="s">
        <v>54</v>
      </c>
      <c r="H3" s="277" t="s">
        <v>55</v>
      </c>
      <c r="I3" s="277" t="s">
        <v>56</v>
      </c>
      <c r="J3" s="277" t="s">
        <v>57</v>
      </c>
      <c r="K3" s="277" t="s">
        <v>58</v>
      </c>
      <c r="L3" s="277" t="s">
        <v>59</v>
      </c>
      <c r="M3" s="277" t="s">
        <v>60</v>
      </c>
      <c r="N3" s="278" t="s">
        <v>61</v>
      </c>
      <c r="O3" s="277" t="s">
        <v>62</v>
      </c>
      <c r="P3" s="277" t="s">
        <v>63</v>
      </c>
      <c r="Q3" s="277" t="s">
        <v>64</v>
      </c>
      <c r="R3" s="277" t="s">
        <v>65</v>
      </c>
      <c r="S3" s="277" t="s">
        <v>66</v>
      </c>
      <c r="T3" s="277" t="s">
        <v>67</v>
      </c>
      <c r="U3" s="277" t="s">
        <v>68</v>
      </c>
      <c r="V3" s="277" t="s">
        <v>69</v>
      </c>
      <c r="W3" s="277" t="s">
        <v>70</v>
      </c>
      <c r="X3" s="277" t="s">
        <v>71</v>
      </c>
      <c r="Y3" s="279" t="s">
        <v>72</v>
      </c>
      <c r="Z3" s="280" t="s">
        <v>73</v>
      </c>
      <c r="AA3" s="23" t="s">
        <v>74</v>
      </c>
      <c r="AB3" s="23" t="s">
        <v>75</v>
      </c>
      <c r="AC3" s="23" t="s">
        <v>76</v>
      </c>
      <c r="AD3" s="23" t="s">
        <v>77</v>
      </c>
      <c r="AE3" s="23" t="s">
        <v>78</v>
      </c>
      <c r="AF3" s="23" t="s">
        <v>79</v>
      </c>
      <c r="AG3" s="23" t="s">
        <v>80</v>
      </c>
      <c r="AH3" s="23" t="s">
        <v>81</v>
      </c>
      <c r="AI3" s="23" t="s">
        <v>82</v>
      </c>
      <c r="AJ3" s="23" t="s">
        <v>83</v>
      </c>
      <c r="AK3" s="23" t="s">
        <v>84</v>
      </c>
      <c r="AL3" s="23" t="s">
        <v>85</v>
      </c>
      <c r="AM3" s="23" t="s">
        <v>86</v>
      </c>
      <c r="AN3" s="23" t="s">
        <v>87</v>
      </c>
      <c r="AO3" s="23" t="s">
        <v>88</v>
      </c>
      <c r="AP3" s="23" t="s">
        <v>89</v>
      </c>
      <c r="AQ3" s="23" t="s">
        <v>90</v>
      </c>
      <c r="AR3" s="23" t="s">
        <v>91</v>
      </c>
      <c r="AS3" s="23" t="s">
        <v>92</v>
      </c>
      <c r="AT3" s="23" t="s">
        <v>93</v>
      </c>
      <c r="AU3" s="23" t="s">
        <v>94</v>
      </c>
      <c r="AV3" s="23" t="s">
        <v>95</v>
      </c>
      <c r="AW3" s="23" t="s">
        <v>96</v>
      </c>
      <c r="AX3" s="23" t="s">
        <v>147</v>
      </c>
      <c r="AY3" s="189" t="s">
        <v>97</v>
      </c>
      <c r="AZ3" s="189" t="s">
        <v>98</v>
      </c>
      <c r="BA3" s="189" t="s">
        <v>99</v>
      </c>
      <c r="BB3" s="189" t="s">
        <v>100</v>
      </c>
      <c r="BC3" s="189" t="s">
        <v>101</v>
      </c>
      <c r="BD3" s="189" t="s">
        <v>102</v>
      </c>
      <c r="BE3" s="189" t="s">
        <v>103</v>
      </c>
      <c r="BF3" s="189" t="s">
        <v>142</v>
      </c>
      <c r="BG3" s="23" t="s">
        <v>148</v>
      </c>
      <c r="BH3" s="23" t="s">
        <v>154</v>
      </c>
      <c r="BI3" s="23" t="s">
        <v>149</v>
      </c>
      <c r="BJ3" s="23" t="s">
        <v>136</v>
      </c>
      <c r="BK3" s="23" t="s">
        <v>76</v>
      </c>
      <c r="BL3" s="23" t="s">
        <v>87</v>
      </c>
      <c r="BM3" s="23" t="s">
        <v>70</v>
      </c>
      <c r="BN3" s="23" t="s">
        <v>62</v>
      </c>
      <c r="BO3" s="23" t="s">
        <v>92</v>
      </c>
      <c r="BP3" s="23" t="s">
        <v>89</v>
      </c>
      <c r="BQ3" s="23" t="s">
        <v>90</v>
      </c>
      <c r="BR3" s="23" t="s">
        <v>86</v>
      </c>
      <c r="BS3" t="s">
        <v>68</v>
      </c>
      <c r="BT3" t="s">
        <v>69</v>
      </c>
      <c r="BU3" t="s">
        <v>94</v>
      </c>
      <c r="BV3" t="s">
        <v>142</v>
      </c>
    </row>
    <row r="4" spans="1:74" x14ac:dyDescent="0.25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5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104</v>
      </c>
      <c r="H5" s="24" t="s">
        <v>104</v>
      </c>
      <c r="I5" s="24" t="s">
        <v>104</v>
      </c>
      <c r="J5" s="24" t="s">
        <v>104</v>
      </c>
      <c r="K5" s="24" t="s">
        <v>104</v>
      </c>
      <c r="L5" s="24" t="s">
        <v>104</v>
      </c>
      <c r="M5" s="24" t="s">
        <v>104</v>
      </c>
      <c r="N5" s="24" t="s">
        <v>104</v>
      </c>
      <c r="O5" s="24" t="s">
        <v>104</v>
      </c>
      <c r="P5" s="24" t="s">
        <v>104</v>
      </c>
      <c r="Q5" s="24" t="s">
        <v>104</v>
      </c>
      <c r="R5" s="24" t="s">
        <v>104</v>
      </c>
      <c r="S5" s="24" t="s">
        <v>104</v>
      </c>
      <c r="T5" s="24" t="s">
        <v>104</v>
      </c>
      <c r="U5" s="24" t="s">
        <v>104</v>
      </c>
      <c r="V5" s="24" t="s">
        <v>104</v>
      </c>
      <c r="W5" s="24" t="s">
        <v>104</v>
      </c>
      <c r="X5" s="24" t="s">
        <v>104</v>
      </c>
      <c r="Y5" s="24" t="s">
        <v>104</v>
      </c>
      <c r="Z5" s="24" t="s">
        <v>104</v>
      </c>
      <c r="AA5" s="24" t="s">
        <v>104</v>
      </c>
      <c r="AB5" s="24" t="s">
        <v>104</v>
      </c>
      <c r="AC5" s="24" t="s">
        <v>104</v>
      </c>
      <c r="AD5" s="24" t="s">
        <v>104</v>
      </c>
      <c r="AE5" s="24" t="s">
        <v>104</v>
      </c>
      <c r="AF5" s="24" t="s">
        <v>104</v>
      </c>
      <c r="AG5" s="24" t="s">
        <v>104</v>
      </c>
      <c r="AH5" s="24" t="s">
        <v>104</v>
      </c>
      <c r="AI5" s="24" t="s">
        <v>104</v>
      </c>
      <c r="AJ5" s="24" t="s">
        <v>104</v>
      </c>
      <c r="AK5" s="24" t="s">
        <v>104</v>
      </c>
      <c r="AL5" s="24" t="s">
        <v>104</v>
      </c>
      <c r="AM5" s="24" t="s">
        <v>104</v>
      </c>
      <c r="AN5" s="24" t="s">
        <v>104</v>
      </c>
      <c r="AO5" s="24" t="s">
        <v>104</v>
      </c>
      <c r="AP5" s="24" t="s">
        <v>104</v>
      </c>
      <c r="AQ5" s="24" t="s">
        <v>104</v>
      </c>
      <c r="AR5" s="24" t="s">
        <v>104</v>
      </c>
      <c r="AS5" s="24" t="s">
        <v>104</v>
      </c>
      <c r="AT5" s="24" t="s">
        <v>104</v>
      </c>
      <c r="AU5" s="24" t="s">
        <v>104</v>
      </c>
      <c r="AV5" s="24" t="s">
        <v>104</v>
      </c>
      <c r="AW5" s="24" t="s">
        <v>104</v>
      </c>
      <c r="AX5" s="24" t="s">
        <v>104</v>
      </c>
      <c r="AY5" s="24" t="s">
        <v>104</v>
      </c>
      <c r="AZ5" s="24" t="s">
        <v>104</v>
      </c>
      <c r="BA5" s="24" t="s">
        <v>104</v>
      </c>
      <c r="BB5" s="24" t="s">
        <v>104</v>
      </c>
      <c r="BC5" s="24" t="s">
        <v>104</v>
      </c>
      <c r="BD5" s="24" t="s">
        <v>104</v>
      </c>
      <c r="BE5" s="24" t="s">
        <v>104</v>
      </c>
      <c r="BF5" s="24" t="s">
        <v>104</v>
      </c>
      <c r="BG5" s="23" t="s">
        <v>104</v>
      </c>
      <c r="BH5" s="23" t="s">
        <v>104</v>
      </c>
      <c r="BI5" s="23" t="s">
        <v>104</v>
      </c>
      <c r="BJ5" s="23" t="s">
        <v>104</v>
      </c>
      <c r="BK5" s="23" t="s">
        <v>165</v>
      </c>
      <c r="BL5" s="23" t="s">
        <v>165</v>
      </c>
      <c r="BM5" s="23" t="s">
        <v>165</v>
      </c>
      <c r="BN5" s="23" t="s">
        <v>165</v>
      </c>
      <c r="BO5" s="23" t="s">
        <v>165</v>
      </c>
      <c r="BP5" s="23" t="s">
        <v>165</v>
      </c>
      <c r="BQ5" s="23" t="s">
        <v>165</v>
      </c>
      <c r="BR5" s="23" t="s">
        <v>165</v>
      </c>
      <c r="BS5" t="s">
        <v>165</v>
      </c>
      <c r="BT5" t="s">
        <v>165</v>
      </c>
      <c r="BU5" t="s">
        <v>165</v>
      </c>
      <c r="BV5" t="s">
        <v>165</v>
      </c>
    </row>
    <row r="6" spans="1:74" x14ac:dyDescent="0.25">
      <c r="A6" s="24" t="e">
        <f>#REF!-B6</f>
        <v>#REF!</v>
      </c>
      <c r="B6" s="24">
        <v>4.3540000000000001</v>
      </c>
      <c r="C6" s="136">
        <v>37288</v>
      </c>
      <c r="D6" s="188">
        <v>2.2749999999999999</v>
      </c>
      <c r="E6" s="281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5">
      <c r="A7" s="24" t="e">
        <f>#REF!-B7</f>
        <v>#REF!</v>
      </c>
      <c r="B7" s="24">
        <v>4.34</v>
      </c>
      <c r="C7" s="136">
        <f t="shared" ref="C7:C70" si="3">EOMONTH(C6,0)+1</f>
        <v>37316</v>
      </c>
      <c r="D7" s="188">
        <v>2.2650000000000001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5">
      <c r="A8" s="24" t="e">
        <f>#REF!-B8</f>
        <v>#REF!</v>
      </c>
      <c r="B8" s="24">
        <v>4.32</v>
      </c>
      <c r="C8" s="136">
        <f t="shared" si="3"/>
        <v>37347</v>
      </c>
      <c r="D8" s="188">
        <v>2.2879999999999998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5">
      <c r="A9" s="24" t="e">
        <f>#REF!-B9</f>
        <v>#REF!</v>
      </c>
      <c r="B9" s="24">
        <v>4.335</v>
      </c>
      <c r="C9" s="136">
        <f t="shared" si="3"/>
        <v>37377</v>
      </c>
      <c r="D9">
        <v>2.3519999999999999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5">
      <c r="A10" s="24" t="e">
        <f>#REF!-B10</f>
        <v>#REF!</v>
      </c>
      <c r="B10" s="24">
        <v>4.4340000000000002</v>
      </c>
      <c r="C10" s="136">
        <f t="shared" si="3"/>
        <v>37408</v>
      </c>
      <c r="D10">
        <v>2.4209999999999998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5">
      <c r="A11" s="24" t="e">
        <f>#REF!-B11</f>
        <v>#REF!</v>
      </c>
      <c r="B11" s="24">
        <v>4.5330000000000004</v>
      </c>
      <c r="C11" s="136">
        <f t="shared" si="3"/>
        <v>37438</v>
      </c>
      <c r="D11">
        <v>2.4830000000000001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5">
      <c r="A12" s="24" t="e">
        <f>#REF!-B12</f>
        <v>#REF!</v>
      </c>
      <c r="B12" s="24">
        <v>4.5410000000000004</v>
      </c>
      <c r="C12" s="136">
        <f t="shared" si="3"/>
        <v>37469</v>
      </c>
      <c r="D12">
        <v>2.536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5">
      <c r="A13" s="24" t="e">
        <f>#REF!-B13</f>
        <v>#REF!</v>
      </c>
      <c r="B13" s="24">
        <v>4.3210000000000006</v>
      </c>
      <c r="C13" s="136">
        <f t="shared" si="3"/>
        <v>37500</v>
      </c>
      <c r="D13" s="188">
        <v>2.5510000000000002</v>
      </c>
      <c r="E13" s="282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5">
      <c r="A14" s="24" t="e">
        <f>#REF!-B14</f>
        <v>#REF!</v>
      </c>
      <c r="B14" s="24">
        <v>4.101</v>
      </c>
      <c r="C14" s="136">
        <f t="shared" si="3"/>
        <v>37530</v>
      </c>
      <c r="D14">
        <v>2.5880000000000001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5">
      <c r="A15" s="24" t="e">
        <f>#REF!-B15</f>
        <v>#REF!</v>
      </c>
      <c r="B15" s="24">
        <v>3.8610000000000002</v>
      </c>
      <c r="C15" s="136">
        <f t="shared" si="3"/>
        <v>37561</v>
      </c>
      <c r="D15">
        <v>2.8180000000000001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5">
      <c r="A16" s="24" t="e">
        <f>#REF!-B16</f>
        <v>#REF!</v>
      </c>
      <c r="B16" s="24">
        <v>3.7349999999999999</v>
      </c>
      <c r="C16" s="136">
        <f t="shared" si="3"/>
        <v>37591</v>
      </c>
      <c r="D16">
        <v>3.048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5">
      <c r="A17" s="24" t="e">
        <f>#REF!-B17</f>
        <v>#REF!</v>
      </c>
      <c r="B17" s="24">
        <v>3.71</v>
      </c>
      <c r="C17" s="136">
        <f t="shared" si="3"/>
        <v>37622</v>
      </c>
      <c r="D17">
        <v>3.1680000000000001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5">
      <c r="A18" s="24" t="e">
        <f>#REF!-B18</f>
        <v>#REF!</v>
      </c>
      <c r="B18" s="24">
        <v>3.71</v>
      </c>
      <c r="C18" s="136">
        <f t="shared" si="3"/>
        <v>37653</v>
      </c>
      <c r="D18">
        <v>3.1179999999999999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5">
      <c r="A19" s="24" t="e">
        <f>#REF!-B19</f>
        <v>#REF!</v>
      </c>
      <c r="B19" s="24">
        <v>3.72</v>
      </c>
      <c r="C19" s="136">
        <f t="shared" si="3"/>
        <v>37681</v>
      </c>
      <c r="D19">
        <v>3.0630000000000002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5">
      <c r="A20" s="24" t="e">
        <f>#REF!-B20</f>
        <v>#REF!</v>
      </c>
      <c r="B20" s="24">
        <v>3.7149999999999999</v>
      </c>
      <c r="C20" s="136">
        <f t="shared" si="3"/>
        <v>37712</v>
      </c>
      <c r="D20">
        <v>2.9279999999999999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5">
      <c r="A21" s="24" t="e">
        <f>#REF!-B21</f>
        <v>#REF!</v>
      </c>
      <c r="B21" s="24">
        <v>3.7349999999999999</v>
      </c>
      <c r="C21" s="136">
        <f t="shared" si="3"/>
        <v>37742</v>
      </c>
      <c r="D21">
        <v>2.923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5">
      <c r="A22" s="24" t="e">
        <f>#REF!-B22</f>
        <v>#REF!</v>
      </c>
      <c r="B22" s="24">
        <v>3.835</v>
      </c>
      <c r="C22" s="136">
        <f t="shared" si="3"/>
        <v>37773</v>
      </c>
      <c r="D22">
        <v>2.9630000000000001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5">
      <c r="A23" s="24" t="e">
        <f>#REF!-B23</f>
        <v>#REF!</v>
      </c>
      <c r="B23" s="24">
        <v>3.93</v>
      </c>
      <c r="C23" s="136">
        <f t="shared" si="3"/>
        <v>37803</v>
      </c>
      <c r="D23">
        <v>3.0030000000000001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5">
      <c r="A24" s="24" t="e">
        <f>#REF!-B24</f>
        <v>#REF!</v>
      </c>
      <c r="B24" s="24">
        <v>3.9430000000000001</v>
      </c>
      <c r="C24" s="136">
        <f t="shared" si="3"/>
        <v>37834</v>
      </c>
      <c r="D24">
        <v>3.0449999999999999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5">
      <c r="A25" s="24" t="e">
        <f>#REF!-B25</f>
        <v>#REF!</v>
      </c>
      <c r="B25" s="24">
        <v>3.8060000000000005</v>
      </c>
      <c r="C25" s="136">
        <f t="shared" si="3"/>
        <v>37865</v>
      </c>
      <c r="D25">
        <v>3.0449999999999999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5">
      <c r="A26" s="24" t="e">
        <f>#REF!-B26</f>
        <v>#REF!</v>
      </c>
      <c r="B26" s="24">
        <v>3.6360000000000001</v>
      </c>
      <c r="C26" s="136">
        <f t="shared" si="3"/>
        <v>37895</v>
      </c>
      <c r="D26">
        <v>3.085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5">
      <c r="A27" s="24" t="e">
        <f>#REF!-B27</f>
        <v>#REF!</v>
      </c>
      <c r="B27" s="24">
        <v>3.48</v>
      </c>
      <c r="C27" s="136">
        <f t="shared" si="3"/>
        <v>37926</v>
      </c>
      <c r="D27">
        <v>3.2330000000000001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5">
      <c r="A28" s="24" t="e">
        <f>#REF!-B28</f>
        <v>#REF!</v>
      </c>
      <c r="B28" s="24">
        <v>3.41</v>
      </c>
      <c r="C28" s="136">
        <f t="shared" si="3"/>
        <v>37956</v>
      </c>
      <c r="D28">
        <v>3.335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5">
      <c r="A29" s="24" t="e">
        <f>#REF!-B29</f>
        <v>#REF!</v>
      </c>
      <c r="B29" s="24">
        <v>3.375</v>
      </c>
      <c r="C29" s="136">
        <f t="shared" si="3"/>
        <v>37987</v>
      </c>
      <c r="D29">
        <v>3.42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5">
      <c r="A30" s="24" t="e">
        <f>#REF!-B30</f>
        <v>#REF!</v>
      </c>
      <c r="B30" s="24">
        <v>3.3650000000000002</v>
      </c>
      <c r="C30" s="136">
        <f t="shared" si="3"/>
        <v>38018</v>
      </c>
      <c r="D30">
        <v>3.3010000000000002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5">
      <c r="A31" s="24" t="e">
        <f>#REF!-B31</f>
        <v>#REF!</v>
      </c>
      <c r="B31" s="24">
        <v>3.36</v>
      </c>
      <c r="C31" s="136">
        <f t="shared" si="3"/>
        <v>38047</v>
      </c>
      <c r="D31">
        <v>3.25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5">
      <c r="A32" s="24" t="e">
        <f>#REF!-B32</f>
        <v>#REF!</v>
      </c>
      <c r="B32" s="24">
        <v>3.35</v>
      </c>
      <c r="C32" s="136">
        <f t="shared" si="3"/>
        <v>38078</v>
      </c>
      <c r="D32">
        <v>3.0310000000000001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5">
      <c r="A33" s="24" t="e">
        <f>#REF!-B33</f>
        <v>#REF!</v>
      </c>
      <c r="B33" s="24">
        <v>3.3680000000000003</v>
      </c>
      <c r="C33" s="136">
        <f t="shared" si="3"/>
        <v>38108</v>
      </c>
      <c r="D33">
        <v>3.0339999999999998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5">
      <c r="A34" s="24" t="e">
        <f>#REF!-B34</f>
        <v>#REF!</v>
      </c>
      <c r="B34" s="24">
        <v>3.48</v>
      </c>
      <c r="C34" s="136">
        <f t="shared" si="3"/>
        <v>38139</v>
      </c>
      <c r="D34">
        <v>3.0739999999999998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5">
      <c r="A35" s="24" t="e">
        <f>#REF!-B35</f>
        <v>#REF!</v>
      </c>
      <c r="B35" s="24">
        <v>3.5890000000000004</v>
      </c>
      <c r="C35" s="136">
        <f t="shared" si="3"/>
        <v>38169</v>
      </c>
      <c r="D35">
        <v>3.1139999999999999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5">
      <c r="A36" s="24" t="e">
        <f>#REF!-B36</f>
        <v>#REF!</v>
      </c>
      <c r="B36" s="24">
        <v>3.6080000000000001</v>
      </c>
      <c r="C36" s="136">
        <f t="shared" si="3"/>
        <v>38200</v>
      </c>
      <c r="D36">
        <v>3.1640000000000001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5">
      <c r="A37" s="24" t="e">
        <f>#REF!-B37</f>
        <v>#REF!</v>
      </c>
      <c r="B37" s="24">
        <v>3.4780000000000002</v>
      </c>
      <c r="C37" s="136">
        <f t="shared" si="3"/>
        <v>38231</v>
      </c>
      <c r="D37">
        <v>3.149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5">
      <c r="A38" s="24" t="e">
        <f>#REF!-B38</f>
        <v>#REF!</v>
      </c>
      <c r="B38" s="24">
        <v>3.3230000000000004</v>
      </c>
      <c r="C38" s="136">
        <f t="shared" si="3"/>
        <v>38261</v>
      </c>
      <c r="D38">
        <v>3.1640000000000001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5">
      <c r="A39" s="24" t="e">
        <f>#REF!-B39</f>
        <v>#REF!</v>
      </c>
      <c r="B39" s="24">
        <v>3.1680000000000001</v>
      </c>
      <c r="C39" s="136">
        <f t="shared" si="3"/>
        <v>38292</v>
      </c>
      <c r="D39">
        <v>3.3090000000000002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5">
      <c r="A40" s="24" t="e">
        <f>#REF!-B40</f>
        <v>#REF!</v>
      </c>
      <c r="B40" s="24">
        <v>3.14</v>
      </c>
      <c r="C40" s="136">
        <f t="shared" si="3"/>
        <v>38322</v>
      </c>
      <c r="D40">
        <v>3.444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5">
      <c r="A41" s="24" t="e">
        <f>#REF!-B41</f>
        <v>#REF!</v>
      </c>
      <c r="B41" s="24">
        <v>3.12</v>
      </c>
      <c r="C41" s="136">
        <f t="shared" si="3"/>
        <v>38353</v>
      </c>
      <c r="D41">
        <v>3.4990000000000001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5">
      <c r="A42" s="24" t="e">
        <f>#REF!-B42</f>
        <v>#REF!</v>
      </c>
      <c r="B42" s="24">
        <v>3.1850000000000001</v>
      </c>
      <c r="C42" s="136">
        <f t="shared" si="3"/>
        <v>38384</v>
      </c>
      <c r="D42">
        <f>D30+0.05</f>
        <v>3.351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5">
      <c r="A43" s="24" t="e">
        <f>#REF!-B43</f>
        <v>#REF!</v>
      </c>
      <c r="B43" s="24">
        <v>3.18</v>
      </c>
      <c r="C43" s="136">
        <f t="shared" si="3"/>
        <v>38412</v>
      </c>
      <c r="D43">
        <f t="shared" ref="D43:D106" si="4">D31+0.05</f>
        <v>3.3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5">
      <c r="A44" s="24" t="e">
        <f>#REF!-B44</f>
        <v>#REF!</v>
      </c>
      <c r="B44" s="24">
        <v>3.17</v>
      </c>
      <c r="C44" s="136">
        <f t="shared" si="3"/>
        <v>38443</v>
      </c>
      <c r="D44">
        <f t="shared" si="4"/>
        <v>3.081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5">
      <c r="A45" s="24" t="e">
        <f>#REF!-B45</f>
        <v>#REF!</v>
      </c>
      <c r="B45" s="24">
        <v>3.1880000000000002</v>
      </c>
      <c r="C45" s="136">
        <f t="shared" si="3"/>
        <v>38473</v>
      </c>
      <c r="D45">
        <f t="shared" si="4"/>
        <v>3.0839999999999996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5">
      <c r="A46" s="24" t="e">
        <f>#REF!-B46</f>
        <v>#REF!</v>
      </c>
      <c r="B46" s="24">
        <v>3.3</v>
      </c>
      <c r="C46" s="136">
        <f t="shared" si="3"/>
        <v>38504</v>
      </c>
      <c r="D46">
        <f t="shared" si="4"/>
        <v>3.1239999999999997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5">
      <c r="A47" s="24" t="e">
        <f>#REF!-B47</f>
        <v>#REF!</v>
      </c>
      <c r="B47" s="24">
        <v>3.4090000000000003</v>
      </c>
      <c r="C47" s="136">
        <f t="shared" si="3"/>
        <v>38534</v>
      </c>
      <c r="D47">
        <f t="shared" si="4"/>
        <v>3.1639999999999997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5">
      <c r="A48" s="24" t="e">
        <f>#REF!-B48</f>
        <v>#REF!</v>
      </c>
      <c r="B48" s="24">
        <v>3.5449999999999999</v>
      </c>
      <c r="C48" s="136">
        <f t="shared" si="3"/>
        <v>38565</v>
      </c>
      <c r="D48">
        <f t="shared" si="4"/>
        <v>3.214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5">
      <c r="A49" s="24" t="e">
        <f>#REF!-B49</f>
        <v>#REF!</v>
      </c>
      <c r="B49" s="24">
        <v>3.4220000000000002</v>
      </c>
      <c r="C49" s="136">
        <f t="shared" si="3"/>
        <v>38596</v>
      </c>
      <c r="D49">
        <f t="shared" si="4"/>
        <v>3.1989999999999998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5">
      <c r="A50" s="24" t="e">
        <f>#REF!-B50</f>
        <v>#REF!</v>
      </c>
      <c r="B50" s="24">
        <v>3.2669999999999999</v>
      </c>
      <c r="C50" s="136">
        <f t="shared" si="3"/>
        <v>38626</v>
      </c>
      <c r="D50">
        <f t="shared" si="4"/>
        <v>3.214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5">
      <c r="A51" s="24" t="e">
        <f>#REF!-B51</f>
        <v>#REF!</v>
      </c>
      <c r="B51" s="24">
        <v>3.1150000000000002</v>
      </c>
      <c r="C51" s="136">
        <f t="shared" si="3"/>
        <v>38657</v>
      </c>
      <c r="D51">
        <f t="shared" si="4"/>
        <v>3.359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5">
      <c r="A52" s="24" t="e">
        <f>#REF!-B52</f>
        <v>#REF!</v>
      </c>
      <c r="B52" s="24">
        <v>3.0880000000000001</v>
      </c>
      <c r="C52" s="136">
        <f t="shared" si="3"/>
        <v>38687</v>
      </c>
      <c r="D52">
        <f t="shared" si="4"/>
        <v>3.4939999999999998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5">
      <c r="A53" s="24" t="e">
        <f>#REF!-B53</f>
        <v>#REF!</v>
      </c>
      <c r="B53" s="24">
        <v>3.0690000000000004</v>
      </c>
      <c r="C53" s="136">
        <f t="shared" si="3"/>
        <v>38718</v>
      </c>
      <c r="D53">
        <f t="shared" si="4"/>
        <v>3.5489999999999999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5">
      <c r="A54" s="24" t="e">
        <f>#REF!-B54</f>
        <v>#REF!</v>
      </c>
      <c r="B54" s="24">
        <v>3.1340000000000003</v>
      </c>
      <c r="C54" s="136">
        <f t="shared" si="3"/>
        <v>38749</v>
      </c>
      <c r="D54">
        <f t="shared" si="4"/>
        <v>3.4009999999999998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5">
      <c r="A55" s="24" t="e">
        <f>#REF!-B55</f>
        <v>#REF!</v>
      </c>
      <c r="B55" s="24">
        <v>3.1290000000000004</v>
      </c>
      <c r="C55" s="136">
        <f t="shared" si="3"/>
        <v>38777</v>
      </c>
      <c r="D55">
        <f t="shared" si="4"/>
        <v>3.3499999999999996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5">
      <c r="A56" s="24" t="e">
        <f>#REF!-B56</f>
        <v>#REF!</v>
      </c>
      <c r="B56" s="24">
        <v>3.1180000000000003</v>
      </c>
      <c r="C56" s="136">
        <f t="shared" si="3"/>
        <v>38808</v>
      </c>
      <c r="D56">
        <f t="shared" si="4"/>
        <v>3.1309999999999998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5">
      <c r="A57" s="24" t="e">
        <f>#REF!-B57</f>
        <v>#REF!</v>
      </c>
      <c r="B57" s="24">
        <v>3.1349999999999998</v>
      </c>
      <c r="C57" s="136">
        <f t="shared" si="3"/>
        <v>38838</v>
      </c>
      <c r="D57">
        <f t="shared" si="4"/>
        <v>3.1339999999999995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5">
      <c r="A58" s="24" t="e">
        <f>#REF!-B58</f>
        <v>#REF!</v>
      </c>
      <c r="B58" s="24">
        <v>3.242</v>
      </c>
      <c r="C58" s="136">
        <f t="shared" si="3"/>
        <v>38869</v>
      </c>
      <c r="D58">
        <f t="shared" si="4"/>
        <v>3.1739999999999995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5">
      <c r="A59" s="24" t="e">
        <f>#REF!-B59</f>
        <v>#REF!</v>
      </c>
      <c r="B59" s="24">
        <v>3.3480000000000003</v>
      </c>
      <c r="C59" s="136">
        <f t="shared" si="3"/>
        <v>38899</v>
      </c>
      <c r="D59">
        <f t="shared" si="4"/>
        <v>3.2139999999999995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5">
      <c r="A60" s="24" t="e">
        <f>#REF!-B60</f>
        <v>#REF!</v>
      </c>
      <c r="B60" s="24">
        <v>3.5369999999999999</v>
      </c>
      <c r="C60" s="136">
        <f t="shared" si="3"/>
        <v>38930</v>
      </c>
      <c r="D60">
        <f t="shared" si="4"/>
        <v>3.2639999999999998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5">
      <c r="A61" s="24" t="e">
        <f>#REF!-B61</f>
        <v>#REF!</v>
      </c>
      <c r="B61" s="24">
        <v>3.4180000000000001</v>
      </c>
      <c r="C61" s="136">
        <f t="shared" si="3"/>
        <v>38961</v>
      </c>
      <c r="D61">
        <f t="shared" si="4"/>
        <v>3.2489999999999997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5">
      <c r="A62" s="24" t="e">
        <f>#REF!-B62</f>
        <v>#REF!</v>
      </c>
      <c r="B62" s="24">
        <v>3.2660000000000005</v>
      </c>
      <c r="C62" s="136">
        <f t="shared" si="3"/>
        <v>38991</v>
      </c>
      <c r="D62">
        <f t="shared" si="4"/>
        <v>3.2639999999999998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5">
      <c r="A63" s="24" t="e">
        <f>#REF!-B63</f>
        <v>#REF!</v>
      </c>
      <c r="B63" s="24">
        <v>3.117</v>
      </c>
      <c r="C63" s="136">
        <f t="shared" si="3"/>
        <v>39022</v>
      </c>
      <c r="D63">
        <f t="shared" si="4"/>
        <v>3.4089999999999998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5">
      <c r="A64" s="24" t="e">
        <f>#REF!-B64</f>
        <v>#REF!</v>
      </c>
      <c r="B64" s="24">
        <v>3.0910000000000002</v>
      </c>
      <c r="C64" s="136">
        <f t="shared" si="3"/>
        <v>39052</v>
      </c>
      <c r="D64">
        <f t="shared" si="4"/>
        <v>3.5439999999999996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5">
      <c r="A65" s="24" t="e">
        <f>#REF!-B65</f>
        <v>#REF!</v>
      </c>
      <c r="B65" s="24">
        <v>3.0730000000000004</v>
      </c>
      <c r="C65" s="136">
        <f t="shared" si="3"/>
        <v>39083</v>
      </c>
      <c r="D65">
        <f t="shared" si="4"/>
        <v>3.5989999999999998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5">
      <c r="A66" s="24" t="e">
        <f>#REF!-B66</f>
        <v>#REF!</v>
      </c>
      <c r="B66" s="24">
        <v>3.1380000000000003</v>
      </c>
      <c r="C66" s="136">
        <f t="shared" si="3"/>
        <v>39114</v>
      </c>
      <c r="D66">
        <f t="shared" si="4"/>
        <v>3.4509999999999996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5">
      <c r="A67" s="24" t="e">
        <f>#REF!-B67</f>
        <v>#REF!</v>
      </c>
      <c r="B67" s="24">
        <v>3.133</v>
      </c>
      <c r="C67" s="136">
        <f t="shared" si="3"/>
        <v>39142</v>
      </c>
      <c r="D67">
        <f t="shared" si="4"/>
        <v>3.3999999999999995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5">
      <c r="A68" s="24" t="e">
        <f>#REF!-B68</f>
        <v>#REF!</v>
      </c>
      <c r="B68" s="24">
        <v>3.1210000000000004</v>
      </c>
      <c r="C68" s="136">
        <f t="shared" si="3"/>
        <v>39173</v>
      </c>
      <c r="D68">
        <f t="shared" si="4"/>
        <v>3.1809999999999996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5">
      <c r="A69" s="24" t="e">
        <f>#REF!-B69</f>
        <v>#REF!</v>
      </c>
      <c r="B69" s="24">
        <v>3.137</v>
      </c>
      <c r="C69" s="136">
        <f t="shared" si="3"/>
        <v>39203</v>
      </c>
      <c r="D69">
        <f t="shared" si="4"/>
        <v>3.1839999999999993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5">
      <c r="A70" s="24" t="e">
        <f>#REF!-B70</f>
        <v>#REF!</v>
      </c>
      <c r="B70" s="24">
        <v>3.2390000000000003</v>
      </c>
      <c r="C70" s="136">
        <f t="shared" si="3"/>
        <v>39234</v>
      </c>
      <c r="D70">
        <f t="shared" si="4"/>
        <v>3.2239999999999993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5">
      <c r="A71" s="24" t="e">
        <f>#REF!-B71</f>
        <v>#REF!</v>
      </c>
      <c r="B71" s="24">
        <v>3.3420000000000001</v>
      </c>
      <c r="C71" s="136">
        <f t="shared" ref="C71:C134" si="5">EOMONTH(C70,0)+1</f>
        <v>39264</v>
      </c>
      <c r="D71">
        <f t="shared" si="4"/>
        <v>3.2639999999999993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5">
      <c r="A72" s="24" t="e">
        <f>#REF!-B72</f>
        <v>#REF!</v>
      </c>
      <c r="B72" s="24">
        <v>3.5440000000000005</v>
      </c>
      <c r="C72" s="136">
        <f t="shared" si="5"/>
        <v>39295</v>
      </c>
      <c r="D72">
        <f t="shared" si="4"/>
        <v>3.3139999999999996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5">
      <c r="A73" s="24" t="e">
        <f>#REF!-B73</f>
        <v>#REF!</v>
      </c>
      <c r="B73" s="24">
        <v>3.4290000000000003</v>
      </c>
      <c r="C73" s="136">
        <f t="shared" si="5"/>
        <v>39326</v>
      </c>
      <c r="D73">
        <f t="shared" si="4"/>
        <v>3.2989999999999995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5">
      <c r="A74" s="24" t="e">
        <f>#REF!-B74</f>
        <v>#REF!</v>
      </c>
      <c r="B74" s="24">
        <v>3.28</v>
      </c>
      <c r="C74" s="136">
        <f t="shared" si="5"/>
        <v>39356</v>
      </c>
      <c r="D74">
        <f t="shared" si="4"/>
        <v>3.3139999999999996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5">
      <c r="A75" s="24" t="e">
        <f>#REF!-B75</f>
        <v>#REF!</v>
      </c>
      <c r="B75" s="24">
        <v>3.1340000000000003</v>
      </c>
      <c r="C75" s="136">
        <f t="shared" si="5"/>
        <v>39387</v>
      </c>
      <c r="D75">
        <f t="shared" si="4"/>
        <v>3.4589999999999996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5">
      <c r="A76" s="24" t="e">
        <f>#REF!-B76</f>
        <v>#REF!</v>
      </c>
      <c r="B76" s="24">
        <v>3.1090000000000004</v>
      </c>
      <c r="C76" s="136">
        <f t="shared" si="5"/>
        <v>39417</v>
      </c>
      <c r="D76">
        <f t="shared" si="4"/>
        <v>3.5939999999999994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5">
      <c r="A77" s="24" t="e">
        <f>#REF!-B77</f>
        <v>#REF!</v>
      </c>
      <c r="B77" s="24">
        <v>3.0920000000000001</v>
      </c>
      <c r="C77" s="136">
        <f t="shared" si="5"/>
        <v>39448</v>
      </c>
      <c r="D77">
        <f t="shared" si="4"/>
        <v>3.6489999999999996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5">
      <c r="A78" s="24" t="e">
        <f>#REF!-B78</f>
        <v>#REF!</v>
      </c>
      <c r="B78" s="24">
        <v>3.157</v>
      </c>
      <c r="C78" s="136">
        <f t="shared" si="5"/>
        <v>39479</v>
      </c>
      <c r="D78">
        <f t="shared" si="4"/>
        <v>3.5009999999999994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5">
      <c r="A79" s="24" t="e">
        <f>#REF!-B79</f>
        <v>#REF!</v>
      </c>
      <c r="B79" s="24">
        <v>3.1520000000000001</v>
      </c>
      <c r="C79" s="136">
        <f t="shared" si="5"/>
        <v>39508</v>
      </c>
      <c r="D79">
        <f t="shared" si="4"/>
        <v>3.4499999999999993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5">
      <c r="A80" s="24" t="e">
        <f>#REF!-B80</f>
        <v>#REF!</v>
      </c>
      <c r="B80" s="24">
        <v>3.1390000000000002</v>
      </c>
      <c r="C80" s="136">
        <f t="shared" si="5"/>
        <v>39539</v>
      </c>
      <c r="D80">
        <f t="shared" si="4"/>
        <v>3.2309999999999994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5">
      <c r="A81" s="24" t="e">
        <f>#REF!-B81</f>
        <v>#REF!</v>
      </c>
      <c r="B81" s="24">
        <v>3.1540000000000004</v>
      </c>
      <c r="C81" s="136">
        <f t="shared" si="5"/>
        <v>39569</v>
      </c>
      <c r="D81">
        <f t="shared" si="4"/>
        <v>3.2339999999999991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5">
      <c r="A82" s="24" t="e">
        <f>#REF!-B82</f>
        <v>#REF!</v>
      </c>
      <c r="B82" s="24">
        <v>3.2510000000000003</v>
      </c>
      <c r="C82" s="136">
        <f t="shared" si="5"/>
        <v>39600</v>
      </c>
      <c r="D82">
        <f t="shared" si="4"/>
        <v>3.2739999999999991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5">
      <c r="A83" s="24" t="e">
        <f>#REF!-B83</f>
        <v>#REF!</v>
      </c>
      <c r="B83" s="24">
        <v>3.3510000000000004</v>
      </c>
      <c r="C83" s="136">
        <f t="shared" si="5"/>
        <v>39630</v>
      </c>
      <c r="D83">
        <f t="shared" si="4"/>
        <v>3.3139999999999992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5">
      <c r="A84" s="24" t="e">
        <f>#REF!-B84</f>
        <v>#REF!</v>
      </c>
      <c r="B84" s="24">
        <v>3.5660000000000003</v>
      </c>
      <c r="C84" s="136">
        <f t="shared" si="5"/>
        <v>39661</v>
      </c>
      <c r="D84">
        <f t="shared" si="4"/>
        <v>3.3639999999999994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5">
      <c r="A85" s="24" t="e">
        <f>#REF!-B85</f>
        <v>#REF!</v>
      </c>
      <c r="B85" s="24">
        <v>3.4550000000000001</v>
      </c>
      <c r="C85" s="136">
        <f t="shared" si="5"/>
        <v>39692</v>
      </c>
      <c r="D85">
        <f t="shared" si="4"/>
        <v>3.3489999999999993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5">
      <c r="A86" s="24" t="e">
        <f>#REF!-B86</f>
        <v>#REF!</v>
      </c>
      <c r="B86" s="24">
        <v>3.3090000000000006</v>
      </c>
      <c r="C86" s="136">
        <f t="shared" si="5"/>
        <v>39722</v>
      </c>
      <c r="D86">
        <f t="shared" si="4"/>
        <v>3.3639999999999994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5">
      <c r="A87" s="24" t="e">
        <f>#REF!-B87</f>
        <v>#REF!</v>
      </c>
      <c r="B87" s="24">
        <v>3.1660000000000004</v>
      </c>
      <c r="C87" s="136">
        <f t="shared" si="5"/>
        <v>39753</v>
      </c>
      <c r="D87">
        <f t="shared" si="4"/>
        <v>3.5089999999999995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5">
      <c r="A88" s="24" t="e">
        <f>#REF!-B88</f>
        <v>#REF!</v>
      </c>
      <c r="B88" s="24">
        <v>3.1419999999999999</v>
      </c>
      <c r="C88" s="136">
        <f t="shared" si="5"/>
        <v>39783</v>
      </c>
      <c r="D88">
        <f t="shared" si="4"/>
        <v>3.6439999999999992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5">
      <c r="A89" s="24" t="e">
        <f>#REF!-B89</f>
        <v>#REF!</v>
      </c>
      <c r="B89" s="24">
        <v>3.1260000000000003</v>
      </c>
      <c r="C89" s="136">
        <f t="shared" si="5"/>
        <v>39814</v>
      </c>
      <c r="D89">
        <f t="shared" si="4"/>
        <v>3.6989999999999994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5">
      <c r="A90" s="24" t="e">
        <f>#REF!-B90</f>
        <v>#REF!</v>
      </c>
      <c r="B90" s="24">
        <v>3.1910000000000003</v>
      </c>
      <c r="C90" s="136">
        <f t="shared" si="5"/>
        <v>39845</v>
      </c>
      <c r="D90">
        <f t="shared" si="4"/>
        <v>3.5509999999999993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5">
      <c r="A91" s="24" t="e">
        <f>#REF!-B91</f>
        <v>#REF!</v>
      </c>
      <c r="B91" s="24">
        <v>3.1860000000000004</v>
      </c>
      <c r="C91" s="136">
        <f t="shared" si="5"/>
        <v>39873</v>
      </c>
      <c r="D91">
        <f t="shared" si="4"/>
        <v>3.4999999999999991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5">
      <c r="A92" s="24" t="e">
        <f>#REF!-B92</f>
        <v>#REF!</v>
      </c>
      <c r="B92" s="24">
        <v>3.1720000000000002</v>
      </c>
      <c r="C92" s="136">
        <f t="shared" si="5"/>
        <v>39904</v>
      </c>
      <c r="D92">
        <f t="shared" si="4"/>
        <v>3.2809999999999993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5">
      <c r="A93" s="24" t="e">
        <f>#REF!-B93</f>
        <v>#REF!</v>
      </c>
      <c r="B93" s="24">
        <v>3.1860000000000004</v>
      </c>
      <c r="C93" s="136">
        <f t="shared" si="5"/>
        <v>39934</v>
      </c>
      <c r="D93">
        <f t="shared" si="4"/>
        <v>3.2839999999999989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5">
      <c r="A94" s="24" t="e">
        <f>#REF!-B94</f>
        <v>#REF!</v>
      </c>
      <c r="B94" s="24">
        <v>3.278</v>
      </c>
      <c r="C94" s="136">
        <f t="shared" si="5"/>
        <v>39965</v>
      </c>
      <c r="D94">
        <f t="shared" si="4"/>
        <v>3.323999999999999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5">
      <c r="A95" s="24" t="e">
        <f>#REF!-B95</f>
        <v>#REF!</v>
      </c>
      <c r="B95" s="24">
        <v>3.375</v>
      </c>
      <c r="C95" s="136">
        <f t="shared" si="5"/>
        <v>39995</v>
      </c>
      <c r="D95">
        <f t="shared" si="4"/>
        <v>3.363999999999999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5">
      <c r="A96" s="24" t="e">
        <f>#REF!-B96</f>
        <v>#REF!</v>
      </c>
      <c r="B96" s="24">
        <v>3.6030000000000002</v>
      </c>
      <c r="C96" s="136">
        <f t="shared" si="5"/>
        <v>40026</v>
      </c>
      <c r="D96">
        <f t="shared" si="4"/>
        <v>3.4139999999999993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5">
      <c r="A97" s="24" t="e">
        <f>#REF!-B97</f>
        <v>#REF!</v>
      </c>
      <c r="B97" s="24">
        <v>3.4960000000000004</v>
      </c>
      <c r="C97" s="136">
        <f t="shared" si="5"/>
        <v>40057</v>
      </c>
      <c r="D97">
        <f t="shared" si="4"/>
        <v>3.3989999999999991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5">
      <c r="A98" s="24" t="e">
        <f>#REF!-B98</f>
        <v>#REF!</v>
      </c>
      <c r="B98" s="24">
        <v>3.3530000000000002</v>
      </c>
      <c r="C98" s="136">
        <f t="shared" si="5"/>
        <v>40087</v>
      </c>
      <c r="D98">
        <f t="shared" si="4"/>
        <v>3.4139999999999993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5">
      <c r="A99" s="24" t="e">
        <f>#REF!-B99</f>
        <v>#REF!</v>
      </c>
      <c r="B99" s="24">
        <v>3.2130000000000001</v>
      </c>
      <c r="C99" s="136">
        <f t="shared" si="5"/>
        <v>40118</v>
      </c>
      <c r="D99">
        <f t="shared" si="4"/>
        <v>3.5589999999999993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5">
      <c r="A100" s="24" t="e">
        <f>#REF!-B100</f>
        <v>#REF!</v>
      </c>
      <c r="B100" s="24">
        <v>3.19</v>
      </c>
      <c r="C100" s="136">
        <f t="shared" si="5"/>
        <v>40148</v>
      </c>
      <c r="D100">
        <f t="shared" si="4"/>
        <v>3.6939999999999991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5">
      <c r="A101" s="24" t="e">
        <f>#REF!-B101</f>
        <v>#REF!</v>
      </c>
      <c r="B101" s="24">
        <v>3.1749999999999998</v>
      </c>
      <c r="C101" s="136">
        <f t="shared" si="5"/>
        <v>40179</v>
      </c>
      <c r="D101">
        <f t="shared" si="4"/>
        <v>3.7489999999999992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5">
      <c r="A102" s="24" t="e">
        <f>#REF!-B102</f>
        <v>#REF!</v>
      </c>
      <c r="B102" s="24">
        <v>3.24</v>
      </c>
      <c r="C102" s="136">
        <f t="shared" si="5"/>
        <v>40210</v>
      </c>
      <c r="D102">
        <f t="shared" si="4"/>
        <v>3.6009999999999991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5">
      <c r="A103" s="24" t="e">
        <f>#REF!-B103</f>
        <v>#REF!</v>
      </c>
      <c r="B103" s="24">
        <v>3.2349999999999999</v>
      </c>
      <c r="C103" s="136">
        <f t="shared" si="5"/>
        <v>40238</v>
      </c>
      <c r="D103">
        <f t="shared" si="4"/>
        <v>3.5499999999999989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5">
      <c r="A104" s="24" t="e">
        <f>#REF!-B104</f>
        <v>#REF!</v>
      </c>
      <c r="B104" s="24">
        <v>3.22</v>
      </c>
      <c r="C104" s="136">
        <f t="shared" si="5"/>
        <v>40269</v>
      </c>
      <c r="D104">
        <f t="shared" si="4"/>
        <v>3.3309999999999991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5">
      <c r="A105" s="24" t="e">
        <f>#REF!-B105</f>
        <v>#REF!</v>
      </c>
      <c r="B105" s="24">
        <v>3.2330000000000001</v>
      </c>
      <c r="C105" s="136">
        <f t="shared" si="5"/>
        <v>40299</v>
      </c>
      <c r="D105">
        <f t="shared" si="4"/>
        <v>3.3339999999999987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5">
      <c r="A106" s="24" t="e">
        <f>#REF!-B106</f>
        <v>#REF!</v>
      </c>
      <c r="B106" s="24">
        <v>3.32</v>
      </c>
      <c r="C106" s="136">
        <f t="shared" si="5"/>
        <v>40330</v>
      </c>
      <c r="D106">
        <f t="shared" si="4"/>
        <v>3.3739999999999988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5">
      <c r="A107" s="24" t="e">
        <f>#REF!-B107</f>
        <v>#REF!</v>
      </c>
      <c r="B107" s="24">
        <v>3.4140000000000006</v>
      </c>
      <c r="C107" s="136">
        <f t="shared" si="5"/>
        <v>40360</v>
      </c>
      <c r="D107">
        <f t="shared" ref="D107:D170" si="6">D95+0.05</f>
        <v>3.4139999999999988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5">
      <c r="A108" s="24" t="e">
        <f>#REF!-B108</f>
        <v>#REF!</v>
      </c>
      <c r="B108" s="24">
        <v>3.6549999999999998</v>
      </c>
      <c r="C108" s="136">
        <f t="shared" si="5"/>
        <v>40391</v>
      </c>
      <c r="D108">
        <f t="shared" si="6"/>
        <v>3.4639999999999991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5">
      <c r="A109" s="24" t="e">
        <f>#REF!-B109</f>
        <v>#REF!</v>
      </c>
      <c r="B109" s="24">
        <v>3.552</v>
      </c>
      <c r="C109" s="136">
        <f t="shared" si="5"/>
        <v>40422</v>
      </c>
      <c r="D109">
        <f t="shared" si="6"/>
        <v>3.448999999999999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5">
      <c r="A110" s="24" t="e">
        <f>#REF!-B110</f>
        <v>#REF!</v>
      </c>
      <c r="B110" s="24">
        <v>3.4119999999999999</v>
      </c>
      <c r="C110" s="136">
        <f t="shared" si="5"/>
        <v>40452</v>
      </c>
      <c r="D110">
        <f t="shared" si="6"/>
        <v>3.4639999999999991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5">
      <c r="A111" s="24" t="e">
        <f>#REF!-B111</f>
        <v>#REF!</v>
      </c>
      <c r="B111" s="24">
        <v>3.2749999999999999</v>
      </c>
      <c r="C111" s="136">
        <f t="shared" si="5"/>
        <v>40483</v>
      </c>
      <c r="D111">
        <f t="shared" si="6"/>
        <v>3.6089999999999991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5">
      <c r="A112" s="24" t="e">
        <f>#REF!-B112</f>
        <v>#REF!</v>
      </c>
      <c r="B112" s="24">
        <v>3.2530000000000001</v>
      </c>
      <c r="C112" s="136">
        <f t="shared" si="5"/>
        <v>40513</v>
      </c>
      <c r="D112">
        <f t="shared" si="6"/>
        <v>3.7439999999999989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5">
      <c r="A113" s="24" t="e">
        <f>#REF!-B113</f>
        <v>#REF!</v>
      </c>
      <c r="B113" s="24">
        <v>3.2390000000000003</v>
      </c>
      <c r="C113" s="136">
        <f t="shared" si="5"/>
        <v>40544</v>
      </c>
      <c r="D113">
        <f t="shared" si="6"/>
        <v>3.798999999999999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5">
      <c r="A114" s="24" t="e">
        <f>#REF!-B114</f>
        <v>#REF!</v>
      </c>
      <c r="B114" s="24">
        <v>3.3040000000000003</v>
      </c>
      <c r="C114" s="136">
        <f t="shared" si="5"/>
        <v>40575</v>
      </c>
      <c r="D114">
        <f t="shared" si="6"/>
        <v>3.6509999999999989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5">
      <c r="A115" s="24" t="e">
        <f>#REF!-B115</f>
        <v>#REF!</v>
      </c>
      <c r="B115" s="24">
        <v>3.2990000000000004</v>
      </c>
      <c r="C115" s="136">
        <f t="shared" si="5"/>
        <v>40603</v>
      </c>
      <c r="D115">
        <f t="shared" si="6"/>
        <v>3.5999999999999988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5">
      <c r="A116" s="24" t="e">
        <f>#REF!-B116</f>
        <v>#REF!</v>
      </c>
      <c r="B116" s="24">
        <v>3.2830000000000004</v>
      </c>
      <c r="C116" s="136">
        <f t="shared" si="5"/>
        <v>40634</v>
      </c>
      <c r="D116">
        <f t="shared" si="6"/>
        <v>3.3809999999999989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5">
      <c r="A117" s="24" t="e">
        <f>#REF!-B117</f>
        <v>#REF!</v>
      </c>
      <c r="B117" s="24">
        <v>3.2949999999999999</v>
      </c>
      <c r="C117" s="136">
        <f t="shared" si="5"/>
        <v>40664</v>
      </c>
      <c r="D117">
        <f t="shared" si="6"/>
        <v>3.3839999999999986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5">
      <c r="A118" s="24" t="e">
        <f>#REF!-B118</f>
        <v>#REF!</v>
      </c>
      <c r="B118" s="24">
        <v>3.3769999999999998</v>
      </c>
      <c r="C118" s="136">
        <f t="shared" si="5"/>
        <v>40695</v>
      </c>
      <c r="D118">
        <f t="shared" si="6"/>
        <v>3.4239999999999986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5">
      <c r="A119" s="24" t="e">
        <f>#REF!-B119</f>
        <v>#REF!</v>
      </c>
      <c r="B119" s="24">
        <v>3.468</v>
      </c>
      <c r="C119" s="136">
        <f t="shared" si="5"/>
        <v>40725</v>
      </c>
      <c r="D119">
        <f t="shared" si="6"/>
        <v>3.4639999999999986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5">
      <c r="A120" s="24" t="e">
        <f>#REF!-B120</f>
        <v>#REF!</v>
      </c>
      <c r="B120" s="24">
        <v>3.722</v>
      </c>
      <c r="C120" s="136">
        <f t="shared" si="5"/>
        <v>40756</v>
      </c>
      <c r="D120">
        <f t="shared" si="6"/>
        <v>3.5139999999999989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5">
      <c r="A121" s="24" t="e">
        <f>#REF!-B121</f>
        <v>#REF!</v>
      </c>
      <c r="B121" s="24">
        <v>3.6230000000000002</v>
      </c>
      <c r="C121" s="136">
        <f t="shared" si="5"/>
        <v>40787</v>
      </c>
      <c r="D121">
        <f t="shared" si="6"/>
        <v>3.4989999999999988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5">
      <c r="A122" s="24" t="e">
        <f>#REF!-B122</f>
        <v>#REF!</v>
      </c>
      <c r="B122" s="24">
        <v>3.4860000000000002</v>
      </c>
      <c r="C122" s="136">
        <f t="shared" si="5"/>
        <v>40817</v>
      </c>
      <c r="D122">
        <f t="shared" si="6"/>
        <v>3.5139999999999989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5">
      <c r="A123" s="24" t="e">
        <f>#REF!-B123</f>
        <v>#REF!</v>
      </c>
      <c r="B123" s="24">
        <v>3.3519999999999999</v>
      </c>
      <c r="C123" s="136">
        <f t="shared" si="5"/>
        <v>40848</v>
      </c>
      <c r="D123">
        <f t="shared" si="6"/>
        <v>3.6589999999999989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5">
      <c r="A124" s="24" t="e">
        <f>#REF!-B124</f>
        <v>#REF!</v>
      </c>
      <c r="B124" s="24">
        <v>3.3310000000000004</v>
      </c>
      <c r="C124" s="136">
        <f t="shared" si="5"/>
        <v>40878</v>
      </c>
      <c r="D124">
        <f t="shared" si="6"/>
        <v>3.7939999999999987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5">
      <c r="A125" s="24" t="e">
        <f>#REF!-B125</f>
        <v>#REF!</v>
      </c>
      <c r="B125" s="24">
        <v>3.3180000000000001</v>
      </c>
      <c r="C125" s="136">
        <f t="shared" si="5"/>
        <v>40909</v>
      </c>
      <c r="D125">
        <f t="shared" si="6"/>
        <v>3.8489999999999989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5">
      <c r="A126" s="24" t="e">
        <f>#REF!-B126</f>
        <v>#REF!</v>
      </c>
      <c r="B126" s="24">
        <v>3.383</v>
      </c>
      <c r="C126" s="136">
        <f t="shared" si="5"/>
        <v>40940</v>
      </c>
      <c r="D126">
        <f t="shared" si="6"/>
        <v>3.7009999999999987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5">
      <c r="A127" s="24" t="e">
        <f>#REF!-B127</f>
        <v>#REF!</v>
      </c>
      <c r="B127" s="24">
        <v>3.3780000000000001</v>
      </c>
      <c r="C127" s="136">
        <f t="shared" si="5"/>
        <v>40969</v>
      </c>
      <c r="D127">
        <f t="shared" si="6"/>
        <v>3.6499999999999986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5">
      <c r="A128" s="24" t="e">
        <f>#REF!-B128</f>
        <v>#REF!</v>
      </c>
      <c r="B128" s="24">
        <v>3.3610000000000002</v>
      </c>
      <c r="C128" s="136">
        <f t="shared" si="5"/>
        <v>41000</v>
      </c>
      <c r="D128">
        <f t="shared" si="6"/>
        <v>3.4309999999999987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5">
      <c r="A129" s="24" t="e">
        <f>#REF!-B129</f>
        <v>#REF!</v>
      </c>
      <c r="B129" s="24">
        <v>3.3719999999999999</v>
      </c>
      <c r="C129" s="136">
        <f t="shared" si="5"/>
        <v>41030</v>
      </c>
      <c r="D129">
        <f t="shared" si="6"/>
        <v>3.4339999999999984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5">
      <c r="A130" s="24" t="e">
        <f>#REF!-B130</f>
        <v>#REF!</v>
      </c>
      <c r="B130" s="24">
        <v>3.4490000000000003</v>
      </c>
      <c r="C130" s="136">
        <f t="shared" si="5"/>
        <v>41061</v>
      </c>
      <c r="D130">
        <f t="shared" si="6"/>
        <v>3.4739999999999984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5">
      <c r="A131" s="24" t="e">
        <f>#REF!-B131</f>
        <v>#REF!</v>
      </c>
      <c r="B131" s="24">
        <v>3.5369999999999999</v>
      </c>
      <c r="C131" s="136">
        <f t="shared" si="5"/>
        <v>41091</v>
      </c>
      <c r="D131">
        <f t="shared" si="6"/>
        <v>3.5139999999999985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5">
      <c r="A132" s="24" t="e">
        <f>#REF!-B132</f>
        <v>#REF!</v>
      </c>
      <c r="B132" s="24">
        <v>3.7990000000000004</v>
      </c>
      <c r="C132" s="136">
        <f t="shared" si="5"/>
        <v>41122</v>
      </c>
      <c r="D132">
        <f t="shared" si="6"/>
        <v>3.5639999999999987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5">
      <c r="A133" s="24" t="e">
        <f>#REF!-B133</f>
        <v>#REF!</v>
      </c>
      <c r="B133" s="24">
        <v>3.7040000000000006</v>
      </c>
      <c r="C133" s="136">
        <f t="shared" si="5"/>
        <v>41153</v>
      </c>
      <c r="D133">
        <f t="shared" si="6"/>
        <v>3.5489999999999986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5">
      <c r="A134" s="24" t="e">
        <f>#REF!-B134</f>
        <v>#REF!</v>
      </c>
      <c r="B134" s="24">
        <v>3.57</v>
      </c>
      <c r="C134" s="136">
        <f t="shared" si="5"/>
        <v>41183</v>
      </c>
      <c r="D134">
        <f t="shared" si="6"/>
        <v>3.5639999999999987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5">
      <c r="A135" s="24" t="e">
        <f>#REF!-B135</f>
        <v>#REF!</v>
      </c>
      <c r="B135" s="24">
        <v>3.4390000000000005</v>
      </c>
      <c r="C135" s="136">
        <f t="shared" ref="C135:C198" si="7">EOMONTH(C134,0)+1</f>
        <v>41214</v>
      </c>
      <c r="D135">
        <f t="shared" si="6"/>
        <v>3.7089999999999987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5">
      <c r="A136" s="24" t="e">
        <f>#REF!-B136</f>
        <v>#REF!</v>
      </c>
      <c r="B136" s="24">
        <v>3.4190000000000005</v>
      </c>
      <c r="C136" s="136">
        <f t="shared" si="7"/>
        <v>41244</v>
      </c>
      <c r="D136">
        <f t="shared" si="6"/>
        <v>3.8439999999999985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5">
      <c r="A137" s="24" t="e">
        <f>#REF!-B137</f>
        <v>#REF!</v>
      </c>
      <c r="B137" s="24">
        <v>3.407</v>
      </c>
      <c r="C137" s="136">
        <f t="shared" si="7"/>
        <v>41275</v>
      </c>
      <c r="D137">
        <f t="shared" si="6"/>
        <v>3.8989999999999987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5">
      <c r="A138" s="24" t="e">
        <f>#REF!-B138</f>
        <v>#REF!</v>
      </c>
      <c r="B138" s="24">
        <v>3.472</v>
      </c>
      <c r="C138" s="136">
        <f t="shared" si="7"/>
        <v>41306</v>
      </c>
      <c r="D138">
        <f t="shared" si="6"/>
        <v>3.7509999999999986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5">
      <c r="A139" s="24" t="e">
        <f>#REF!-B139</f>
        <v>#REF!</v>
      </c>
      <c r="B139" s="24">
        <v>3.4670000000000001</v>
      </c>
      <c r="C139" s="136">
        <f t="shared" si="7"/>
        <v>41334</v>
      </c>
      <c r="D139">
        <f t="shared" si="6"/>
        <v>3.6999999999999984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5">
      <c r="A140" s="24" t="e">
        <f>#REF!-B140</f>
        <v>#REF!</v>
      </c>
      <c r="B140" s="24">
        <v>3.4490000000000003</v>
      </c>
      <c r="C140" s="136">
        <f t="shared" si="7"/>
        <v>41365</v>
      </c>
      <c r="D140">
        <f t="shared" si="6"/>
        <v>3.4809999999999985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5">
      <c r="A141" s="24" t="e">
        <f>#REF!-B141</f>
        <v>#REF!</v>
      </c>
      <c r="B141" s="24">
        <v>3.4590000000000005</v>
      </c>
      <c r="C141" s="136">
        <f t="shared" si="7"/>
        <v>41395</v>
      </c>
      <c r="D141">
        <f t="shared" si="6"/>
        <v>3.4839999999999982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5">
      <c r="A142" s="24" t="e">
        <f>#REF!-B142</f>
        <v>#REF!</v>
      </c>
      <c r="B142" s="24">
        <v>3.5310000000000001</v>
      </c>
      <c r="C142" s="136">
        <f t="shared" si="7"/>
        <v>41426</v>
      </c>
      <c r="D142">
        <f t="shared" si="6"/>
        <v>3.5239999999999982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5">
      <c r="A143" s="24" t="e">
        <f>#REF!-B143</f>
        <v>#REF!</v>
      </c>
      <c r="B143" s="24">
        <v>3.6160000000000001</v>
      </c>
      <c r="C143" s="136">
        <f t="shared" si="7"/>
        <v>41456</v>
      </c>
      <c r="D143">
        <f t="shared" si="6"/>
        <v>3.5639999999999983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5">
      <c r="A144" s="24" t="e">
        <f>#REF!-B144</f>
        <v>#REF!</v>
      </c>
      <c r="B144" s="24">
        <v>3.8860000000000001</v>
      </c>
      <c r="C144" s="136">
        <f t="shared" si="7"/>
        <v>41487</v>
      </c>
      <c r="D144">
        <f t="shared" si="6"/>
        <v>3.6139999999999985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5">
      <c r="A145" s="24" t="e">
        <f>#REF!-B145</f>
        <v>#REF!</v>
      </c>
      <c r="B145" s="24">
        <v>3.7949999999999999</v>
      </c>
      <c r="C145" s="136">
        <f t="shared" si="7"/>
        <v>41518</v>
      </c>
      <c r="D145">
        <f t="shared" si="6"/>
        <v>3.5989999999999984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5">
      <c r="A146" s="24" t="e">
        <f>#REF!-B146</f>
        <v>#REF!</v>
      </c>
      <c r="B146" s="24">
        <v>3.6640000000000006</v>
      </c>
      <c r="C146" s="136">
        <f t="shared" si="7"/>
        <v>41548</v>
      </c>
      <c r="D146">
        <f t="shared" si="6"/>
        <v>3.6139999999999985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5">
      <c r="A147" s="24" t="e">
        <f>#REF!-B147</f>
        <v>#REF!</v>
      </c>
      <c r="B147" s="24">
        <v>3.5360000000000005</v>
      </c>
      <c r="C147" s="136">
        <f t="shared" si="7"/>
        <v>41579</v>
      </c>
      <c r="D147">
        <f t="shared" si="6"/>
        <v>3.7589999999999986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5">
      <c r="A148" s="24" t="e">
        <f>#REF!-B148</f>
        <v>#REF!</v>
      </c>
      <c r="B148" s="24">
        <v>3.5169999999999999</v>
      </c>
      <c r="C148" s="136">
        <f t="shared" si="7"/>
        <v>41609</v>
      </c>
      <c r="D148">
        <f t="shared" si="6"/>
        <v>3.8939999999999984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5">
      <c r="A149" s="24" t="e">
        <f>#REF!-B149</f>
        <v>#REF!</v>
      </c>
      <c r="B149" s="24">
        <v>3.5060000000000002</v>
      </c>
      <c r="C149" s="136">
        <f t="shared" si="7"/>
        <v>41640</v>
      </c>
      <c r="D149">
        <f t="shared" si="6"/>
        <v>3.9489999999999985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5">
      <c r="A150" s="24" t="e">
        <f>#REF!-B150</f>
        <v>#REF!</v>
      </c>
      <c r="B150" s="24">
        <v>3.5710000000000002</v>
      </c>
      <c r="C150" s="136">
        <f t="shared" si="7"/>
        <v>41671</v>
      </c>
      <c r="D150">
        <f t="shared" si="6"/>
        <v>3.8009999999999984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5">
      <c r="A151" s="24" t="e">
        <f>#REF!-B151</f>
        <v>#REF!</v>
      </c>
      <c r="B151" s="24">
        <v>3.5660000000000003</v>
      </c>
      <c r="C151" s="136">
        <f t="shared" si="7"/>
        <v>41699</v>
      </c>
      <c r="D151">
        <f t="shared" si="6"/>
        <v>3.7499999999999982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5">
      <c r="A152" s="24" t="e">
        <f>#REF!-B152</f>
        <v>#REF!</v>
      </c>
      <c r="B152" s="24">
        <v>3.5470000000000002</v>
      </c>
      <c r="C152" s="136">
        <f t="shared" si="7"/>
        <v>41730</v>
      </c>
      <c r="D152">
        <f t="shared" si="6"/>
        <v>3.5309999999999984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5">
      <c r="A153" s="24" t="e">
        <f>#REF!-B153</f>
        <v>#REF!</v>
      </c>
      <c r="B153" s="24">
        <v>3.5560000000000005</v>
      </c>
      <c r="C153" s="136">
        <f t="shared" si="7"/>
        <v>41760</v>
      </c>
      <c r="D153">
        <f t="shared" si="6"/>
        <v>3.533999999999998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5">
      <c r="A154" s="24" t="e">
        <f>#REF!-B154</f>
        <v>#REF!</v>
      </c>
      <c r="B154" s="24">
        <v>3.6230000000000002</v>
      </c>
      <c r="C154" s="136">
        <f t="shared" si="7"/>
        <v>41791</v>
      </c>
      <c r="D154">
        <f t="shared" si="6"/>
        <v>3.5739999999999981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5">
      <c r="A155" s="24" t="e">
        <f>#REF!-B155</f>
        <v>#REF!</v>
      </c>
      <c r="B155" s="24">
        <v>3.7050000000000001</v>
      </c>
      <c r="C155" s="136">
        <f t="shared" si="7"/>
        <v>41821</v>
      </c>
      <c r="D155">
        <f t="shared" si="6"/>
        <v>3.6139999999999981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5">
      <c r="A156" s="24" t="e">
        <f>#REF!-B156</f>
        <v>#REF!</v>
      </c>
      <c r="B156" s="24">
        <v>3.9780000000000002</v>
      </c>
      <c r="C156" s="136">
        <f t="shared" si="7"/>
        <v>41852</v>
      </c>
      <c r="D156">
        <f t="shared" si="6"/>
        <v>3.6639999999999984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5">
      <c r="A157" s="24" t="e">
        <f>#REF!-B157</f>
        <v>#REF!</v>
      </c>
      <c r="B157" s="24">
        <v>3.8910000000000005</v>
      </c>
      <c r="C157" s="136">
        <f t="shared" si="7"/>
        <v>41883</v>
      </c>
      <c r="D157">
        <f t="shared" si="6"/>
        <v>3.6489999999999982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5">
      <c r="A158" s="24" t="e">
        <f>#REF!-B158</f>
        <v>#REF!</v>
      </c>
      <c r="B158" s="24">
        <v>3.7630000000000003</v>
      </c>
      <c r="C158" s="136">
        <f t="shared" si="7"/>
        <v>41913</v>
      </c>
      <c r="D158">
        <f t="shared" si="6"/>
        <v>3.6639999999999984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5">
      <c r="A159" s="24" t="e">
        <f>#REF!-B159</f>
        <v>#REF!</v>
      </c>
      <c r="B159" s="24">
        <v>3.6380000000000003</v>
      </c>
      <c r="C159" s="136">
        <f t="shared" si="7"/>
        <v>41944</v>
      </c>
      <c r="D159">
        <f t="shared" si="6"/>
        <v>3.8089999999999984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5">
      <c r="A160" s="24" t="e">
        <f>#REF!-B160</f>
        <v>#REF!</v>
      </c>
      <c r="B160" s="24">
        <v>3.62</v>
      </c>
      <c r="C160" s="136">
        <f t="shared" si="7"/>
        <v>41974</v>
      </c>
      <c r="D160">
        <f t="shared" si="6"/>
        <v>3.9439999999999982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5">
      <c r="A161" s="24" t="e">
        <f>#REF!-B161</f>
        <v>#REF!</v>
      </c>
      <c r="B161" s="24">
        <v>3.61</v>
      </c>
      <c r="C161" s="136">
        <f t="shared" si="7"/>
        <v>42005</v>
      </c>
      <c r="D161">
        <f t="shared" si="6"/>
        <v>3.9989999999999983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5">
      <c r="A162" s="24" t="e">
        <f>#REF!-B162</f>
        <v>#REF!</v>
      </c>
      <c r="B162" s="24">
        <v>3.6749999999999998</v>
      </c>
      <c r="C162" s="136">
        <f t="shared" si="7"/>
        <v>42036</v>
      </c>
      <c r="D162">
        <f t="shared" si="6"/>
        <v>3.8509999999999982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5">
      <c r="A163" s="24" t="e">
        <f>#REF!-B163</f>
        <v>#REF!</v>
      </c>
      <c r="B163" s="24">
        <v>3.67</v>
      </c>
      <c r="C163" s="136">
        <f t="shared" si="7"/>
        <v>42064</v>
      </c>
      <c r="D163">
        <f t="shared" si="6"/>
        <v>3.799999999999998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5">
      <c r="A164" s="24" t="e">
        <f>#REF!-B164</f>
        <v>#REF!</v>
      </c>
      <c r="B164" s="24">
        <v>3.65</v>
      </c>
      <c r="C164" s="136">
        <f t="shared" si="7"/>
        <v>42095</v>
      </c>
      <c r="D164">
        <f t="shared" si="6"/>
        <v>3.5809999999999982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5">
      <c r="A165" s="24" t="e">
        <f>#REF!-B165</f>
        <v>#REF!</v>
      </c>
      <c r="B165" s="24">
        <v>3.6580000000000004</v>
      </c>
      <c r="C165" s="136">
        <f t="shared" si="7"/>
        <v>42125</v>
      </c>
      <c r="D165">
        <f t="shared" si="6"/>
        <v>3.5839999999999979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5">
      <c r="A166" s="24" t="e">
        <f>#REF!-B166</f>
        <v>#REF!</v>
      </c>
      <c r="B166" s="24">
        <v>3.72</v>
      </c>
      <c r="C166" s="136">
        <f t="shared" si="7"/>
        <v>42156</v>
      </c>
      <c r="D166">
        <f t="shared" si="6"/>
        <v>3.6239999999999979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5">
      <c r="A167" s="24" t="e">
        <f>#REF!-B167</f>
        <v>#REF!</v>
      </c>
      <c r="B167" s="24">
        <v>3.7990000000000004</v>
      </c>
      <c r="C167" s="136">
        <f t="shared" si="7"/>
        <v>42186</v>
      </c>
      <c r="D167">
        <f t="shared" si="6"/>
        <v>3.6639999999999979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5">
      <c r="A168" s="24" t="e">
        <f>#REF!-B168</f>
        <v>#REF!</v>
      </c>
      <c r="B168" s="24">
        <v>4.0750000000000002</v>
      </c>
      <c r="C168" s="136">
        <f t="shared" si="7"/>
        <v>42217</v>
      </c>
      <c r="D168">
        <f t="shared" si="6"/>
        <v>3.7139999999999982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5">
      <c r="A169" s="24" t="e">
        <f>#REF!-B169</f>
        <v>#REF!</v>
      </c>
      <c r="B169" s="24">
        <v>3.992</v>
      </c>
      <c r="C169" s="136">
        <f t="shared" si="7"/>
        <v>42248</v>
      </c>
      <c r="D169">
        <f t="shared" si="6"/>
        <v>3.6989999999999981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5">
      <c r="A170" s="24" t="e">
        <f>#REF!-B170</f>
        <v>#REF!</v>
      </c>
      <c r="B170" s="24">
        <v>3.867</v>
      </c>
      <c r="C170" s="136">
        <f t="shared" si="7"/>
        <v>42278</v>
      </c>
      <c r="D170">
        <f t="shared" si="6"/>
        <v>3.7139999999999982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5">
      <c r="A171" s="24" t="e">
        <f>#REF!-B171</f>
        <v>#REF!</v>
      </c>
      <c r="B171" s="24">
        <v>3.7450000000000001</v>
      </c>
      <c r="C171" s="136">
        <f t="shared" si="7"/>
        <v>42309</v>
      </c>
      <c r="D171">
        <f t="shared" ref="D171:D234" si="8">D159+0.05</f>
        <v>3.8589999999999982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5">
      <c r="A172" s="24" t="e">
        <f>#REF!-B172</f>
        <v>#REF!</v>
      </c>
      <c r="B172" s="24">
        <v>3.7280000000000002</v>
      </c>
      <c r="C172" s="136">
        <f t="shared" si="7"/>
        <v>42339</v>
      </c>
      <c r="D172">
        <f t="shared" si="8"/>
        <v>3.993999999999998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5">
      <c r="A173" s="24" t="e">
        <f>#REF!-B173</f>
        <v>#REF!</v>
      </c>
      <c r="B173" s="24">
        <v>3.7190000000000003</v>
      </c>
      <c r="C173" s="136">
        <f t="shared" si="7"/>
        <v>42370</v>
      </c>
      <c r="D173">
        <f t="shared" si="8"/>
        <v>4.0489999999999986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5">
      <c r="A174" s="24" t="e">
        <f>#REF!-B174</f>
        <v>#REF!</v>
      </c>
      <c r="B174" s="24">
        <v>3.7840000000000003</v>
      </c>
      <c r="C174" s="136">
        <f t="shared" si="7"/>
        <v>42401</v>
      </c>
      <c r="D174">
        <f t="shared" si="8"/>
        <v>3.900999999999998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5">
      <c r="A175" s="24" t="e">
        <f>#REF!-B175</f>
        <v>#REF!</v>
      </c>
      <c r="B175" s="24">
        <v>3.7790000000000004</v>
      </c>
      <c r="C175" s="136">
        <f t="shared" si="7"/>
        <v>42430</v>
      </c>
      <c r="D175">
        <f t="shared" si="8"/>
        <v>3.8499999999999979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5">
      <c r="A176" s="24"/>
      <c r="B176" s="24">
        <v>3.758</v>
      </c>
      <c r="C176" s="136">
        <f t="shared" si="7"/>
        <v>42461</v>
      </c>
      <c r="D176">
        <f t="shared" si="8"/>
        <v>3.630999999999998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5">
      <c r="A177" s="24"/>
      <c r="B177" s="24">
        <v>3.7650000000000001</v>
      </c>
      <c r="C177" s="136">
        <f t="shared" si="7"/>
        <v>42491</v>
      </c>
      <c r="D177">
        <f t="shared" si="8"/>
        <v>3.6339999999999977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5">
      <c r="A178" s="24"/>
      <c r="B178" s="24">
        <v>3.8220000000000001</v>
      </c>
      <c r="C178" s="136">
        <f t="shared" si="7"/>
        <v>42522</v>
      </c>
      <c r="D178">
        <f t="shared" si="8"/>
        <v>3.6739999999999977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5">
      <c r="A179" s="24"/>
      <c r="B179" s="24">
        <v>3.8980000000000001</v>
      </c>
      <c r="C179" s="136">
        <f t="shared" si="7"/>
        <v>42552</v>
      </c>
      <c r="D179">
        <f t="shared" si="8"/>
        <v>3.7139999999999977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5">
      <c r="A180" s="24"/>
      <c r="B180" s="24">
        <v>4.1719999999999997</v>
      </c>
      <c r="C180" s="136">
        <f t="shared" si="7"/>
        <v>42583</v>
      </c>
      <c r="D180">
        <f t="shared" si="8"/>
        <v>3.763999999999998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5">
      <c r="A181" s="24"/>
      <c r="B181" s="24">
        <v>4.093</v>
      </c>
      <c r="C181" s="136">
        <f t="shared" si="7"/>
        <v>42614</v>
      </c>
      <c r="D181">
        <f t="shared" si="8"/>
        <v>3.7489999999999979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5">
      <c r="A182" s="24"/>
      <c r="B182" s="24">
        <v>3.9710000000000005</v>
      </c>
      <c r="C182" s="136">
        <f t="shared" si="7"/>
        <v>42644</v>
      </c>
      <c r="D182">
        <f t="shared" si="8"/>
        <v>3.763999999999998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5">
      <c r="A183" s="24"/>
      <c r="B183" s="24">
        <v>3.8519999999999999</v>
      </c>
      <c r="C183" s="136">
        <f t="shared" si="7"/>
        <v>42675</v>
      </c>
      <c r="D183">
        <f t="shared" si="8"/>
        <v>3.908999999999998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5">
      <c r="A184" s="24"/>
      <c r="B184" s="24">
        <v>3.8360000000000003</v>
      </c>
      <c r="C184" s="136">
        <f t="shared" si="7"/>
        <v>42705</v>
      </c>
      <c r="D184">
        <f t="shared" si="8"/>
        <v>4.0439999999999978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5">
      <c r="A185" s="24"/>
      <c r="B185" s="24">
        <v>3.8280000000000003</v>
      </c>
      <c r="C185" s="136">
        <f t="shared" si="7"/>
        <v>42736</v>
      </c>
      <c r="D185">
        <f t="shared" si="8"/>
        <v>4.0989999999999984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5">
      <c r="A186" s="24"/>
      <c r="B186" s="24">
        <v>3.8930000000000002</v>
      </c>
      <c r="C186" s="136">
        <f t="shared" si="7"/>
        <v>42767</v>
      </c>
      <c r="D186">
        <f t="shared" si="8"/>
        <v>3.9509999999999978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5">
      <c r="A187" s="24"/>
      <c r="B187" s="24">
        <v>3.8880000000000003</v>
      </c>
      <c r="C187" s="136">
        <f t="shared" si="7"/>
        <v>42795</v>
      </c>
      <c r="D187">
        <f t="shared" si="8"/>
        <v>3.8999999999999977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5">
      <c r="A188" s="24"/>
      <c r="B188" s="24">
        <v>3.8660000000000001</v>
      </c>
      <c r="C188" s="136">
        <f t="shared" si="7"/>
        <v>42826</v>
      </c>
      <c r="D188">
        <f t="shared" si="8"/>
        <v>3.6809999999999978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5">
      <c r="A189" s="24"/>
      <c r="B189" s="24">
        <v>3.8719999999999999</v>
      </c>
      <c r="C189" s="136">
        <f t="shared" si="7"/>
        <v>42856</v>
      </c>
      <c r="D189">
        <f t="shared" si="8"/>
        <v>3.6839999999999975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5">
      <c r="A190" s="24"/>
      <c r="B190" s="24">
        <v>3.9240000000000004</v>
      </c>
      <c r="C190" s="136">
        <f t="shared" si="7"/>
        <v>42887</v>
      </c>
      <c r="D190">
        <f t="shared" si="8"/>
        <v>3.7239999999999975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5">
      <c r="A191" s="24"/>
      <c r="B191" s="24">
        <v>3.9969999999999999</v>
      </c>
      <c r="C191" s="136">
        <f t="shared" si="7"/>
        <v>42917</v>
      </c>
      <c r="D191">
        <f t="shared" si="8"/>
        <v>3.7639999999999976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83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83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5">
      <c r="A192" s="24"/>
      <c r="B192" s="24">
        <v>4.2690000000000001</v>
      </c>
      <c r="C192" s="136">
        <f t="shared" si="7"/>
        <v>42948</v>
      </c>
      <c r="D192">
        <f t="shared" si="8"/>
        <v>3.8139999999999978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5">
      <c r="A193" s="24"/>
      <c r="B193" s="24">
        <v>4.1940000000000008</v>
      </c>
      <c r="C193" s="136">
        <f t="shared" si="7"/>
        <v>42979</v>
      </c>
      <c r="D193">
        <f t="shared" si="8"/>
        <v>3.7989999999999977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5">
      <c r="A194" s="24"/>
      <c r="B194" s="24">
        <v>4.0750000000000002</v>
      </c>
      <c r="C194" s="136">
        <f t="shared" si="7"/>
        <v>43009</v>
      </c>
      <c r="D194">
        <f t="shared" si="8"/>
        <v>3.8139999999999978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5">
      <c r="A195" s="24"/>
      <c r="B195" s="24">
        <v>3.9590000000000005</v>
      </c>
      <c r="C195" s="136">
        <f t="shared" si="7"/>
        <v>43040</v>
      </c>
      <c r="D195">
        <f t="shared" si="8"/>
        <v>3.9589999999999979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5">
      <c r="A196" s="24"/>
      <c r="B196" s="24">
        <v>3.9440000000000004</v>
      </c>
      <c r="C196" s="136">
        <f t="shared" si="7"/>
        <v>43070</v>
      </c>
      <c r="D196">
        <f t="shared" si="8"/>
        <v>4.0939999999999976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5">
      <c r="A197" s="24"/>
      <c r="B197" s="24">
        <v>3.9369999999999998</v>
      </c>
      <c r="C197" s="136">
        <f t="shared" si="7"/>
        <v>43101</v>
      </c>
      <c r="D197">
        <f t="shared" si="8"/>
        <v>4.1489999999999982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5">
      <c r="A198" s="24"/>
      <c r="B198" s="24">
        <v>4.0019999999999998</v>
      </c>
      <c r="C198" s="136">
        <f t="shared" si="7"/>
        <v>43132</v>
      </c>
      <c r="D198">
        <f t="shared" si="8"/>
        <v>4.0009999999999977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5">
      <c r="A199" s="24"/>
      <c r="B199" s="24">
        <v>3.9969999999999999</v>
      </c>
      <c r="C199" s="136">
        <f t="shared" ref="C199:C262" si="9">EOMONTH(C198,0)+1</f>
        <v>43160</v>
      </c>
      <c r="D199">
        <f t="shared" si="8"/>
        <v>3.9499999999999975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5">
      <c r="A200" s="24"/>
      <c r="B200" s="24">
        <v>3.9740000000000006</v>
      </c>
      <c r="C200" s="136">
        <f t="shared" si="9"/>
        <v>43191</v>
      </c>
      <c r="D200">
        <f t="shared" si="8"/>
        <v>3.7309999999999977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5">
      <c r="A201" s="24"/>
      <c r="B201" s="24">
        <v>3.9790000000000005</v>
      </c>
      <c r="C201" s="136">
        <f t="shared" si="9"/>
        <v>43221</v>
      </c>
      <c r="D201">
        <f t="shared" si="8"/>
        <v>3.7339999999999973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5">
      <c r="A202" s="24"/>
      <c r="B202" s="24">
        <v>4.0260000000000007</v>
      </c>
      <c r="C202" s="136">
        <f t="shared" si="9"/>
        <v>43252</v>
      </c>
      <c r="D202">
        <f t="shared" si="8"/>
        <v>3.7739999999999974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5">
      <c r="A203" s="24"/>
      <c r="B203" s="24">
        <v>4.0960000000000001</v>
      </c>
      <c r="C203" s="136">
        <f t="shared" si="9"/>
        <v>43282</v>
      </c>
      <c r="D203">
        <f t="shared" si="8"/>
        <v>3.8139999999999974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5">
      <c r="A204" s="24"/>
      <c r="B204" s="24">
        <v>4.3660000000000005</v>
      </c>
      <c r="C204" s="136">
        <f t="shared" si="9"/>
        <v>43313</v>
      </c>
      <c r="D204">
        <f t="shared" si="8"/>
        <v>3.8639999999999977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5">
      <c r="A205" s="24"/>
      <c r="B205" s="24">
        <v>4.2949999999999999</v>
      </c>
      <c r="C205" s="136">
        <f t="shared" si="9"/>
        <v>43344</v>
      </c>
      <c r="D205">
        <f t="shared" si="8"/>
        <v>3.8489999999999975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5">
      <c r="A206" s="24"/>
      <c r="B206" s="24">
        <v>4.1790000000000003</v>
      </c>
      <c r="C206" s="136">
        <f t="shared" si="9"/>
        <v>43374</v>
      </c>
      <c r="D206">
        <f t="shared" si="8"/>
        <v>3.8639999999999977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5">
      <c r="A207" s="24"/>
      <c r="B207" s="24">
        <v>4.0660000000000007</v>
      </c>
      <c r="C207" s="136">
        <f t="shared" si="9"/>
        <v>43405</v>
      </c>
      <c r="D207">
        <f t="shared" si="8"/>
        <v>4.0089999999999977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5">
      <c r="A208" s="24"/>
      <c r="B208" s="24">
        <v>4.0519999999999996</v>
      </c>
      <c r="C208" s="136">
        <f t="shared" si="9"/>
        <v>43435</v>
      </c>
      <c r="D208">
        <f t="shared" si="8"/>
        <v>4.1439999999999975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5">
      <c r="A209" s="24"/>
      <c r="B209" s="24">
        <v>4.0460000000000003</v>
      </c>
      <c r="C209" s="136">
        <f t="shared" si="9"/>
        <v>43466</v>
      </c>
      <c r="D209">
        <f t="shared" si="8"/>
        <v>4.1989999999999981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5">
      <c r="A210" s="24"/>
      <c r="B210" s="24">
        <v>4.1110000000000007</v>
      </c>
      <c r="C210" s="136">
        <f t="shared" si="9"/>
        <v>43497</v>
      </c>
      <c r="D210">
        <f t="shared" si="8"/>
        <v>4.0509999999999975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5">
      <c r="A211" s="24"/>
      <c r="B211" s="24">
        <v>4.1059999999999999</v>
      </c>
      <c r="C211" s="136">
        <f t="shared" si="9"/>
        <v>43525</v>
      </c>
      <c r="D211">
        <f t="shared" si="8"/>
        <v>3.9999999999999973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5">
      <c r="A212" s="24"/>
      <c r="B212" s="24">
        <v>4.0819999999999999</v>
      </c>
      <c r="C212" s="136">
        <f t="shared" si="9"/>
        <v>43556</v>
      </c>
      <c r="D212">
        <f t="shared" si="8"/>
        <v>3.7809999999999975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5">
      <c r="A213" s="24"/>
      <c r="B213" s="24">
        <v>4.0860000000000003</v>
      </c>
      <c r="C213" s="136">
        <f t="shared" si="9"/>
        <v>43586</v>
      </c>
      <c r="D213">
        <f t="shared" si="8"/>
        <v>3.7839999999999971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5">
      <c r="A214" s="24"/>
      <c r="B214" s="24">
        <v>4.1280000000000001</v>
      </c>
      <c r="C214" s="136">
        <f t="shared" si="9"/>
        <v>43617</v>
      </c>
      <c r="D214">
        <f t="shared" si="8"/>
        <v>3.8239999999999972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5">
      <c r="A215" s="24"/>
      <c r="B215" s="24">
        <v>4.1950000000000003</v>
      </c>
      <c r="C215" s="136">
        <f t="shared" si="9"/>
        <v>43647</v>
      </c>
      <c r="D215">
        <f t="shared" si="8"/>
        <v>3.8639999999999972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5">
      <c r="A216" s="24"/>
      <c r="B216" s="24">
        <v>4.4630000000000001</v>
      </c>
      <c r="C216" s="136">
        <f t="shared" si="9"/>
        <v>43678</v>
      </c>
      <c r="D216">
        <f t="shared" si="8"/>
        <v>3.9139999999999975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5">
      <c r="A217" s="24"/>
      <c r="B217" s="24">
        <v>4.3959999999999999</v>
      </c>
      <c r="C217" s="136">
        <f t="shared" si="9"/>
        <v>43709</v>
      </c>
      <c r="D217">
        <f t="shared" si="8"/>
        <v>3.8989999999999974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5">
      <c r="A218" s="24"/>
      <c r="B218" s="24">
        <v>4.2830000000000004</v>
      </c>
      <c r="C218" s="136">
        <f t="shared" si="9"/>
        <v>43739</v>
      </c>
      <c r="D218">
        <f t="shared" si="8"/>
        <v>3.9139999999999975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5">
      <c r="A219" s="24"/>
      <c r="B219" s="24">
        <v>4.173</v>
      </c>
      <c r="C219" s="136">
        <f t="shared" si="9"/>
        <v>43770</v>
      </c>
      <c r="D219">
        <f t="shared" si="8"/>
        <v>4.0589999999999975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5">
      <c r="A220" s="24"/>
      <c r="B220" s="24">
        <v>4.16</v>
      </c>
      <c r="C220" s="136">
        <f t="shared" si="9"/>
        <v>43800</v>
      </c>
      <c r="D220">
        <f t="shared" si="8"/>
        <v>4.1939999999999973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5">
      <c r="A221" s="24"/>
      <c r="B221" s="24">
        <v>4.1550000000000002</v>
      </c>
      <c r="C221" s="136">
        <f t="shared" si="9"/>
        <v>43831</v>
      </c>
      <c r="D221">
        <f t="shared" si="8"/>
        <v>4.2489999999999979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5">
      <c r="A222" s="24"/>
      <c r="B222" s="24">
        <v>4.22</v>
      </c>
      <c r="C222" s="136">
        <f t="shared" si="9"/>
        <v>43862</v>
      </c>
      <c r="D222">
        <f t="shared" si="8"/>
        <v>4.1009999999999973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5">
      <c r="A223" s="24"/>
      <c r="B223" s="24">
        <v>4.2149999999999999</v>
      </c>
      <c r="C223" s="136">
        <f t="shared" si="9"/>
        <v>43891</v>
      </c>
      <c r="D223">
        <f t="shared" si="8"/>
        <v>4.0499999999999972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5">
      <c r="A224" s="24"/>
      <c r="B224" s="24">
        <v>4.1900000000000004</v>
      </c>
      <c r="C224" s="136">
        <f t="shared" si="9"/>
        <v>43922</v>
      </c>
      <c r="D224">
        <f t="shared" si="8"/>
        <v>3.8309999999999973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5">
      <c r="A225" s="24"/>
      <c r="B225" s="24">
        <v>4.1930000000000005</v>
      </c>
      <c r="C225" s="136">
        <f t="shared" si="9"/>
        <v>43952</v>
      </c>
      <c r="D225">
        <f t="shared" si="8"/>
        <v>3.833999999999997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5">
      <c r="A226" s="24"/>
      <c r="B226" s="24">
        <v>4.2300000000000004</v>
      </c>
      <c r="C226" s="136">
        <f t="shared" si="9"/>
        <v>43983</v>
      </c>
      <c r="D226">
        <f t="shared" si="8"/>
        <v>3.873999999999997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5">
      <c r="A227" s="24"/>
      <c r="B227" s="24">
        <v>4.2940000000000005</v>
      </c>
      <c r="C227" s="136">
        <f t="shared" si="9"/>
        <v>44013</v>
      </c>
      <c r="D227">
        <f t="shared" si="8"/>
        <v>3.913999999999997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5">
      <c r="A228" s="24"/>
      <c r="B228" s="24">
        <v>4.5599999999999996</v>
      </c>
      <c r="C228" s="136">
        <f t="shared" si="9"/>
        <v>44044</v>
      </c>
      <c r="D228">
        <f t="shared" si="8"/>
        <v>3.9639999999999973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5">
      <c r="A229" s="24"/>
      <c r="B229" s="24">
        <v>4.4969999999999999</v>
      </c>
      <c r="C229" s="136">
        <f t="shared" si="9"/>
        <v>44075</v>
      </c>
      <c r="D229">
        <f t="shared" si="8"/>
        <v>3.9489999999999972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5">
      <c r="A230" s="24"/>
      <c r="B230" s="24">
        <v>4.3869999999999996</v>
      </c>
      <c r="C230" s="136">
        <f t="shared" si="9"/>
        <v>44105</v>
      </c>
      <c r="D230">
        <f t="shared" si="8"/>
        <v>3.9639999999999973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5">
      <c r="A231" s="24"/>
      <c r="B231" s="24">
        <v>4.28</v>
      </c>
      <c r="C231" s="136">
        <f t="shared" si="9"/>
        <v>44136</v>
      </c>
      <c r="D231">
        <f t="shared" si="8"/>
        <v>4.1089999999999973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5">
      <c r="A232" s="24"/>
      <c r="B232" s="24">
        <v>4.2679999999999998</v>
      </c>
      <c r="C232" s="136">
        <f t="shared" si="9"/>
        <v>44166</v>
      </c>
      <c r="D232">
        <f t="shared" si="8"/>
        <v>4.2439999999999971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5">
      <c r="A233" s="24"/>
      <c r="B233" s="24">
        <v>4.2640000000000002</v>
      </c>
      <c r="C233" s="136">
        <f t="shared" si="9"/>
        <v>44197</v>
      </c>
      <c r="D233">
        <f t="shared" si="8"/>
        <v>4.2989999999999977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5">
      <c r="A234" s="24"/>
      <c r="B234" s="24">
        <v>4.3290000000000006</v>
      </c>
      <c r="C234" s="136">
        <f t="shared" si="9"/>
        <v>44228</v>
      </c>
      <c r="D234">
        <f t="shared" si="8"/>
        <v>4.1509999999999971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5">
      <c r="A235" s="24"/>
      <c r="B235" s="24">
        <v>4.3240000000000007</v>
      </c>
      <c r="C235" s="136">
        <f t="shared" si="9"/>
        <v>44256</v>
      </c>
      <c r="D235">
        <f t="shared" ref="D235:D281" si="10">D223+0.05</f>
        <v>4.099999999999997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5">
      <c r="A236" s="24"/>
      <c r="B236" s="24">
        <v>4.298</v>
      </c>
      <c r="C236" s="136">
        <f t="shared" si="9"/>
        <v>44287</v>
      </c>
      <c r="D236">
        <f t="shared" si="10"/>
        <v>3.8809999999999971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5">
      <c r="A237" s="24"/>
      <c r="B237" s="24">
        <v>4.3</v>
      </c>
      <c r="C237" s="136">
        <f t="shared" si="9"/>
        <v>44317</v>
      </c>
      <c r="D237">
        <f t="shared" si="10"/>
        <v>3.8839999999999968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5">
      <c r="A238" s="24"/>
      <c r="B238" s="24">
        <v>4.3319999999999999</v>
      </c>
      <c r="C238" s="136">
        <f t="shared" si="9"/>
        <v>44348</v>
      </c>
      <c r="D238">
        <f t="shared" si="10"/>
        <v>3.9239999999999968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5">
      <c r="A239" s="24"/>
      <c r="B239" s="24">
        <v>4.3929999999999998</v>
      </c>
      <c r="C239" s="136">
        <f t="shared" si="9"/>
        <v>44378</v>
      </c>
      <c r="D239">
        <f t="shared" si="10"/>
        <v>3.9639999999999969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5">
      <c r="A240" s="24"/>
      <c r="B240" s="24">
        <v>4.657</v>
      </c>
      <c r="C240" s="136">
        <f t="shared" si="9"/>
        <v>44409</v>
      </c>
      <c r="D240">
        <f t="shared" si="10"/>
        <v>4.0139999999999976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5">
      <c r="A241" s="24"/>
      <c r="B241" s="24">
        <v>4.5979999999999999</v>
      </c>
      <c r="C241" s="136">
        <f t="shared" si="9"/>
        <v>44440</v>
      </c>
      <c r="D241">
        <f t="shared" si="10"/>
        <v>3.998999999999997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5">
      <c r="A242" s="24"/>
      <c r="B242" s="24">
        <v>4.4910000000000005</v>
      </c>
      <c r="C242" s="136">
        <f t="shared" si="9"/>
        <v>44470</v>
      </c>
      <c r="D242">
        <f t="shared" si="10"/>
        <v>4.0139999999999976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5">
      <c r="A243" s="24"/>
      <c r="B243" s="24">
        <v>4.3869999999999996</v>
      </c>
      <c r="C243" s="136">
        <f t="shared" si="9"/>
        <v>44501</v>
      </c>
      <c r="D243">
        <f t="shared" si="10"/>
        <v>4.1589999999999971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5">
      <c r="A244" s="24"/>
      <c r="B244" s="24">
        <v>4.3760000000000003</v>
      </c>
      <c r="C244" s="136">
        <f t="shared" si="9"/>
        <v>44531</v>
      </c>
      <c r="D244">
        <f t="shared" si="10"/>
        <v>4.2939999999999969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5">
      <c r="A245" s="24"/>
      <c r="B245" s="24">
        <v>4.3730000000000002</v>
      </c>
      <c r="C245" s="136">
        <f t="shared" si="9"/>
        <v>44562</v>
      </c>
      <c r="D245">
        <f t="shared" si="10"/>
        <v>4.3489999999999975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5">
      <c r="A246" s="24"/>
      <c r="B246" s="24">
        <v>4.4380000000000006</v>
      </c>
      <c r="C246" s="136">
        <f t="shared" si="9"/>
        <v>44593</v>
      </c>
      <c r="D246">
        <f t="shared" si="10"/>
        <v>4.200999999999997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5">
      <c r="A247" s="24"/>
      <c r="B247" s="24">
        <v>4.4329999999999998</v>
      </c>
      <c r="C247" s="136">
        <f t="shared" si="9"/>
        <v>44621</v>
      </c>
      <c r="D247">
        <f t="shared" si="10"/>
        <v>4.1499999999999968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5">
      <c r="A248" s="24"/>
      <c r="B248" s="24">
        <v>4.4060000000000006</v>
      </c>
      <c r="C248" s="136">
        <f t="shared" si="9"/>
        <v>44652</v>
      </c>
      <c r="D248">
        <f t="shared" si="10"/>
        <v>3.9309999999999969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5">
      <c r="A249" s="24"/>
      <c r="B249" s="24">
        <v>4.407</v>
      </c>
      <c r="C249" s="136">
        <f t="shared" si="9"/>
        <v>44682</v>
      </c>
      <c r="D249">
        <f t="shared" si="10"/>
        <v>3.9339999999999966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5">
      <c r="A250" s="24"/>
      <c r="B250" s="24">
        <v>4.4340000000000002</v>
      </c>
      <c r="C250" s="136">
        <f t="shared" si="9"/>
        <v>44713</v>
      </c>
      <c r="D250">
        <f t="shared" si="10"/>
        <v>3.9739999999999966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5">
      <c r="A251" s="24"/>
      <c r="B251" s="24">
        <v>4.492</v>
      </c>
      <c r="C251" s="136">
        <f t="shared" si="9"/>
        <v>44743</v>
      </c>
      <c r="D251">
        <f t="shared" si="10"/>
        <v>4.0139999999999967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5">
      <c r="A252" s="24"/>
      <c r="B252" s="24">
        <v>4.7540000000000004</v>
      </c>
      <c r="C252" s="136">
        <f t="shared" si="9"/>
        <v>44774</v>
      </c>
      <c r="D252">
        <f t="shared" si="10"/>
        <v>4.0639999999999974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5">
      <c r="A253" s="24"/>
      <c r="B253" s="24">
        <v>4.6990000000000007</v>
      </c>
      <c r="C253" s="136">
        <f t="shared" si="9"/>
        <v>44805</v>
      </c>
      <c r="D253">
        <f t="shared" si="10"/>
        <v>4.0489999999999968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5">
      <c r="A254" s="24"/>
      <c r="B254" s="24">
        <v>4.5949999999999998</v>
      </c>
      <c r="C254" s="136">
        <f t="shared" si="9"/>
        <v>44835</v>
      </c>
      <c r="D254">
        <f t="shared" si="10"/>
        <v>4.0639999999999974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5">
      <c r="A255" s="24"/>
      <c r="B255" s="24">
        <v>4.4940000000000007</v>
      </c>
      <c r="C255" s="136">
        <f t="shared" si="9"/>
        <v>44866</v>
      </c>
      <c r="D255">
        <f t="shared" si="10"/>
        <v>4.208999999999997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5">
      <c r="A256" s="24"/>
      <c r="B256" s="24">
        <v>4.4840000000000009</v>
      </c>
      <c r="C256" s="136">
        <f t="shared" si="9"/>
        <v>44896</v>
      </c>
      <c r="D256">
        <f t="shared" si="10"/>
        <v>4.3439999999999968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5">
      <c r="A257" s="24"/>
      <c r="B257" s="24">
        <v>4.4820000000000002</v>
      </c>
      <c r="C257" s="136">
        <f t="shared" si="9"/>
        <v>44927</v>
      </c>
      <c r="D257">
        <f t="shared" si="10"/>
        <v>4.3989999999999974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5">
      <c r="A258" s="24"/>
      <c r="B258" s="24">
        <v>4.5469999999999997</v>
      </c>
      <c r="C258" s="136">
        <f t="shared" si="9"/>
        <v>44958</v>
      </c>
      <c r="D258">
        <f t="shared" si="10"/>
        <v>4.2509999999999968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5">
      <c r="A259" s="24"/>
      <c r="B259" s="24">
        <v>4.5419999999999998</v>
      </c>
      <c r="C259" s="136">
        <f t="shared" si="9"/>
        <v>44986</v>
      </c>
      <c r="D259">
        <f t="shared" si="10"/>
        <v>4.1999999999999966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5">
      <c r="A260" s="24"/>
      <c r="B260" s="24">
        <v>4.5140000000000002</v>
      </c>
      <c r="C260" s="136">
        <f t="shared" si="9"/>
        <v>45017</v>
      </c>
      <c r="D260">
        <f t="shared" si="10"/>
        <v>3.9809999999999968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5">
      <c r="A261" s="24"/>
      <c r="B261" s="24">
        <v>4.5140000000000002</v>
      </c>
      <c r="C261" s="136">
        <f t="shared" si="9"/>
        <v>45047</v>
      </c>
      <c r="D261">
        <f t="shared" si="10"/>
        <v>3.9839999999999964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5">
      <c r="A262" s="24"/>
      <c r="B262" s="24">
        <v>4.5360000000000005</v>
      </c>
      <c r="C262" s="136">
        <f t="shared" si="9"/>
        <v>45078</v>
      </c>
      <c r="D262">
        <f t="shared" si="10"/>
        <v>4.0239999999999965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5">
      <c r="A263" s="24"/>
      <c r="B263" s="24">
        <v>4.5910000000000002</v>
      </c>
      <c r="C263" s="136">
        <f t="shared" ref="C263:C326" si="11">EOMONTH(C262,0)+1</f>
        <v>45108</v>
      </c>
      <c r="D263">
        <f t="shared" si="10"/>
        <v>4.0639999999999965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283">
        <v>0.16500000000000001</v>
      </c>
      <c r="Z263" s="283"/>
      <c r="AM263" s="283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5">
      <c r="A264" s="24"/>
      <c r="B264" s="24">
        <v>4.851</v>
      </c>
      <c r="C264" s="136">
        <f t="shared" si="11"/>
        <v>45139</v>
      </c>
      <c r="D264">
        <f t="shared" si="10"/>
        <v>4.1139999999999972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283">
        <v>0.20499999999999999</v>
      </c>
      <c r="Z264" s="283"/>
      <c r="AM264" s="283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5">
      <c r="A265" s="24"/>
      <c r="B265" s="24">
        <v>4.8</v>
      </c>
      <c r="C265" s="136">
        <f t="shared" si="11"/>
        <v>45170</v>
      </c>
      <c r="D265">
        <f t="shared" si="10"/>
        <v>4.0989999999999966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5">
      <c r="A266" s="24"/>
      <c r="B266" s="24">
        <v>4.6990000000000007</v>
      </c>
      <c r="C266" s="136">
        <f t="shared" si="11"/>
        <v>45200</v>
      </c>
      <c r="D266">
        <f t="shared" si="10"/>
        <v>4.1139999999999972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5">
      <c r="A267" s="24"/>
      <c r="B267" s="24">
        <v>4.601</v>
      </c>
      <c r="C267" s="136">
        <f t="shared" si="11"/>
        <v>45231</v>
      </c>
      <c r="D267">
        <f t="shared" si="10"/>
        <v>4.2589999999999968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5">
      <c r="A268" s="24"/>
      <c r="B268" s="24">
        <v>4.5919999999999996</v>
      </c>
      <c r="C268" s="136">
        <f t="shared" si="11"/>
        <v>45261</v>
      </c>
      <c r="D268">
        <f t="shared" si="10"/>
        <v>4.3939999999999966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5">
      <c r="A269" s="24"/>
      <c r="B269" s="24">
        <v>4.5910000000000002</v>
      </c>
      <c r="C269" s="136">
        <f t="shared" si="11"/>
        <v>45292</v>
      </c>
      <c r="D269">
        <f t="shared" si="10"/>
        <v>4.4489999999999972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5">
      <c r="A270" s="24"/>
      <c r="B270" s="24">
        <v>4.6560000000000006</v>
      </c>
      <c r="C270" s="136">
        <f t="shared" si="11"/>
        <v>45323</v>
      </c>
      <c r="D270">
        <f t="shared" si="10"/>
        <v>4.3009999999999966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5">
      <c r="A271" s="24"/>
      <c r="B271" s="24">
        <v>4.6510000000000007</v>
      </c>
      <c r="C271" s="136">
        <f t="shared" si="11"/>
        <v>45352</v>
      </c>
      <c r="D271">
        <f t="shared" si="10"/>
        <v>4.2499999999999964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5">
      <c r="A272" s="24"/>
      <c r="B272" s="24">
        <v>4.6219999999999999</v>
      </c>
      <c r="C272" s="136">
        <f t="shared" si="11"/>
        <v>45383</v>
      </c>
      <c r="D272">
        <f t="shared" si="10"/>
        <v>4.030999999999997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5">
      <c r="A273" s="24"/>
      <c r="B273" s="24">
        <v>4.6210000000000004</v>
      </c>
      <c r="C273" s="136">
        <f t="shared" si="11"/>
        <v>45413</v>
      </c>
      <c r="D273">
        <f t="shared" si="10"/>
        <v>4.0339999999999963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5">
      <c r="A274" s="24"/>
      <c r="B274" s="24">
        <v>4.6379999999999999</v>
      </c>
      <c r="C274" s="136">
        <f t="shared" si="11"/>
        <v>45444</v>
      </c>
      <c r="D274">
        <f t="shared" si="10"/>
        <v>4.0739999999999963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5">
      <c r="A275" s="24"/>
      <c r="B275" s="24">
        <v>4.6900000000000004</v>
      </c>
      <c r="C275" s="136">
        <f t="shared" si="11"/>
        <v>45474</v>
      </c>
      <c r="D275">
        <f t="shared" si="10"/>
        <v>4.1139999999999963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5">
      <c r="A276" s="24"/>
      <c r="B276" s="24">
        <v>4.9480000000000004</v>
      </c>
      <c r="C276" s="136">
        <f t="shared" si="11"/>
        <v>45505</v>
      </c>
      <c r="D276">
        <f t="shared" si="10"/>
        <v>4.163999999999997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5">
      <c r="A277" s="24"/>
      <c r="B277" s="24">
        <v>4.9010000000000007</v>
      </c>
      <c r="C277" s="136">
        <f t="shared" si="11"/>
        <v>45536</v>
      </c>
      <c r="D277">
        <f t="shared" si="10"/>
        <v>4.1489999999999965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5">
      <c r="A278" s="24"/>
      <c r="B278" s="24">
        <v>4.8029999999999999</v>
      </c>
      <c r="C278" s="136">
        <f t="shared" si="11"/>
        <v>45566</v>
      </c>
      <c r="D278">
        <f t="shared" si="10"/>
        <v>4.163999999999997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5">
      <c r="A279" s="24"/>
      <c r="B279" s="24">
        <v>4.7080000000000002</v>
      </c>
      <c r="C279" s="136">
        <f t="shared" si="11"/>
        <v>45597</v>
      </c>
      <c r="D279">
        <f t="shared" si="10"/>
        <v>4.3089999999999966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5">
      <c r="A280" s="24"/>
      <c r="B280" s="24">
        <v>4.7</v>
      </c>
      <c r="C280" s="136">
        <f t="shared" si="11"/>
        <v>45627</v>
      </c>
      <c r="D280">
        <f t="shared" si="10"/>
        <v>4.4439999999999964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5">
      <c r="A281" s="24"/>
      <c r="B281" s="24">
        <v>4.7</v>
      </c>
      <c r="C281" s="136">
        <f t="shared" si="11"/>
        <v>45658</v>
      </c>
      <c r="D281">
        <f t="shared" si="10"/>
        <v>4.498999999999997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5">
      <c r="A282" s="24"/>
      <c r="B282" s="24">
        <v>4.7649999999999997</v>
      </c>
      <c r="C282" s="136">
        <f t="shared" si="11"/>
        <v>45689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5">
      <c r="A283" s="24"/>
      <c r="B283" s="24">
        <v>4.76</v>
      </c>
      <c r="C283" s="136">
        <f t="shared" si="11"/>
        <v>45717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5">
      <c r="A284" s="24"/>
      <c r="B284" s="24">
        <v>4.7300000000000004</v>
      </c>
      <c r="C284" s="136">
        <f t="shared" si="11"/>
        <v>45748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5">
      <c r="A285" s="24"/>
      <c r="B285" s="24">
        <v>4.7280000000000006</v>
      </c>
      <c r="C285" s="136">
        <f t="shared" si="11"/>
        <v>45778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5">
      <c r="A286" s="24"/>
      <c r="B286" s="24">
        <v>4.74</v>
      </c>
      <c r="C286" s="136">
        <f t="shared" si="11"/>
        <v>45809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5">
      <c r="A287" s="24"/>
      <c r="B287" s="24">
        <v>4.7890000000000006</v>
      </c>
      <c r="C287" s="136">
        <f t="shared" si="11"/>
        <v>45839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5">
      <c r="A288" s="24"/>
      <c r="B288" s="24">
        <v>5.0449999999999999</v>
      </c>
      <c r="C288" s="136">
        <f t="shared" si="11"/>
        <v>45870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5">
      <c r="A289" s="24"/>
      <c r="B289" s="24">
        <v>5.0019999999999998</v>
      </c>
      <c r="C289" s="136">
        <f t="shared" si="11"/>
        <v>45901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5">
      <c r="A290" s="24"/>
      <c r="B290" s="24">
        <v>4.907</v>
      </c>
      <c r="C290" s="136">
        <f t="shared" si="11"/>
        <v>45931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5">
      <c r="A291" s="24"/>
      <c r="B291" s="24">
        <v>4.8150000000000004</v>
      </c>
      <c r="C291" s="136">
        <f t="shared" si="11"/>
        <v>45962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5">
      <c r="A292" s="24"/>
      <c r="B292" s="24">
        <v>4.8079999999999998</v>
      </c>
      <c r="C292" s="136">
        <f t="shared" si="11"/>
        <v>45992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5">
      <c r="A293" s="24"/>
      <c r="B293" s="24"/>
      <c r="C293" s="136">
        <f t="shared" si="11"/>
        <v>46023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5">
      <c r="A294" s="24"/>
      <c r="B294" s="24"/>
      <c r="C294" s="136">
        <f t="shared" si="11"/>
        <v>46054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5">
      <c r="A295" s="24"/>
      <c r="B295" s="24"/>
      <c r="C295" s="136">
        <f t="shared" si="11"/>
        <v>46082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5">
      <c r="A296" s="24"/>
      <c r="B296" s="24"/>
      <c r="C296" s="136">
        <f t="shared" si="11"/>
        <v>46113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5">
      <c r="A297" s="24"/>
      <c r="B297" s="24"/>
      <c r="C297" s="136">
        <f t="shared" si="11"/>
        <v>46143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5">
      <c r="A298" s="24"/>
      <c r="B298" s="24"/>
      <c r="C298" s="136">
        <f t="shared" si="11"/>
        <v>46174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5">
      <c r="A299" s="24"/>
      <c r="B299" s="24"/>
      <c r="C299" s="136">
        <f t="shared" si="11"/>
        <v>46204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5">
      <c r="A300" s="24"/>
      <c r="B300" s="24"/>
      <c r="C300" s="136">
        <f t="shared" si="11"/>
        <v>46235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5">
      <c r="A301" s="24"/>
      <c r="B301" s="24"/>
      <c r="C301" s="136">
        <f t="shared" si="11"/>
        <v>46266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5">
      <c r="A302" s="24"/>
      <c r="B302" s="24"/>
      <c r="C302" s="136">
        <f t="shared" si="11"/>
        <v>46296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5">
      <c r="A303" s="24"/>
      <c r="B303" s="24"/>
      <c r="C303" s="136">
        <f t="shared" si="11"/>
        <v>46327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5">
      <c r="A304" s="24"/>
      <c r="B304" s="24"/>
      <c r="C304" s="136">
        <f t="shared" si="11"/>
        <v>46357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5">
      <c r="A305" s="24"/>
      <c r="B305" s="24"/>
      <c r="C305" s="136">
        <f t="shared" si="11"/>
        <v>46388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5">
      <c r="A306" s="24"/>
      <c r="B306" s="24"/>
      <c r="C306" s="136">
        <f t="shared" si="11"/>
        <v>46419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5">
      <c r="C307" s="136">
        <f t="shared" si="11"/>
        <v>46447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5">
      <c r="C308" s="136">
        <f t="shared" si="11"/>
        <v>46478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5">
      <c r="C309" s="136">
        <f t="shared" si="11"/>
        <v>46508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5">
      <c r="C310" s="136">
        <f t="shared" si="11"/>
        <v>46539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5">
      <c r="C311" s="136">
        <f t="shared" si="11"/>
        <v>46569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5">
      <c r="C312" s="136">
        <f t="shared" si="11"/>
        <v>46600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5">
      <c r="C313" s="136">
        <f t="shared" si="11"/>
        <v>46631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5">
      <c r="C314" s="136">
        <f t="shared" si="11"/>
        <v>46661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5">
      <c r="C315" s="136">
        <f t="shared" si="11"/>
        <v>46692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5">
      <c r="C316" s="136">
        <f t="shared" si="11"/>
        <v>46722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5">
      <c r="C317" s="136">
        <f t="shared" si="11"/>
        <v>46753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5">
      <c r="C318" s="136">
        <f t="shared" si="11"/>
        <v>46784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5">
      <c r="C319" s="136">
        <f t="shared" si="11"/>
        <v>46813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5">
      <c r="C320" s="136">
        <f t="shared" si="11"/>
        <v>46844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5">
      <c r="C321" s="136">
        <f t="shared" si="11"/>
        <v>46874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5">
      <c r="C322" s="136">
        <f t="shared" si="11"/>
        <v>46905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5">
      <c r="C323" s="136">
        <f t="shared" si="11"/>
        <v>46935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5">
      <c r="C324" s="136">
        <f t="shared" si="11"/>
        <v>46966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5">
      <c r="C325" s="136">
        <f t="shared" si="11"/>
        <v>46997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5">
      <c r="C326" s="136">
        <f t="shared" si="11"/>
        <v>47027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5">
      <c r="C327" s="136">
        <f t="shared" ref="C327:C364" si="12">EOMONTH(C326,0)+1</f>
        <v>47058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5">
      <c r="C328" s="136">
        <f t="shared" si="12"/>
        <v>47088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5">
      <c r="C329" s="136">
        <f t="shared" si="12"/>
        <v>47119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5">
      <c r="C330" s="136">
        <f t="shared" si="12"/>
        <v>47150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5">
      <c r="C331" s="136">
        <f t="shared" si="12"/>
        <v>47178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5">
      <c r="C332" s="136">
        <f t="shared" si="12"/>
        <v>47209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5">
      <c r="C333" s="136">
        <f t="shared" si="12"/>
        <v>47239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5">
      <c r="C334" s="136">
        <f t="shared" si="12"/>
        <v>47270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5">
      <c r="C335" s="136">
        <f t="shared" si="12"/>
        <v>47300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5">
      <c r="C336" s="136">
        <f t="shared" si="12"/>
        <v>47331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5">
      <c r="C337" s="136">
        <f t="shared" si="12"/>
        <v>47362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5">
      <c r="C338" s="136">
        <f t="shared" si="12"/>
        <v>47392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5">
      <c r="C339" s="136">
        <f t="shared" si="12"/>
        <v>47423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5">
      <c r="C340" s="136">
        <f t="shared" si="12"/>
        <v>47453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5">
      <c r="C341" s="136">
        <f t="shared" si="12"/>
        <v>47484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5">
      <c r="C342" s="136">
        <f t="shared" si="12"/>
        <v>47515</v>
      </c>
      <c r="F342" s="24">
        <v>6.3740791401791799E-2</v>
      </c>
      <c r="W342" s="27"/>
      <c r="BS342"/>
      <c r="BT342"/>
      <c r="BU342"/>
      <c r="BV342"/>
    </row>
    <row r="343" spans="3:74" x14ac:dyDescent="0.25">
      <c r="C343" s="136">
        <f t="shared" si="12"/>
        <v>47543</v>
      </c>
      <c r="F343" s="24">
        <v>6.3733949321869196E-2</v>
      </c>
      <c r="W343" s="27"/>
      <c r="BS343"/>
      <c r="BT343"/>
      <c r="BU343"/>
      <c r="BV343"/>
    </row>
    <row r="344" spans="3:74" x14ac:dyDescent="0.25">
      <c r="C344" s="136">
        <f t="shared" si="12"/>
        <v>47574</v>
      </c>
      <c r="F344" s="24">
        <v>6.3727769378726207E-2</v>
      </c>
      <c r="W344" s="27"/>
      <c r="BS344"/>
      <c r="BT344"/>
      <c r="BU344"/>
      <c r="BV344"/>
    </row>
    <row r="345" spans="3:74" x14ac:dyDescent="0.25">
      <c r="C345" s="136">
        <f t="shared" si="12"/>
        <v>47604</v>
      </c>
      <c r="F345" s="24">
        <v>6.3720927298832802E-2</v>
      </c>
      <c r="W345" s="27"/>
      <c r="BS345"/>
      <c r="BT345"/>
      <c r="BU345"/>
      <c r="BV345"/>
    </row>
    <row r="346" spans="3:74" x14ac:dyDescent="0.25">
      <c r="C346" s="136">
        <f t="shared" si="12"/>
        <v>47635</v>
      </c>
      <c r="F346" s="24">
        <v>6.3714305931209303E-2</v>
      </c>
      <c r="W346" s="27"/>
      <c r="BS346"/>
      <c r="BT346"/>
      <c r="BU346"/>
      <c r="BV346"/>
    </row>
    <row r="347" spans="3:74" x14ac:dyDescent="0.25">
      <c r="C347" s="136">
        <f t="shared" si="12"/>
        <v>47665</v>
      </c>
      <c r="F347" s="24">
        <v>6.3707463851346194E-2</v>
      </c>
      <c r="W347" s="27"/>
      <c r="BS347"/>
      <c r="BT347"/>
      <c r="BU347"/>
      <c r="BV347"/>
    </row>
    <row r="348" spans="3:74" x14ac:dyDescent="0.25">
      <c r="C348" s="136">
        <f t="shared" si="12"/>
        <v>47696</v>
      </c>
      <c r="F348" s="24">
        <v>6.3700842483751505E-2</v>
      </c>
      <c r="W348" s="27"/>
      <c r="BS348"/>
      <c r="BT348"/>
      <c r="BU348"/>
      <c r="BV348"/>
    </row>
    <row r="349" spans="3:74" x14ac:dyDescent="0.25">
      <c r="C349" s="136">
        <f t="shared" si="12"/>
        <v>47727</v>
      </c>
      <c r="F349" s="24">
        <v>6.3694000403919496E-2</v>
      </c>
      <c r="W349" s="27"/>
      <c r="BS349"/>
      <c r="BT349"/>
      <c r="BU349"/>
      <c r="BV349"/>
    </row>
    <row r="350" spans="3:74" x14ac:dyDescent="0.25">
      <c r="C350" s="136">
        <f t="shared" si="12"/>
        <v>47757</v>
      </c>
      <c r="F350" s="24">
        <v>6.3687158324103002E-2</v>
      </c>
      <c r="W350" s="27"/>
      <c r="BS350"/>
      <c r="BT350"/>
      <c r="BU350"/>
      <c r="BV350"/>
    </row>
    <row r="351" spans="3:74" x14ac:dyDescent="0.25">
      <c r="C351" s="136">
        <f t="shared" si="12"/>
        <v>47788</v>
      </c>
      <c r="F351" s="24">
        <v>6.3680536956552694E-2</v>
      </c>
      <c r="W351" s="27"/>
      <c r="BS351"/>
      <c r="BT351"/>
      <c r="BU351"/>
      <c r="BV351"/>
    </row>
    <row r="352" spans="3:74" x14ac:dyDescent="0.25">
      <c r="C352" s="136">
        <f t="shared" si="12"/>
        <v>47818</v>
      </c>
      <c r="F352" s="24">
        <v>6.3673694876766398E-2</v>
      </c>
      <c r="W352" s="27"/>
      <c r="BS352"/>
      <c r="BT352"/>
      <c r="BU352"/>
      <c r="BV352"/>
    </row>
    <row r="353" spans="3:74" x14ac:dyDescent="0.25">
      <c r="C353" s="136">
        <f t="shared" si="12"/>
        <v>47849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5">
      <c r="C354" s="136">
        <f t="shared" si="12"/>
        <v>47880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5">
      <c r="C355" s="136">
        <f t="shared" si="12"/>
        <v>47908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5">
      <c r="C356" s="136">
        <f t="shared" si="12"/>
        <v>47939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5">
      <c r="C357" s="136">
        <f t="shared" si="12"/>
        <v>47969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5">
      <c r="C358" s="136">
        <f t="shared" si="12"/>
        <v>48000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5">
      <c r="C359" s="136">
        <f t="shared" si="12"/>
        <v>48030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5">
      <c r="C360" s="136">
        <f t="shared" si="12"/>
        <v>48061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5">
      <c r="C361" s="136">
        <f t="shared" si="12"/>
        <v>48092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5">
      <c r="C362" s="136">
        <f t="shared" si="12"/>
        <v>48122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5">
      <c r="C363" s="136">
        <f t="shared" si="12"/>
        <v>48153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5">
      <c r="C364" s="136">
        <f t="shared" si="12"/>
        <v>48183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5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ColWidth="9.109375" defaultRowHeight="10.199999999999999" x14ac:dyDescent="0.2"/>
  <cols>
    <col min="1" max="16384" width="9.109375" style="3"/>
  </cols>
  <sheetData>
    <row r="1" spans="1:13" ht="10.8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0.8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0.8" x14ac:dyDescent="0.25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0.8" x14ac:dyDescent="0.25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0.8" x14ac:dyDescent="0.25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0.8" x14ac:dyDescent="0.25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0.8" x14ac:dyDescent="0.25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0.8" x14ac:dyDescent="0.25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0.8" x14ac:dyDescent="0.25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0.8" x14ac:dyDescent="0.25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0.8" x14ac:dyDescent="0.25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0.8" x14ac:dyDescent="0.25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0.8" x14ac:dyDescent="0.25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0.8" x14ac:dyDescent="0.25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0.8" x14ac:dyDescent="0.25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0.8" x14ac:dyDescent="0.25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0.8" x14ac:dyDescent="0.25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0.8" x14ac:dyDescent="0.25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0.8" x14ac:dyDescent="0.25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0.8" x14ac:dyDescent="0.25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0.8" x14ac:dyDescent="0.25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0.8" x14ac:dyDescent="0.25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0.8" x14ac:dyDescent="0.25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0.8" x14ac:dyDescent="0.25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0.8" x14ac:dyDescent="0.25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0.8" x14ac:dyDescent="0.25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0.8" x14ac:dyDescent="0.25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0.8" x14ac:dyDescent="0.25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0.8" x14ac:dyDescent="0.25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0.8" x14ac:dyDescent="0.25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0.8" x14ac:dyDescent="0.25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0.8" x14ac:dyDescent="0.25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0.8" x14ac:dyDescent="0.25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0.8" x14ac:dyDescent="0.25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0.8" x14ac:dyDescent="0.25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0.8" x14ac:dyDescent="0.25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0.8" x14ac:dyDescent="0.25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0.8" x14ac:dyDescent="0.25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0.8" x14ac:dyDescent="0.25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0.8" x14ac:dyDescent="0.25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0.8" x14ac:dyDescent="0.25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0.8" x14ac:dyDescent="0.25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0.8" x14ac:dyDescent="0.25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0.8" x14ac:dyDescent="0.25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0.8" x14ac:dyDescent="0.25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0.8" x14ac:dyDescent="0.25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198">
        <f t="shared" ref="J56:J119" si="0">WORKDAY(H56,1)</f>
        <v>36922</v>
      </c>
    </row>
    <row r="57" spans="1:10" ht="10.8" x14ac:dyDescent="0.25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198">
        <f t="shared" si="0"/>
        <v>36949</v>
      </c>
    </row>
    <row r="58" spans="1:10" ht="10.8" x14ac:dyDescent="0.25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198">
        <f t="shared" si="0"/>
        <v>36979</v>
      </c>
    </row>
    <row r="59" spans="1:10" ht="10.8" x14ac:dyDescent="0.25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198">
        <f t="shared" si="0"/>
        <v>37011</v>
      </c>
    </row>
    <row r="60" spans="1:10" ht="10.8" x14ac:dyDescent="0.25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198">
        <f t="shared" si="0"/>
        <v>37042</v>
      </c>
    </row>
    <row r="61" spans="1:10" ht="10.8" x14ac:dyDescent="0.25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198">
        <f t="shared" si="0"/>
        <v>37070</v>
      </c>
    </row>
    <row r="62" spans="1:10" ht="10.8" x14ac:dyDescent="0.25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198">
        <f t="shared" si="0"/>
        <v>37102</v>
      </c>
    </row>
    <row r="63" spans="1:10" ht="10.8" x14ac:dyDescent="0.25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198">
        <f t="shared" si="0"/>
        <v>37133</v>
      </c>
    </row>
    <row r="64" spans="1:10" ht="10.8" x14ac:dyDescent="0.25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198">
        <f t="shared" si="0"/>
        <v>37161</v>
      </c>
    </row>
    <row r="65" spans="1:10" ht="10.8" x14ac:dyDescent="0.25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198">
        <f t="shared" si="0"/>
        <v>37194</v>
      </c>
    </row>
    <row r="66" spans="1:10" ht="10.8" x14ac:dyDescent="0.25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198">
        <f t="shared" si="0"/>
        <v>37224</v>
      </c>
    </row>
    <row r="67" spans="1:10" ht="10.8" x14ac:dyDescent="0.25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198">
        <f t="shared" si="0"/>
        <v>37253</v>
      </c>
    </row>
    <row r="68" spans="1:10" ht="10.8" x14ac:dyDescent="0.25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198">
        <f t="shared" si="0"/>
        <v>37286</v>
      </c>
    </row>
    <row r="69" spans="1:10" ht="10.8" x14ac:dyDescent="0.25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198">
        <f t="shared" si="0"/>
        <v>37314</v>
      </c>
    </row>
    <row r="70" spans="1:10" ht="10.8" x14ac:dyDescent="0.25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198">
        <f t="shared" si="0"/>
        <v>37342</v>
      </c>
    </row>
    <row r="71" spans="1:10" ht="10.8" x14ac:dyDescent="0.25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198">
        <f t="shared" si="0"/>
        <v>37375</v>
      </c>
    </row>
    <row r="72" spans="1:10" ht="10.8" x14ac:dyDescent="0.25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198">
        <f t="shared" si="0"/>
        <v>37406</v>
      </c>
    </row>
    <row r="73" spans="1:10" ht="10.8" x14ac:dyDescent="0.25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198">
        <f t="shared" si="0"/>
        <v>37434</v>
      </c>
    </row>
    <row r="74" spans="1:10" ht="10.8" x14ac:dyDescent="0.25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198">
        <f t="shared" si="0"/>
        <v>37467</v>
      </c>
    </row>
    <row r="75" spans="1:10" ht="10.8" x14ac:dyDescent="0.25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198">
        <f t="shared" si="0"/>
        <v>37497</v>
      </c>
    </row>
    <row r="76" spans="1:10" ht="10.8" x14ac:dyDescent="0.25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198">
        <f t="shared" si="0"/>
        <v>37526</v>
      </c>
    </row>
    <row r="77" spans="1:10" ht="10.8" x14ac:dyDescent="0.25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198">
        <f t="shared" si="0"/>
        <v>37559</v>
      </c>
    </row>
    <row r="78" spans="1:10" ht="10.8" x14ac:dyDescent="0.25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198">
        <f t="shared" si="0"/>
        <v>37587</v>
      </c>
    </row>
    <row r="79" spans="1:10" ht="10.8" x14ac:dyDescent="0.25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198">
        <f t="shared" si="0"/>
        <v>37620</v>
      </c>
    </row>
    <row r="80" spans="1:10" ht="10.8" x14ac:dyDescent="0.25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198">
        <f t="shared" si="0"/>
        <v>37651</v>
      </c>
    </row>
    <row r="81" spans="1:10" ht="10.8" x14ac:dyDescent="0.25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198">
        <f t="shared" si="0"/>
        <v>37679</v>
      </c>
    </row>
    <row r="82" spans="1:10" ht="10.8" x14ac:dyDescent="0.25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198">
        <f t="shared" si="0"/>
        <v>37708</v>
      </c>
    </row>
    <row r="83" spans="1:10" ht="10.8" x14ac:dyDescent="0.25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198">
        <f t="shared" si="0"/>
        <v>37740</v>
      </c>
    </row>
    <row r="84" spans="1:10" ht="10.8" x14ac:dyDescent="0.25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198">
        <f t="shared" si="0"/>
        <v>37770</v>
      </c>
    </row>
    <row r="85" spans="1:10" ht="10.8" x14ac:dyDescent="0.25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198">
        <f t="shared" si="0"/>
        <v>37799</v>
      </c>
    </row>
    <row r="86" spans="1:10" ht="10.8" x14ac:dyDescent="0.25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198">
        <f t="shared" si="0"/>
        <v>37832</v>
      </c>
    </row>
    <row r="87" spans="1:10" ht="10.8" x14ac:dyDescent="0.25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198">
        <f t="shared" si="0"/>
        <v>37861</v>
      </c>
    </row>
    <row r="88" spans="1:10" ht="10.8" x14ac:dyDescent="0.25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198">
        <f t="shared" si="0"/>
        <v>37893</v>
      </c>
    </row>
    <row r="89" spans="1:10" ht="10.8" x14ac:dyDescent="0.25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198">
        <f t="shared" si="0"/>
        <v>37924</v>
      </c>
    </row>
    <row r="90" spans="1:10" ht="10.8" x14ac:dyDescent="0.25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198">
        <f t="shared" si="0"/>
        <v>37951</v>
      </c>
    </row>
    <row r="91" spans="1:10" ht="10.8" x14ac:dyDescent="0.25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198">
        <f t="shared" si="0"/>
        <v>37985</v>
      </c>
    </row>
    <row r="92" spans="1:10" ht="10.8" x14ac:dyDescent="0.25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198">
        <f t="shared" si="0"/>
        <v>38015</v>
      </c>
    </row>
    <row r="93" spans="1:10" ht="10.8" x14ac:dyDescent="0.25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198">
        <f t="shared" si="0"/>
        <v>38043</v>
      </c>
    </row>
    <row r="94" spans="1:10" ht="10.8" x14ac:dyDescent="0.25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198">
        <f t="shared" si="0"/>
        <v>38076</v>
      </c>
    </row>
    <row r="95" spans="1:10" ht="10.8" x14ac:dyDescent="0.25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198">
        <f t="shared" si="0"/>
        <v>38106</v>
      </c>
    </row>
    <row r="96" spans="1:10" ht="10.8" x14ac:dyDescent="0.25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198">
        <f t="shared" si="0"/>
        <v>38134</v>
      </c>
    </row>
    <row r="97" spans="1:10" ht="10.8" x14ac:dyDescent="0.25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198">
        <f t="shared" si="0"/>
        <v>38167</v>
      </c>
    </row>
    <row r="98" spans="1:10" ht="10.8" x14ac:dyDescent="0.25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198">
        <f t="shared" si="0"/>
        <v>38197</v>
      </c>
    </row>
    <row r="99" spans="1:10" ht="10.8" x14ac:dyDescent="0.25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198">
        <f t="shared" si="0"/>
        <v>38229</v>
      </c>
    </row>
    <row r="100" spans="1:10" ht="10.8" x14ac:dyDescent="0.25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198">
        <f t="shared" si="0"/>
        <v>38259</v>
      </c>
    </row>
    <row r="101" spans="1:10" ht="10.8" x14ac:dyDescent="0.25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198">
        <f t="shared" si="0"/>
        <v>38288</v>
      </c>
    </row>
    <row r="102" spans="1:10" ht="10.8" x14ac:dyDescent="0.25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198">
        <f t="shared" si="0"/>
        <v>38320</v>
      </c>
    </row>
    <row r="103" spans="1:10" ht="10.8" x14ac:dyDescent="0.25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198">
        <f t="shared" si="0"/>
        <v>38350</v>
      </c>
    </row>
    <row r="104" spans="1:10" ht="10.8" x14ac:dyDescent="0.25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198">
        <f t="shared" si="0"/>
        <v>38380</v>
      </c>
    </row>
    <row r="105" spans="1:10" ht="10.8" x14ac:dyDescent="0.25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198">
        <f t="shared" si="0"/>
        <v>38408</v>
      </c>
    </row>
    <row r="106" spans="1:10" ht="10.8" x14ac:dyDescent="0.25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198">
        <f t="shared" si="0"/>
        <v>38441</v>
      </c>
    </row>
    <row r="107" spans="1:10" ht="10.8" x14ac:dyDescent="0.25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198">
        <f t="shared" si="0"/>
        <v>38470</v>
      </c>
    </row>
    <row r="108" spans="1:10" ht="10.8" x14ac:dyDescent="0.25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198">
        <f t="shared" si="0"/>
        <v>38499</v>
      </c>
    </row>
    <row r="109" spans="1:10" ht="10.8" x14ac:dyDescent="0.25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198">
        <f t="shared" si="0"/>
        <v>38532</v>
      </c>
    </row>
    <row r="110" spans="1:10" ht="10.8" x14ac:dyDescent="0.25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198">
        <f t="shared" si="0"/>
        <v>38561</v>
      </c>
    </row>
    <row r="111" spans="1:10" ht="10.8" x14ac:dyDescent="0.25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198">
        <f t="shared" si="0"/>
        <v>38594</v>
      </c>
    </row>
    <row r="112" spans="1:10" ht="10.8" x14ac:dyDescent="0.25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198">
        <f t="shared" si="0"/>
        <v>38624</v>
      </c>
    </row>
    <row r="113" spans="1:10" ht="10.8" x14ac:dyDescent="0.25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198">
        <f t="shared" si="0"/>
        <v>38653</v>
      </c>
    </row>
    <row r="114" spans="1:10" ht="10.8" x14ac:dyDescent="0.25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198">
        <f t="shared" si="0"/>
        <v>38685</v>
      </c>
    </row>
    <row r="115" spans="1:10" ht="10.8" x14ac:dyDescent="0.25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198">
        <f t="shared" si="0"/>
        <v>38715</v>
      </c>
    </row>
    <row r="116" spans="1:10" ht="10.8" x14ac:dyDescent="0.25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198">
        <f t="shared" si="0"/>
        <v>38747</v>
      </c>
    </row>
    <row r="117" spans="1:10" ht="10.8" x14ac:dyDescent="0.25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198">
        <f t="shared" si="0"/>
        <v>38775</v>
      </c>
    </row>
    <row r="118" spans="1:10" ht="10.8" x14ac:dyDescent="0.25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198">
        <f t="shared" si="0"/>
        <v>38806</v>
      </c>
    </row>
    <row r="119" spans="1:10" ht="10.8" x14ac:dyDescent="0.25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198">
        <f t="shared" si="0"/>
        <v>38834</v>
      </c>
    </row>
    <row r="120" spans="1:10" ht="10.8" x14ac:dyDescent="0.25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198">
        <f t="shared" ref="J120:J183" si="1">WORKDAY(H120,1)</f>
        <v>38866</v>
      </c>
    </row>
    <row r="121" spans="1:10" ht="10.8" x14ac:dyDescent="0.25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198">
        <f t="shared" si="1"/>
        <v>38897</v>
      </c>
    </row>
    <row r="122" spans="1:10" ht="10.8" x14ac:dyDescent="0.25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198">
        <f t="shared" si="1"/>
        <v>38926</v>
      </c>
    </row>
    <row r="123" spans="1:10" ht="10.8" x14ac:dyDescent="0.25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198">
        <f t="shared" si="1"/>
        <v>38959</v>
      </c>
    </row>
    <row r="124" spans="1:10" ht="10.8" x14ac:dyDescent="0.25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198">
        <f t="shared" si="1"/>
        <v>38988</v>
      </c>
    </row>
    <row r="125" spans="1:10" ht="10.8" x14ac:dyDescent="0.25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198">
        <f t="shared" si="1"/>
        <v>39020</v>
      </c>
    </row>
    <row r="126" spans="1:10" ht="10.8" x14ac:dyDescent="0.25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198">
        <f t="shared" si="1"/>
        <v>39050</v>
      </c>
    </row>
    <row r="127" spans="1:10" ht="10.8" x14ac:dyDescent="0.25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198">
        <f t="shared" si="1"/>
        <v>39079</v>
      </c>
    </row>
    <row r="128" spans="1:10" ht="10.8" x14ac:dyDescent="0.25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198">
        <f t="shared" si="1"/>
        <v>39112</v>
      </c>
    </row>
    <row r="129" spans="1:10" ht="10.8" x14ac:dyDescent="0.25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198">
        <f t="shared" si="1"/>
        <v>39140</v>
      </c>
    </row>
    <row r="130" spans="1:10" ht="10.8" x14ac:dyDescent="0.25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198">
        <f t="shared" si="1"/>
        <v>39170</v>
      </c>
    </row>
    <row r="131" spans="1:10" ht="10.8" x14ac:dyDescent="0.25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198">
        <f t="shared" si="1"/>
        <v>39199</v>
      </c>
    </row>
    <row r="132" spans="1:10" ht="10.8" x14ac:dyDescent="0.25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198">
        <f t="shared" si="1"/>
        <v>39232</v>
      </c>
    </row>
    <row r="133" spans="1:10" ht="10.8" x14ac:dyDescent="0.25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198">
        <f t="shared" si="1"/>
        <v>39261</v>
      </c>
    </row>
    <row r="134" spans="1:10" ht="10.8" x14ac:dyDescent="0.25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198">
        <f t="shared" si="1"/>
        <v>39293</v>
      </c>
    </row>
    <row r="135" spans="1:10" ht="10.8" x14ac:dyDescent="0.25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198">
        <f t="shared" si="1"/>
        <v>39324</v>
      </c>
    </row>
    <row r="136" spans="1:10" ht="10.8" x14ac:dyDescent="0.25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198">
        <f t="shared" si="1"/>
        <v>39352</v>
      </c>
    </row>
    <row r="137" spans="1:10" ht="10.8" x14ac:dyDescent="0.25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198">
        <f t="shared" si="1"/>
        <v>39385</v>
      </c>
    </row>
    <row r="138" spans="1:10" ht="10.8" x14ac:dyDescent="0.25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198">
        <f t="shared" si="1"/>
        <v>39415</v>
      </c>
    </row>
    <row r="139" spans="1:10" ht="10.8" x14ac:dyDescent="0.25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198">
        <f t="shared" si="1"/>
        <v>39444</v>
      </c>
    </row>
    <row r="140" spans="1:10" ht="10.8" x14ac:dyDescent="0.25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198">
        <f t="shared" si="1"/>
        <v>39477</v>
      </c>
    </row>
    <row r="141" spans="1:10" ht="10.8" x14ac:dyDescent="0.25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198">
        <f t="shared" si="1"/>
        <v>39506</v>
      </c>
    </row>
    <row r="142" spans="1:10" ht="10.8" x14ac:dyDescent="0.25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198">
        <f t="shared" si="1"/>
        <v>39535</v>
      </c>
    </row>
    <row r="143" spans="1:10" ht="10.8" x14ac:dyDescent="0.25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198">
        <f t="shared" si="1"/>
        <v>39567</v>
      </c>
    </row>
    <row r="144" spans="1:10" ht="10.8" x14ac:dyDescent="0.25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198">
        <f t="shared" si="1"/>
        <v>39597</v>
      </c>
    </row>
    <row r="145" spans="1:10" ht="10.8" x14ac:dyDescent="0.25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198">
        <f t="shared" si="1"/>
        <v>39626</v>
      </c>
    </row>
    <row r="146" spans="1:10" ht="10.8" x14ac:dyDescent="0.25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198">
        <f t="shared" si="1"/>
        <v>39659</v>
      </c>
    </row>
    <row r="147" spans="1:10" ht="10.8" x14ac:dyDescent="0.25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198">
        <f t="shared" si="1"/>
        <v>39688</v>
      </c>
    </row>
    <row r="148" spans="1:10" ht="10.8" x14ac:dyDescent="0.25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198">
        <f t="shared" si="1"/>
        <v>39720</v>
      </c>
    </row>
    <row r="149" spans="1:10" ht="10.8" x14ac:dyDescent="0.25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198">
        <f t="shared" si="1"/>
        <v>39751</v>
      </c>
    </row>
    <row r="150" spans="1:10" ht="10.8" x14ac:dyDescent="0.25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198">
        <f t="shared" si="1"/>
        <v>39778</v>
      </c>
    </row>
    <row r="151" spans="1:10" ht="10.8" x14ac:dyDescent="0.25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198">
        <f t="shared" si="1"/>
        <v>39812</v>
      </c>
    </row>
    <row r="152" spans="1:10" ht="10.8" x14ac:dyDescent="0.25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198">
        <f t="shared" si="1"/>
        <v>39842</v>
      </c>
    </row>
    <row r="153" spans="1:10" ht="10.8" x14ac:dyDescent="0.25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198">
        <f t="shared" si="1"/>
        <v>39870</v>
      </c>
    </row>
    <row r="154" spans="1:10" ht="10.8" x14ac:dyDescent="0.25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198">
        <f t="shared" si="1"/>
        <v>39902</v>
      </c>
    </row>
    <row r="155" spans="1:10" ht="10.8" x14ac:dyDescent="0.25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198">
        <f t="shared" si="1"/>
        <v>39932</v>
      </c>
    </row>
    <row r="156" spans="1:10" ht="10.8" x14ac:dyDescent="0.25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198">
        <f t="shared" si="1"/>
        <v>39961</v>
      </c>
    </row>
    <row r="157" spans="1:10" ht="10.8" x14ac:dyDescent="0.25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198">
        <f t="shared" si="1"/>
        <v>39993</v>
      </c>
    </row>
    <row r="158" spans="1:10" ht="10.8" x14ac:dyDescent="0.25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198">
        <f t="shared" si="1"/>
        <v>40024</v>
      </c>
    </row>
    <row r="159" spans="1:10" ht="10.8" x14ac:dyDescent="0.25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198">
        <f t="shared" si="1"/>
        <v>40053</v>
      </c>
    </row>
    <row r="160" spans="1:10" ht="10.8" x14ac:dyDescent="0.25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198">
        <f t="shared" si="1"/>
        <v>40085</v>
      </c>
    </row>
    <row r="161" spans="1:10" ht="10.8" x14ac:dyDescent="0.25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198">
        <f t="shared" si="1"/>
        <v>40115</v>
      </c>
    </row>
    <row r="162" spans="1:10" ht="10.8" x14ac:dyDescent="0.25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198">
        <f t="shared" si="1"/>
        <v>40143</v>
      </c>
    </row>
    <row r="163" spans="1:10" ht="10.8" x14ac:dyDescent="0.25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198">
        <f t="shared" si="1"/>
        <v>40177</v>
      </c>
    </row>
    <row r="164" spans="1:10" ht="10.8" x14ac:dyDescent="0.25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198">
        <f t="shared" si="1"/>
        <v>40206</v>
      </c>
    </row>
    <row r="165" spans="1:10" ht="10.8" x14ac:dyDescent="0.25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198">
        <f t="shared" si="1"/>
        <v>40234</v>
      </c>
    </row>
    <row r="166" spans="1:10" ht="10.8" x14ac:dyDescent="0.25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198">
        <f t="shared" si="1"/>
        <v>40267</v>
      </c>
    </row>
    <row r="167" spans="1:10" ht="10.8" x14ac:dyDescent="0.25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198">
        <f t="shared" si="1"/>
        <v>40297</v>
      </c>
    </row>
    <row r="168" spans="1:10" ht="10.8" x14ac:dyDescent="0.25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198">
        <f t="shared" si="1"/>
        <v>40325</v>
      </c>
    </row>
    <row r="169" spans="1:10" ht="10.8" x14ac:dyDescent="0.25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198">
        <f t="shared" si="1"/>
        <v>40358</v>
      </c>
    </row>
    <row r="170" spans="1:10" ht="10.8" x14ac:dyDescent="0.25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198">
        <f t="shared" si="1"/>
        <v>40388</v>
      </c>
    </row>
    <row r="171" spans="1:10" ht="10.8" x14ac:dyDescent="0.25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198">
        <f t="shared" si="1"/>
        <v>40420</v>
      </c>
    </row>
    <row r="172" spans="1:10" ht="10.8" x14ac:dyDescent="0.25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198">
        <f t="shared" si="1"/>
        <v>40450</v>
      </c>
    </row>
    <row r="173" spans="1:10" ht="10.8" x14ac:dyDescent="0.25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198">
        <f t="shared" si="1"/>
        <v>40479</v>
      </c>
    </row>
    <row r="174" spans="1:10" ht="10.8" x14ac:dyDescent="0.25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198">
        <f t="shared" si="1"/>
        <v>40511</v>
      </c>
    </row>
    <row r="175" spans="1:10" ht="10.8" x14ac:dyDescent="0.25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198">
        <f t="shared" si="1"/>
        <v>40541</v>
      </c>
    </row>
    <row r="176" spans="1:10" ht="10.8" x14ac:dyDescent="0.25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198">
        <f t="shared" si="1"/>
        <v>40571</v>
      </c>
    </row>
    <row r="177" spans="1:10" ht="10.8" x14ac:dyDescent="0.25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198">
        <f t="shared" si="1"/>
        <v>40599</v>
      </c>
    </row>
    <row r="178" spans="1:10" ht="10.8" x14ac:dyDescent="0.25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198">
        <f t="shared" si="1"/>
        <v>40632</v>
      </c>
    </row>
    <row r="179" spans="1:10" ht="10.8" x14ac:dyDescent="0.25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198">
        <f t="shared" si="1"/>
        <v>40661</v>
      </c>
    </row>
    <row r="180" spans="1:10" ht="10.8" x14ac:dyDescent="0.25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198">
        <f t="shared" si="1"/>
        <v>40690</v>
      </c>
    </row>
    <row r="181" spans="1:10" ht="10.8" x14ac:dyDescent="0.25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198">
        <f t="shared" si="1"/>
        <v>40723</v>
      </c>
    </row>
    <row r="182" spans="1:10" ht="10.8" x14ac:dyDescent="0.25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198">
        <f t="shared" si="1"/>
        <v>40752</v>
      </c>
    </row>
    <row r="183" spans="1:10" ht="10.8" x14ac:dyDescent="0.25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198">
        <f t="shared" si="1"/>
        <v>40785</v>
      </c>
    </row>
    <row r="184" spans="1:10" ht="10.8" x14ac:dyDescent="0.25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198">
        <f t="shared" ref="J184:J247" si="2">WORKDAY(H184,1)</f>
        <v>40815</v>
      </c>
    </row>
    <row r="185" spans="1:10" ht="10.8" x14ac:dyDescent="0.25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198">
        <f t="shared" si="2"/>
        <v>40844</v>
      </c>
    </row>
    <row r="186" spans="1:10" ht="10.8" x14ac:dyDescent="0.25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198">
        <f t="shared" si="2"/>
        <v>40876</v>
      </c>
    </row>
    <row r="187" spans="1:10" ht="10.8" x14ac:dyDescent="0.25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198">
        <f t="shared" si="2"/>
        <v>40906</v>
      </c>
    </row>
    <row r="188" spans="1:10" ht="10.8" x14ac:dyDescent="0.25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198">
        <f t="shared" si="2"/>
        <v>40938</v>
      </c>
    </row>
    <row r="189" spans="1:10" ht="10.8" x14ac:dyDescent="0.25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198">
        <f t="shared" si="2"/>
        <v>40967</v>
      </c>
    </row>
    <row r="190" spans="1:10" ht="10.8" x14ac:dyDescent="0.25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198">
        <f t="shared" si="2"/>
        <v>40997</v>
      </c>
    </row>
    <row r="191" spans="1:10" ht="10.8" x14ac:dyDescent="0.25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198">
        <f t="shared" si="2"/>
        <v>41026</v>
      </c>
    </row>
    <row r="192" spans="1:10" ht="10.8" x14ac:dyDescent="0.25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198">
        <f t="shared" si="2"/>
        <v>41059</v>
      </c>
    </row>
    <row r="193" spans="1:10" ht="10.8" x14ac:dyDescent="0.25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198">
        <f t="shared" si="2"/>
        <v>41088</v>
      </c>
    </row>
    <row r="194" spans="1:10" ht="10.8" x14ac:dyDescent="0.25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198">
        <f t="shared" si="2"/>
        <v>41120</v>
      </c>
    </row>
    <row r="195" spans="1:10" ht="10.8" x14ac:dyDescent="0.25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198">
        <f t="shared" si="2"/>
        <v>41151</v>
      </c>
    </row>
    <row r="196" spans="1:10" ht="10.8" x14ac:dyDescent="0.25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198">
        <f t="shared" si="2"/>
        <v>41179</v>
      </c>
    </row>
    <row r="197" spans="1:10" ht="10.8" x14ac:dyDescent="0.25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198">
        <f t="shared" si="2"/>
        <v>41212</v>
      </c>
    </row>
    <row r="198" spans="1:10" ht="10.8" x14ac:dyDescent="0.25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198">
        <f t="shared" si="2"/>
        <v>41242</v>
      </c>
    </row>
    <row r="199" spans="1:10" ht="10.8" x14ac:dyDescent="0.25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198">
        <f t="shared" si="2"/>
        <v>41271</v>
      </c>
    </row>
    <row r="200" spans="1:10" ht="10.8" x14ac:dyDescent="0.25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198">
        <f t="shared" si="2"/>
        <v>41304</v>
      </c>
    </row>
    <row r="201" spans="1:10" ht="10.8" x14ac:dyDescent="0.25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198">
        <f t="shared" si="2"/>
        <v>41332</v>
      </c>
    </row>
    <row r="202" spans="1:10" ht="10.8" x14ac:dyDescent="0.25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198">
        <f t="shared" si="2"/>
        <v>41360</v>
      </c>
    </row>
    <row r="203" spans="1:10" ht="10.8" x14ac:dyDescent="0.25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198">
        <f t="shared" si="2"/>
        <v>41393</v>
      </c>
    </row>
    <row r="204" spans="1:10" ht="10.8" x14ac:dyDescent="0.25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198">
        <f t="shared" si="2"/>
        <v>41424</v>
      </c>
    </row>
    <row r="205" spans="1:10" ht="10.8" x14ac:dyDescent="0.25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198">
        <f t="shared" si="2"/>
        <v>41452</v>
      </c>
    </row>
    <row r="206" spans="1:10" ht="10.8" x14ac:dyDescent="0.25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198">
        <f t="shared" si="2"/>
        <v>41485</v>
      </c>
    </row>
    <row r="207" spans="1:10" ht="10.8" x14ac:dyDescent="0.25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198">
        <f t="shared" si="2"/>
        <v>41515</v>
      </c>
    </row>
    <row r="208" spans="1:10" ht="10.8" x14ac:dyDescent="0.25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198">
        <f t="shared" si="2"/>
        <v>41544</v>
      </c>
    </row>
    <row r="209" spans="1:10" ht="10.8" x14ac:dyDescent="0.25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198">
        <f t="shared" si="2"/>
        <v>41577</v>
      </c>
    </row>
    <row r="210" spans="1:10" ht="10.8" x14ac:dyDescent="0.25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198">
        <f t="shared" si="2"/>
        <v>41605</v>
      </c>
    </row>
    <row r="211" spans="1:10" ht="10.8" x14ac:dyDescent="0.25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198">
        <f t="shared" si="2"/>
        <v>41638</v>
      </c>
    </row>
    <row r="212" spans="1:10" ht="10.8" x14ac:dyDescent="0.25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198">
        <f t="shared" si="2"/>
        <v>41669</v>
      </c>
    </row>
    <row r="213" spans="1:10" ht="10.8" x14ac:dyDescent="0.25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198">
        <f t="shared" si="2"/>
        <v>41697</v>
      </c>
    </row>
    <row r="214" spans="1:10" ht="10.8" x14ac:dyDescent="0.25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198">
        <f t="shared" si="2"/>
        <v>41726</v>
      </c>
    </row>
    <row r="215" spans="1:10" ht="10.8" x14ac:dyDescent="0.25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198">
        <f t="shared" si="2"/>
        <v>41758</v>
      </c>
    </row>
    <row r="216" spans="1:10" ht="10.8" x14ac:dyDescent="0.25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198">
        <f t="shared" si="2"/>
        <v>41788</v>
      </c>
    </row>
    <row r="217" spans="1:10" ht="10.8" x14ac:dyDescent="0.25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198">
        <f t="shared" si="2"/>
        <v>41817</v>
      </c>
    </row>
    <row r="218" spans="1:10" ht="10.8" x14ac:dyDescent="0.25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198">
        <f t="shared" si="2"/>
        <v>41850</v>
      </c>
    </row>
    <row r="219" spans="1:10" ht="10.8" x14ac:dyDescent="0.25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198">
        <f t="shared" si="2"/>
        <v>41879</v>
      </c>
    </row>
    <row r="220" spans="1:10" ht="10.8" x14ac:dyDescent="0.25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198">
        <f t="shared" si="2"/>
        <v>41911</v>
      </c>
    </row>
    <row r="221" spans="1:10" ht="10.8" x14ac:dyDescent="0.25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198">
        <f t="shared" si="2"/>
        <v>41942</v>
      </c>
    </row>
    <row r="222" spans="1:10" ht="10.8" x14ac:dyDescent="0.25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198">
        <f t="shared" si="2"/>
        <v>41969</v>
      </c>
    </row>
    <row r="223" spans="1:10" ht="10.8" x14ac:dyDescent="0.25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198">
        <f t="shared" si="2"/>
        <v>42003</v>
      </c>
    </row>
    <row r="224" spans="1:10" ht="10.8" x14ac:dyDescent="0.25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198">
        <f t="shared" si="2"/>
        <v>42033</v>
      </c>
    </row>
    <row r="225" spans="1:10" ht="10.8" x14ac:dyDescent="0.25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198">
        <f t="shared" si="2"/>
        <v>42061</v>
      </c>
    </row>
    <row r="226" spans="1:10" ht="10.8" x14ac:dyDescent="0.25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198">
        <f t="shared" si="2"/>
        <v>42093</v>
      </c>
    </row>
    <row r="227" spans="1:10" ht="10.8" x14ac:dyDescent="0.25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198">
        <f t="shared" si="2"/>
        <v>42123</v>
      </c>
    </row>
    <row r="228" spans="1:10" ht="10.8" x14ac:dyDescent="0.25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198">
        <f t="shared" si="2"/>
        <v>42152</v>
      </c>
    </row>
    <row r="229" spans="1:10" ht="10.8" x14ac:dyDescent="0.25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198">
        <f t="shared" si="2"/>
        <v>42184</v>
      </c>
    </row>
    <row r="230" spans="1:10" ht="10.8" x14ac:dyDescent="0.25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198">
        <f t="shared" si="2"/>
        <v>42215</v>
      </c>
    </row>
    <row r="231" spans="1:10" ht="10.8" x14ac:dyDescent="0.25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198">
        <f t="shared" si="2"/>
        <v>42244</v>
      </c>
    </row>
    <row r="232" spans="1:10" ht="10.8" x14ac:dyDescent="0.25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198">
        <f t="shared" si="2"/>
        <v>42276</v>
      </c>
    </row>
    <row r="233" spans="1:10" ht="10.8" x14ac:dyDescent="0.25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198">
        <f t="shared" si="2"/>
        <v>42306</v>
      </c>
    </row>
    <row r="234" spans="1:10" ht="10.8" x14ac:dyDescent="0.25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198">
        <f t="shared" si="2"/>
        <v>42334</v>
      </c>
    </row>
    <row r="235" spans="1:10" ht="10.8" x14ac:dyDescent="0.25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198">
        <f t="shared" si="2"/>
        <v>42368</v>
      </c>
    </row>
    <row r="236" spans="1:10" ht="10.8" x14ac:dyDescent="0.25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198">
        <f t="shared" si="2"/>
        <v>42397</v>
      </c>
    </row>
    <row r="237" spans="1:10" ht="10.8" x14ac:dyDescent="0.25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198">
        <f t="shared" si="2"/>
        <v>42426</v>
      </c>
    </row>
    <row r="238" spans="1:10" ht="10.8" x14ac:dyDescent="0.25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198">
        <f t="shared" si="2"/>
        <v>42459</v>
      </c>
    </row>
    <row r="239" spans="1:10" ht="10.8" x14ac:dyDescent="0.25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198">
        <f t="shared" si="2"/>
        <v>42488</v>
      </c>
    </row>
    <row r="240" spans="1:10" ht="10.8" x14ac:dyDescent="0.25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198">
        <f t="shared" si="2"/>
        <v>42517</v>
      </c>
    </row>
    <row r="241" spans="1:10" ht="10.8" x14ac:dyDescent="0.25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198">
        <f t="shared" si="2"/>
        <v>42550</v>
      </c>
    </row>
    <row r="242" spans="1:10" ht="10.8" x14ac:dyDescent="0.25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198">
        <f t="shared" si="2"/>
        <v>42579</v>
      </c>
    </row>
    <row r="243" spans="1:10" ht="10.8" x14ac:dyDescent="0.25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198">
        <f t="shared" si="2"/>
        <v>42612</v>
      </c>
    </row>
    <row r="244" spans="1:10" ht="10.8" x14ac:dyDescent="0.25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198">
        <f t="shared" si="2"/>
        <v>42642</v>
      </c>
    </row>
    <row r="245" spans="1:10" ht="10.8" x14ac:dyDescent="0.25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198">
        <f t="shared" si="2"/>
        <v>42671</v>
      </c>
    </row>
    <row r="246" spans="1:10" ht="10.8" x14ac:dyDescent="0.25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198">
        <f t="shared" si="2"/>
        <v>42703</v>
      </c>
    </row>
    <row r="247" spans="1:10" ht="10.8" x14ac:dyDescent="0.25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198">
        <f t="shared" si="2"/>
        <v>42733</v>
      </c>
    </row>
    <row r="248" spans="1:10" ht="10.8" x14ac:dyDescent="0.25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198">
        <f t="shared" ref="J248:J311" si="3">WORKDAY(H248,1)</f>
        <v>42765</v>
      </c>
    </row>
    <row r="249" spans="1:10" ht="10.8" x14ac:dyDescent="0.25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198">
        <f t="shared" si="3"/>
        <v>42793</v>
      </c>
    </row>
    <row r="250" spans="1:10" ht="10.8" x14ac:dyDescent="0.25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198">
        <f t="shared" si="3"/>
        <v>42824</v>
      </c>
    </row>
    <row r="251" spans="1:10" ht="10.8" x14ac:dyDescent="0.25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198">
        <f t="shared" si="3"/>
        <v>42852</v>
      </c>
    </row>
    <row r="252" spans="1:10" ht="10.8" x14ac:dyDescent="0.25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198">
        <f t="shared" si="3"/>
        <v>42884</v>
      </c>
    </row>
    <row r="253" spans="1:10" ht="10.8" x14ac:dyDescent="0.25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198">
        <f t="shared" si="3"/>
        <v>42915</v>
      </c>
    </row>
    <row r="254" spans="1:10" ht="10.8" x14ac:dyDescent="0.25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198">
        <f t="shared" si="3"/>
        <v>42944</v>
      </c>
    </row>
    <row r="255" spans="1:10" ht="10.8" x14ac:dyDescent="0.25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198">
        <f t="shared" si="3"/>
        <v>42977</v>
      </c>
    </row>
    <row r="256" spans="1:10" ht="10.8" x14ac:dyDescent="0.25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198">
        <f t="shared" si="3"/>
        <v>43006</v>
      </c>
    </row>
    <row r="257" spans="1:10" ht="10.8" x14ac:dyDescent="0.25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198">
        <f t="shared" si="3"/>
        <v>43038</v>
      </c>
    </row>
    <row r="258" spans="1:10" ht="10.8" x14ac:dyDescent="0.25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198">
        <f t="shared" si="3"/>
        <v>43068</v>
      </c>
    </row>
    <row r="259" spans="1:10" ht="10.8" x14ac:dyDescent="0.25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198">
        <f t="shared" si="3"/>
        <v>43097</v>
      </c>
    </row>
    <row r="260" spans="1:10" ht="10.8" x14ac:dyDescent="0.25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198">
        <f t="shared" si="3"/>
        <v>43130</v>
      </c>
    </row>
    <row r="261" spans="1:10" ht="10.8" x14ac:dyDescent="0.25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198">
        <f t="shared" si="3"/>
        <v>43158</v>
      </c>
    </row>
    <row r="262" spans="1:10" ht="10.8" x14ac:dyDescent="0.25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198">
        <f t="shared" si="3"/>
        <v>43187</v>
      </c>
    </row>
    <row r="263" spans="1:10" ht="10.8" x14ac:dyDescent="0.25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198">
        <f t="shared" si="3"/>
        <v>43217</v>
      </c>
    </row>
    <row r="264" spans="1:10" ht="10.8" x14ac:dyDescent="0.25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198">
        <f t="shared" si="3"/>
        <v>43250</v>
      </c>
    </row>
    <row r="265" spans="1:10" ht="10.8" x14ac:dyDescent="0.25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198">
        <f t="shared" si="3"/>
        <v>43279</v>
      </c>
    </row>
    <row r="266" spans="1:10" ht="10.8" x14ac:dyDescent="0.25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198">
        <f t="shared" si="3"/>
        <v>43311</v>
      </c>
    </row>
    <row r="267" spans="1:10" ht="10.8" x14ac:dyDescent="0.25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198">
        <f t="shared" si="3"/>
        <v>43342</v>
      </c>
    </row>
    <row r="268" spans="1:10" ht="10.8" x14ac:dyDescent="0.25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198">
        <f t="shared" si="3"/>
        <v>43370</v>
      </c>
    </row>
    <row r="269" spans="1:10" ht="10.8" x14ac:dyDescent="0.25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198">
        <f t="shared" si="3"/>
        <v>43403</v>
      </c>
    </row>
    <row r="270" spans="1:10" ht="10.8" x14ac:dyDescent="0.25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198">
        <f t="shared" si="3"/>
        <v>43433</v>
      </c>
    </row>
    <row r="271" spans="1:10" ht="10.8" x14ac:dyDescent="0.25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198">
        <f t="shared" si="3"/>
        <v>43462</v>
      </c>
    </row>
    <row r="272" spans="1:10" ht="10.8" x14ac:dyDescent="0.25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198">
        <f t="shared" si="3"/>
        <v>43495</v>
      </c>
    </row>
    <row r="273" spans="1:10" ht="10.8" x14ac:dyDescent="0.25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198">
        <f t="shared" si="3"/>
        <v>43523</v>
      </c>
    </row>
    <row r="274" spans="1:10" ht="10.8" x14ac:dyDescent="0.25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198">
        <f t="shared" si="3"/>
        <v>43552</v>
      </c>
    </row>
    <row r="275" spans="1:10" ht="10.8" x14ac:dyDescent="0.25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198">
        <f t="shared" si="3"/>
        <v>43584</v>
      </c>
    </row>
    <row r="276" spans="1:10" ht="10.8" x14ac:dyDescent="0.25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198">
        <f t="shared" si="3"/>
        <v>43615</v>
      </c>
    </row>
    <row r="277" spans="1:10" ht="10.8" x14ac:dyDescent="0.25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198">
        <f t="shared" si="3"/>
        <v>43643</v>
      </c>
    </row>
    <row r="278" spans="1:10" ht="10.8" x14ac:dyDescent="0.25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198">
        <f t="shared" si="3"/>
        <v>43676</v>
      </c>
    </row>
    <row r="279" spans="1:10" ht="10.8" x14ac:dyDescent="0.25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198">
        <f t="shared" si="3"/>
        <v>43706</v>
      </c>
    </row>
    <row r="280" spans="1:10" ht="10.8" x14ac:dyDescent="0.25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198">
        <f t="shared" si="3"/>
        <v>43735</v>
      </c>
    </row>
    <row r="281" spans="1:10" ht="10.8" x14ac:dyDescent="0.25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198">
        <f t="shared" si="3"/>
        <v>43768</v>
      </c>
    </row>
    <row r="282" spans="1:10" ht="10.8" x14ac:dyDescent="0.25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198">
        <f t="shared" si="3"/>
        <v>43796</v>
      </c>
    </row>
    <row r="283" spans="1:10" ht="10.8" x14ac:dyDescent="0.25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198">
        <f t="shared" si="3"/>
        <v>43829</v>
      </c>
    </row>
    <row r="284" spans="1:10" ht="10.8" x14ac:dyDescent="0.25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198">
        <f t="shared" si="3"/>
        <v>43860</v>
      </c>
    </row>
    <row r="285" spans="1:10" ht="10.8" x14ac:dyDescent="0.25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198">
        <f t="shared" si="3"/>
        <v>43888</v>
      </c>
    </row>
    <row r="286" spans="1:10" ht="10.8" x14ac:dyDescent="0.25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198">
        <f t="shared" si="3"/>
        <v>43920</v>
      </c>
    </row>
    <row r="287" spans="1:10" ht="10.8" x14ac:dyDescent="0.25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198">
        <f t="shared" si="3"/>
        <v>43950</v>
      </c>
    </row>
    <row r="288" spans="1:10" ht="10.8" x14ac:dyDescent="0.25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198">
        <f t="shared" si="3"/>
        <v>43979</v>
      </c>
    </row>
    <row r="289" spans="1:10" ht="10.8" x14ac:dyDescent="0.25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198">
        <f t="shared" si="3"/>
        <v>44011</v>
      </c>
    </row>
    <row r="290" spans="1:10" ht="10.8" x14ac:dyDescent="0.25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198">
        <f t="shared" si="3"/>
        <v>44042</v>
      </c>
    </row>
    <row r="291" spans="1:10" ht="10.8" x14ac:dyDescent="0.25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198">
        <f t="shared" si="3"/>
        <v>44071</v>
      </c>
    </row>
    <row r="292" spans="1:10" ht="10.8" x14ac:dyDescent="0.25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198">
        <f t="shared" si="3"/>
        <v>44103</v>
      </c>
    </row>
    <row r="293" spans="1:10" ht="10.8" x14ac:dyDescent="0.25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198">
        <f t="shared" si="3"/>
        <v>44133</v>
      </c>
    </row>
    <row r="294" spans="1:10" ht="10.8" x14ac:dyDescent="0.25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198">
        <f t="shared" si="3"/>
        <v>44161</v>
      </c>
    </row>
    <row r="295" spans="1:10" ht="10.8" x14ac:dyDescent="0.25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198">
        <f t="shared" si="3"/>
        <v>44195</v>
      </c>
    </row>
    <row r="296" spans="1:10" ht="10.8" x14ac:dyDescent="0.25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198">
        <f t="shared" si="3"/>
        <v>44224</v>
      </c>
    </row>
    <row r="297" spans="1:10" ht="10.8" x14ac:dyDescent="0.25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198">
        <f t="shared" si="3"/>
        <v>44252</v>
      </c>
    </row>
    <row r="298" spans="1:10" ht="10.8" x14ac:dyDescent="0.25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198">
        <f t="shared" si="3"/>
        <v>44285</v>
      </c>
    </row>
    <row r="299" spans="1:10" ht="10.8" x14ac:dyDescent="0.25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198">
        <f t="shared" si="3"/>
        <v>44315</v>
      </c>
    </row>
    <row r="300" spans="1:10" ht="10.8" x14ac:dyDescent="0.25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198">
        <f t="shared" si="3"/>
        <v>44343</v>
      </c>
    </row>
    <row r="301" spans="1:10" ht="10.8" x14ac:dyDescent="0.25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198">
        <f t="shared" si="3"/>
        <v>44376</v>
      </c>
    </row>
    <row r="302" spans="1:10" ht="10.8" x14ac:dyDescent="0.25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198">
        <f t="shared" si="3"/>
        <v>44406</v>
      </c>
    </row>
    <row r="303" spans="1:10" ht="10.8" x14ac:dyDescent="0.25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198">
        <f t="shared" si="3"/>
        <v>44438</v>
      </c>
    </row>
    <row r="304" spans="1:10" ht="10.8" x14ac:dyDescent="0.25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198">
        <f t="shared" si="3"/>
        <v>44468</v>
      </c>
    </row>
    <row r="305" spans="1:10" ht="10.8" x14ac:dyDescent="0.25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198">
        <f t="shared" si="3"/>
        <v>44497</v>
      </c>
    </row>
    <row r="306" spans="1:10" ht="10.8" x14ac:dyDescent="0.25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198">
        <f t="shared" si="3"/>
        <v>44529</v>
      </c>
    </row>
    <row r="307" spans="1:10" ht="10.8" x14ac:dyDescent="0.25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198">
        <f t="shared" si="3"/>
        <v>44559</v>
      </c>
    </row>
    <row r="308" spans="1:10" ht="10.8" x14ac:dyDescent="0.25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198">
        <f t="shared" si="3"/>
        <v>44589</v>
      </c>
    </row>
    <row r="309" spans="1:10" ht="10.8" x14ac:dyDescent="0.25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198">
        <f t="shared" si="3"/>
        <v>44617</v>
      </c>
    </row>
    <row r="310" spans="1:10" ht="10.8" x14ac:dyDescent="0.25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198">
        <f t="shared" si="3"/>
        <v>44650</v>
      </c>
    </row>
    <row r="311" spans="1:10" ht="10.8" x14ac:dyDescent="0.25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198">
        <f t="shared" si="3"/>
        <v>44679</v>
      </c>
    </row>
    <row r="312" spans="1:10" ht="10.8" x14ac:dyDescent="0.25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198">
        <f t="shared" ref="J312:J375" si="4">WORKDAY(H312,1)</f>
        <v>44708</v>
      </c>
    </row>
    <row r="313" spans="1:10" ht="10.8" x14ac:dyDescent="0.25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198">
        <f t="shared" si="4"/>
        <v>44741</v>
      </c>
    </row>
    <row r="314" spans="1:10" ht="10.8" x14ac:dyDescent="0.25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198">
        <f t="shared" si="4"/>
        <v>44770</v>
      </c>
    </row>
    <row r="315" spans="1:10" ht="10.8" x14ac:dyDescent="0.25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198">
        <f t="shared" si="4"/>
        <v>44803</v>
      </c>
    </row>
    <row r="316" spans="1:10" ht="10.8" x14ac:dyDescent="0.25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198">
        <f t="shared" si="4"/>
        <v>44833</v>
      </c>
    </row>
    <row r="317" spans="1:10" ht="10.8" x14ac:dyDescent="0.25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198">
        <f t="shared" si="4"/>
        <v>44862</v>
      </c>
    </row>
    <row r="318" spans="1:10" ht="10.8" x14ac:dyDescent="0.25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198">
        <f t="shared" si="4"/>
        <v>44894</v>
      </c>
    </row>
    <row r="319" spans="1:10" ht="10.8" x14ac:dyDescent="0.25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198">
        <f t="shared" si="4"/>
        <v>44924</v>
      </c>
    </row>
    <row r="320" spans="1:10" ht="10.8" x14ac:dyDescent="0.25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198">
        <f t="shared" si="4"/>
        <v>44956</v>
      </c>
    </row>
    <row r="321" spans="1:10" ht="10.8" x14ac:dyDescent="0.25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198">
        <f t="shared" si="4"/>
        <v>44984</v>
      </c>
    </row>
    <row r="322" spans="1:10" ht="10.8" x14ac:dyDescent="0.25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198">
        <f t="shared" si="4"/>
        <v>45015</v>
      </c>
    </row>
    <row r="323" spans="1:10" ht="10.8" x14ac:dyDescent="0.25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198">
        <f t="shared" si="4"/>
        <v>45043</v>
      </c>
    </row>
    <row r="324" spans="1:10" ht="10.8" x14ac:dyDescent="0.25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198">
        <f t="shared" si="4"/>
        <v>45075</v>
      </c>
    </row>
    <row r="325" spans="1:10" ht="10.8" x14ac:dyDescent="0.25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198">
        <f t="shared" si="4"/>
        <v>45106</v>
      </c>
    </row>
    <row r="326" spans="1:10" ht="10.8" x14ac:dyDescent="0.25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198">
        <f t="shared" si="4"/>
        <v>45135</v>
      </c>
    </row>
    <row r="327" spans="1:10" ht="10.8" x14ac:dyDescent="0.25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198">
        <f t="shared" si="4"/>
        <v>45168</v>
      </c>
    </row>
    <row r="328" spans="1:10" ht="10.8" x14ac:dyDescent="0.25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198">
        <f t="shared" si="4"/>
        <v>45197</v>
      </c>
    </row>
    <row r="329" spans="1:10" ht="10.8" x14ac:dyDescent="0.25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198">
        <f t="shared" si="4"/>
        <v>45229</v>
      </c>
    </row>
    <row r="330" spans="1:10" ht="10.8" x14ac:dyDescent="0.25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198">
        <f t="shared" si="4"/>
        <v>45259</v>
      </c>
    </row>
    <row r="331" spans="1:10" ht="10.8" x14ac:dyDescent="0.25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198">
        <f t="shared" si="4"/>
        <v>45288</v>
      </c>
    </row>
    <row r="332" spans="1:10" ht="10.8" x14ac:dyDescent="0.25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198">
        <f t="shared" si="4"/>
        <v>45321</v>
      </c>
    </row>
    <row r="333" spans="1:10" ht="10.8" x14ac:dyDescent="0.25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198">
        <f t="shared" si="4"/>
        <v>45350</v>
      </c>
    </row>
    <row r="334" spans="1:10" ht="10.8" x14ac:dyDescent="0.25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198">
        <f t="shared" si="4"/>
        <v>45378</v>
      </c>
    </row>
    <row r="335" spans="1:10" ht="10.8" x14ac:dyDescent="0.25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198">
        <f t="shared" si="4"/>
        <v>45411</v>
      </c>
    </row>
    <row r="336" spans="1:10" ht="10.8" x14ac:dyDescent="0.25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198">
        <f t="shared" si="4"/>
        <v>45442</v>
      </c>
    </row>
    <row r="337" spans="1:10" ht="10.8" x14ac:dyDescent="0.25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198">
        <f t="shared" si="4"/>
        <v>45470</v>
      </c>
    </row>
    <row r="338" spans="1:10" ht="10.8" x14ac:dyDescent="0.25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198">
        <f t="shared" si="4"/>
        <v>45503</v>
      </c>
    </row>
    <row r="339" spans="1:10" ht="10.8" x14ac:dyDescent="0.25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198">
        <f t="shared" si="4"/>
        <v>45533</v>
      </c>
    </row>
    <row r="340" spans="1:10" ht="10.8" x14ac:dyDescent="0.25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198">
        <f t="shared" si="4"/>
        <v>45562</v>
      </c>
    </row>
    <row r="341" spans="1:10" ht="10.8" x14ac:dyDescent="0.25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198">
        <f t="shared" si="4"/>
        <v>45595</v>
      </c>
    </row>
    <row r="342" spans="1:10" ht="10.8" x14ac:dyDescent="0.25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198">
        <f t="shared" si="4"/>
        <v>45623</v>
      </c>
    </row>
    <row r="343" spans="1:10" ht="10.8" x14ac:dyDescent="0.25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198">
        <f t="shared" si="4"/>
        <v>45656</v>
      </c>
    </row>
    <row r="344" spans="1:10" ht="10.8" x14ac:dyDescent="0.25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198">
        <f t="shared" si="4"/>
        <v>45687</v>
      </c>
    </row>
    <row r="345" spans="1:10" ht="10.8" x14ac:dyDescent="0.25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198">
        <f t="shared" si="4"/>
        <v>45715</v>
      </c>
    </row>
    <row r="346" spans="1:10" ht="10.8" x14ac:dyDescent="0.25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198">
        <f t="shared" si="4"/>
        <v>45744</v>
      </c>
    </row>
    <row r="347" spans="1:10" ht="10.8" x14ac:dyDescent="0.25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198">
        <f t="shared" si="4"/>
        <v>45776</v>
      </c>
    </row>
    <row r="348" spans="1:10" ht="10.8" x14ac:dyDescent="0.25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198">
        <f t="shared" si="4"/>
        <v>45806</v>
      </c>
    </row>
    <row r="349" spans="1:10" ht="10.8" x14ac:dyDescent="0.25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198">
        <f t="shared" si="4"/>
        <v>45835</v>
      </c>
    </row>
    <row r="350" spans="1:10" ht="10.8" x14ac:dyDescent="0.25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198">
        <f t="shared" si="4"/>
        <v>45868</v>
      </c>
    </row>
    <row r="351" spans="1:10" ht="10.8" x14ac:dyDescent="0.25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198">
        <f t="shared" si="4"/>
        <v>45897</v>
      </c>
    </row>
    <row r="352" spans="1:10" ht="10.8" x14ac:dyDescent="0.25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198">
        <f t="shared" si="4"/>
        <v>45929</v>
      </c>
    </row>
    <row r="353" spans="1:10" ht="10.8" x14ac:dyDescent="0.25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198">
        <f t="shared" si="4"/>
        <v>45960</v>
      </c>
    </row>
    <row r="354" spans="1:10" ht="10.8" x14ac:dyDescent="0.25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198">
        <f t="shared" si="4"/>
        <v>45987</v>
      </c>
    </row>
    <row r="355" spans="1:10" ht="10.8" x14ac:dyDescent="0.25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198">
        <f t="shared" si="4"/>
        <v>46021</v>
      </c>
    </row>
    <row r="356" spans="1:10" ht="10.8" x14ac:dyDescent="0.25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198">
        <f t="shared" si="4"/>
        <v>46051</v>
      </c>
    </row>
    <row r="357" spans="1:10" ht="10.8" x14ac:dyDescent="0.25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198">
        <f t="shared" si="4"/>
        <v>46079</v>
      </c>
    </row>
    <row r="358" spans="1:10" ht="10.8" x14ac:dyDescent="0.25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198">
        <f t="shared" si="4"/>
        <v>46111</v>
      </c>
    </row>
    <row r="359" spans="1:10" ht="10.8" x14ac:dyDescent="0.25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198">
        <f t="shared" si="4"/>
        <v>46141</v>
      </c>
    </row>
    <row r="360" spans="1:10" ht="10.8" x14ac:dyDescent="0.25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198">
        <f t="shared" si="4"/>
        <v>46170</v>
      </c>
    </row>
    <row r="361" spans="1:10" ht="10.8" x14ac:dyDescent="0.25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198">
        <f t="shared" si="4"/>
        <v>46202</v>
      </c>
    </row>
    <row r="362" spans="1:10" ht="10.8" x14ac:dyDescent="0.25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198">
        <f t="shared" si="4"/>
        <v>46233</v>
      </c>
    </row>
    <row r="363" spans="1:10" ht="10.8" x14ac:dyDescent="0.25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198">
        <f t="shared" si="4"/>
        <v>46262</v>
      </c>
    </row>
    <row r="364" spans="1:10" ht="10.8" x14ac:dyDescent="0.25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198">
        <f t="shared" si="4"/>
        <v>46294</v>
      </c>
    </row>
    <row r="365" spans="1:10" ht="10.8" x14ac:dyDescent="0.25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198">
        <f t="shared" si="4"/>
        <v>46324</v>
      </c>
    </row>
    <row r="366" spans="1:10" ht="10.8" x14ac:dyDescent="0.25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198">
        <f t="shared" si="4"/>
        <v>46352</v>
      </c>
    </row>
    <row r="367" spans="1:10" ht="10.8" x14ac:dyDescent="0.25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198">
        <f t="shared" si="4"/>
        <v>46386</v>
      </c>
    </row>
    <row r="368" spans="1:10" ht="10.8" x14ac:dyDescent="0.25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198">
        <f t="shared" si="4"/>
        <v>46415</v>
      </c>
    </row>
    <row r="369" spans="1:10" ht="10.8" x14ac:dyDescent="0.25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198">
        <f t="shared" si="4"/>
        <v>46443</v>
      </c>
    </row>
    <row r="370" spans="1:10" ht="10.8" x14ac:dyDescent="0.25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198">
        <f t="shared" si="4"/>
        <v>46476</v>
      </c>
    </row>
    <row r="371" spans="1:10" ht="10.8" x14ac:dyDescent="0.25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198">
        <f t="shared" si="4"/>
        <v>46506</v>
      </c>
    </row>
    <row r="372" spans="1:10" ht="10.8" x14ac:dyDescent="0.25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198">
        <f t="shared" si="4"/>
        <v>46534</v>
      </c>
    </row>
    <row r="373" spans="1:10" ht="10.8" x14ac:dyDescent="0.25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198">
        <f t="shared" si="4"/>
        <v>46567</v>
      </c>
    </row>
    <row r="374" spans="1:10" ht="10.8" x14ac:dyDescent="0.25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198">
        <f t="shared" si="4"/>
        <v>46597</v>
      </c>
    </row>
    <row r="375" spans="1:10" ht="10.8" x14ac:dyDescent="0.25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198">
        <f t="shared" si="4"/>
        <v>46629</v>
      </c>
    </row>
    <row r="376" spans="1:10" ht="10.8" x14ac:dyDescent="0.25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198">
        <f t="shared" ref="J376:J414" si="5">WORKDAY(H376,1)</f>
        <v>46659</v>
      </c>
    </row>
    <row r="377" spans="1:10" ht="10.8" x14ac:dyDescent="0.25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198">
        <f t="shared" si="5"/>
        <v>46688</v>
      </c>
    </row>
    <row r="378" spans="1:10" ht="10.8" x14ac:dyDescent="0.25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198">
        <f t="shared" si="5"/>
        <v>46720</v>
      </c>
    </row>
    <row r="379" spans="1:10" ht="10.8" x14ac:dyDescent="0.25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198">
        <f t="shared" si="5"/>
        <v>46750</v>
      </c>
    </row>
    <row r="380" spans="1:10" ht="10.8" x14ac:dyDescent="0.25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198">
        <f t="shared" si="5"/>
        <v>46780</v>
      </c>
    </row>
    <row r="381" spans="1:10" ht="10.8" x14ac:dyDescent="0.25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198">
        <f t="shared" si="5"/>
        <v>46811</v>
      </c>
    </row>
    <row r="382" spans="1:10" ht="10.8" x14ac:dyDescent="0.25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198">
        <f t="shared" si="5"/>
        <v>46842</v>
      </c>
    </row>
    <row r="383" spans="1:10" ht="10.8" x14ac:dyDescent="0.25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198">
        <f t="shared" si="5"/>
        <v>46870</v>
      </c>
    </row>
    <row r="384" spans="1:10" ht="10.8" x14ac:dyDescent="0.25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198">
        <f t="shared" si="5"/>
        <v>46902</v>
      </c>
    </row>
    <row r="385" spans="1:10" ht="10.8" x14ac:dyDescent="0.25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198">
        <f t="shared" si="5"/>
        <v>46933</v>
      </c>
    </row>
    <row r="386" spans="1:10" ht="10.8" x14ac:dyDescent="0.25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198">
        <f t="shared" si="5"/>
        <v>46962</v>
      </c>
    </row>
    <row r="387" spans="1:10" ht="10.8" x14ac:dyDescent="0.25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198">
        <f t="shared" si="5"/>
        <v>46995</v>
      </c>
    </row>
    <row r="388" spans="1:10" ht="10.8" x14ac:dyDescent="0.25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198">
        <f t="shared" si="5"/>
        <v>47024</v>
      </c>
    </row>
    <row r="389" spans="1:10" ht="10.8" x14ac:dyDescent="0.25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198">
        <f t="shared" si="5"/>
        <v>47056</v>
      </c>
    </row>
    <row r="390" spans="1:10" ht="10.8" x14ac:dyDescent="0.25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198">
        <f t="shared" si="5"/>
        <v>47086</v>
      </c>
    </row>
    <row r="391" spans="1:10" ht="10.8" x14ac:dyDescent="0.25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198">
        <f t="shared" si="5"/>
        <v>47115</v>
      </c>
    </row>
    <row r="392" spans="1:10" ht="10.8" x14ac:dyDescent="0.25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198">
        <f t="shared" si="5"/>
        <v>47148</v>
      </c>
    </row>
    <row r="393" spans="1:10" ht="10.8" x14ac:dyDescent="0.25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198">
        <f t="shared" si="5"/>
        <v>47176</v>
      </c>
    </row>
    <row r="394" spans="1:10" ht="10.8" x14ac:dyDescent="0.25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198">
        <f t="shared" si="5"/>
        <v>47205</v>
      </c>
    </row>
    <row r="395" spans="1:10" ht="10.8" x14ac:dyDescent="0.25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198">
        <f t="shared" si="5"/>
        <v>47235</v>
      </c>
    </row>
    <row r="396" spans="1:10" ht="10.8" x14ac:dyDescent="0.25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198">
        <f t="shared" si="5"/>
        <v>47268</v>
      </c>
    </row>
    <row r="397" spans="1:10" ht="10.8" x14ac:dyDescent="0.25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198">
        <f t="shared" si="5"/>
        <v>47297</v>
      </c>
    </row>
    <row r="398" spans="1:10" ht="10.8" x14ac:dyDescent="0.25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198">
        <f t="shared" si="5"/>
        <v>47329</v>
      </c>
    </row>
    <row r="399" spans="1:10" ht="10.8" x14ac:dyDescent="0.25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198">
        <f t="shared" si="5"/>
        <v>47360</v>
      </c>
    </row>
    <row r="400" spans="1:10" ht="10.8" x14ac:dyDescent="0.25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198">
        <f t="shared" si="5"/>
        <v>47388</v>
      </c>
    </row>
    <row r="401" spans="1:10" ht="10.8" x14ac:dyDescent="0.25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198">
        <f t="shared" si="5"/>
        <v>47421</v>
      </c>
    </row>
    <row r="402" spans="1:10" ht="10.8" x14ac:dyDescent="0.25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198">
        <f t="shared" si="5"/>
        <v>47451</v>
      </c>
    </row>
    <row r="403" spans="1:10" ht="10.8" x14ac:dyDescent="0.25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198">
        <f t="shared" si="5"/>
        <v>47480</v>
      </c>
    </row>
    <row r="404" spans="1:10" ht="10.8" x14ac:dyDescent="0.25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198">
        <f t="shared" si="5"/>
        <v>47513</v>
      </c>
    </row>
    <row r="405" spans="1:10" ht="10.8" x14ac:dyDescent="0.25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198">
        <f t="shared" si="5"/>
        <v>47541</v>
      </c>
    </row>
    <row r="406" spans="1:10" ht="10.8" x14ac:dyDescent="0.25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198">
        <f t="shared" si="5"/>
        <v>47570</v>
      </c>
    </row>
    <row r="407" spans="1:10" ht="10.8" x14ac:dyDescent="0.25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198">
        <f t="shared" si="5"/>
        <v>47602</v>
      </c>
    </row>
    <row r="408" spans="1:10" ht="10.8" x14ac:dyDescent="0.25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198">
        <f t="shared" si="5"/>
        <v>47633</v>
      </c>
    </row>
    <row r="409" spans="1:10" ht="10.8" x14ac:dyDescent="0.25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198">
        <f t="shared" si="5"/>
        <v>47661</v>
      </c>
    </row>
    <row r="410" spans="1:10" ht="10.8" x14ac:dyDescent="0.25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198">
        <f t="shared" si="5"/>
        <v>47694</v>
      </c>
    </row>
    <row r="411" spans="1:10" ht="10.8" x14ac:dyDescent="0.25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198">
        <f t="shared" si="5"/>
        <v>47724</v>
      </c>
    </row>
    <row r="412" spans="1:10" ht="10.8" x14ac:dyDescent="0.25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198">
        <f t="shared" si="5"/>
        <v>47753</v>
      </c>
    </row>
    <row r="413" spans="1:10" ht="10.8" x14ac:dyDescent="0.25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198">
        <f t="shared" si="5"/>
        <v>47786</v>
      </c>
    </row>
    <row r="414" spans="1:10" ht="11.4" thickBot="1" x14ac:dyDescent="0.3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19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pipes</vt:lpstr>
      <vt:lpstr>curves</vt:lpstr>
      <vt:lpstr>expiry</vt:lpstr>
      <vt:lpstr>b</vt:lpstr>
      <vt:lpstr>CAL7VOL</vt:lpstr>
      <vt:lpstr>CAL8VOL</vt:lpstr>
      <vt:lpstr>CAL9VOL</vt:lpstr>
      <vt:lpstr>curvesettle</vt:lpstr>
      <vt:lpstr>datelook</vt:lpstr>
      <vt:lpstr>ExpDates</vt:lpstr>
      <vt:lpstr>expiration</vt:lpstr>
      <vt:lpstr>PARAMS</vt:lpstr>
      <vt:lpstr>pipes!Print_Area</vt:lpstr>
      <vt:lpstr>STRADDLES!Print_Area</vt:lpstr>
      <vt:lpstr>RATES</vt:lpstr>
      <vt:lpstr>STRADDLE</vt:lpstr>
      <vt:lpstr>TSETTLE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Havlíček Jan</cp:lastModifiedBy>
  <cp:lastPrinted>2001-06-22T15:12:17Z</cp:lastPrinted>
  <dcterms:created xsi:type="dcterms:W3CDTF">1999-08-13T14:02:41Z</dcterms:created>
  <dcterms:modified xsi:type="dcterms:W3CDTF">2023-09-10T15:14:55Z</dcterms:modified>
</cp:coreProperties>
</file>